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a56fe4b4f244ef1" /></Relationships>
</file>

<file path=xl/workbook.xml><?xml version="1.0" encoding="utf-8"?>
<workbook xmlns="http://schemas.openxmlformats.org/spreadsheetml/2006/main" xmlns:r="http://schemas.openxmlformats.org/officeDocument/2006/relationships">
  <sheets>
    <sheet name="CIERRE" sheetId="1" r:id="R1e83137aad5c4cf0"/>
    <sheet name="DATOS" sheetId="2" r:id="Rf5f3ea26c422493a"/>
    <sheet name="AVISOS" sheetId="3" r:id="R3d309cb2f6ba474d"/>
    <sheet name="REFERENCIAS" sheetId="4" r:id="R0df43d4162aa40d5"/>
    <sheet name="LÉEME" sheetId="5" r:id="Rf290ed7a202f4752"/>
  </sheets>
  <definedNames>
    <definedName name="_xlnm.Print_Area" localSheetId="0">'CIERRE'!$B$2:$L$98</definedName>
    <definedName name="_xlnm.Print_Area" localSheetId="1">'DATOS'!$B$2:$P$512</definedName>
    <definedName name="_xlnm.Print_Area" localSheetId="2">'AVISOS'!$B$2:$L$512</definedName>
    <definedName name="_xlnm.Print_Area" localSheetId="3">'REFERENCIAS'!$B$2:$P$67</definedName>
    <definedName name="_xlnm.Print_Area" localSheetId="4">'LÉEME'!$B$2:$H$74</definedName>
  </definedNames>
  <calcPr calcMode="auto" fullCalcOnLoad="1" forceFullCalc="1" calcCompleted="0"/>
</workbook>
</file>

<file path=xl/sharedStrings.xml><?xml version="1.0" encoding="utf-8"?>
<x:sst xmlns:x="http://schemas.openxmlformats.org/spreadsheetml/2006/main"/>
</file>

<file path=xl/styles.xml><?xml version="1.0" encoding="utf-8"?>
<styleSheet xmlns="http://schemas.openxmlformats.org/spreadsheetml/2006/main">
  <numFmts count="2">
    <numFmt numFmtId="200" formatCode="#,##0.00######;[Red]-#,##0.00######;0.00"/>
    <numFmt numFmtId="201" formatCode="#,##0.00######&quot; €&quot;;[Red]-#,##0.00######&quot; €&quot;;0.00&quot; €&quot;"/>
  </numFmts>
  <fonts count="6">
    <font>
      <sz val="11"/>
      <name val="Carlito"/>
    </font>
    <font>
      <sz val="11"/>
      <color rgb="FF0B1F3A"/>
      <name val="Arial"/>
    </font>
    <font>
      <b/>
      <sz val="17"/>
      <color rgb="FF0B1F3A"/>
      <name val="Arial"/>
    </font>
    <font>
      <sz val="10"/>
      <color rgb="FF0B1F3A"/>
      <name val="Arial"/>
    </font>
    <font>
      <b/>
      <sz val="10"/>
      <color rgb="FFFFFFFF"/>
      <name val="Arial"/>
    </font>
    <font>
      <b/>
      <sz val="11"/>
      <color rgb="FF0B1F3A"/>
      <name val="Arial"/>
    </font>
  </fonts>
  <fills count="5">
    <fill>
      <patternFill patternType="none"/>
    </fill>
    <fill>
      <patternFill patternType="gray125"/>
    </fill>
    <fill>
      <patternFill patternType="solid">
        <fgColor rgb="FFFFFFFF"/>
      </patternFill>
    </fill>
    <fill>
      <patternFill patternType="solid">
        <fgColor rgb="FFFFF2CC"/>
      </patternFill>
    </fill>
    <fill>
      <patternFill patternType="solid">
        <fgColor rgb="FF0B1F3A"/>
      </patternFill>
    </fill>
  </fills>
  <borders count="2">
    <border>
      <left/>
      <right/>
      <top/>
      <bottom/>
      <diagonal/>
    </border>
    <border>
      <left/>
      <right/>
      <top/>
      <bottom style="medium">
        <color rgb="FFE87524"/>
      </bottom>
      <diagonal/>
    </border>
  </borders>
  <cellStyleXfs count="1">
    <xf numFmtId="0" fontId="0" fillId="0" borderId="0"/>
  </cellStyleXfs>
  <cellXfs count="37">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1" fillId="2" borderId="1" xfId="0" applyNumberFormat="1" applyFont="1" applyFill="1" applyBorder="1" applyAlignment="1">
      <alignment vertical="center"/>
    </xf>
    <xf numFmtId="0" fontId="1"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1" fillId="4" borderId="0" xfId="0" applyNumberFormat="1" applyFont="1" applyFill="1" applyBorder="1" applyAlignment="1">
      <alignment vertical="center"/>
    </xf>
    <xf numFmtId="0" fontId="4" fillId="4" borderId="0" xfId="0" applyNumberFormat="1" applyFont="1" applyFill="1" applyBorder="1" applyAlignment="1">
      <alignment vertical="center"/>
    </xf>
    <xf numFmtId="0" fontId="4" fillId="4" borderId="0" xfId="0" applyNumberFormat="1" applyFont="1" applyFill="1" applyBorder="1" applyAlignment="1">
      <alignment vertical="center" wrapText="1"/>
    </xf>
    <xf numFmtId="0" fontId="4" fillId="4" borderId="0" xfId="0" applyNumberFormat="1" applyFont="1" applyFill="1" applyBorder="1" applyAlignment="1">
      <alignment horizontal="center" vertical="center" wrapText="1"/>
    </xf>
    <xf numFmtId="200" fontId="1" fillId="3" borderId="0" xfId="0" applyNumberFormat="1" applyFont="1" applyFill="1" applyBorder="1" applyAlignment="1">
      <alignment vertical="center"/>
    </xf>
    <xf numFmtId="0" fontId="1" fillId="3" borderId="0" xfId="0" applyNumberFormat="1" applyFont="1" applyFill="1" applyBorder="1" applyAlignment="1">
      <alignment vertical="center" wrapText="1"/>
    </xf>
    <xf numFmtId="200" fontId="1" fillId="3" borderId="0" xfId="0" applyNumberFormat="1" applyFont="1" applyFill="1" applyBorder="1" applyAlignment="1">
      <alignment vertical="center" wrapText="1"/>
    </xf>
    <xf numFmtId="200" fontId="1" fillId="2" borderId="0" xfId="0" applyNumberFormat="1" applyFont="1" applyFill="1" applyBorder="1" applyAlignment="1">
      <alignment vertical="center" wrapText="1"/>
    </xf>
    <xf numFmtId="0" fontId="1" fillId="2" borderId="0" xfId="0" applyNumberFormat="1" applyFont="1" applyFill="1" applyBorder="1" applyAlignment="1">
      <alignment horizontal="center" vertical="center"/>
    </xf>
    <xf numFmtId="201" fontId="1" fillId="2" borderId="0" xfId="0" applyNumberFormat="1" applyFont="1" applyFill="1" applyBorder="1" applyAlignment="1">
      <alignment vertical="center" wrapText="1"/>
    </xf>
    <xf numFmtId="0" fontId="5" fillId="2" borderId="0" xfId="0" applyNumberFormat="1" applyFont="1" applyFill="1" applyBorder="1" applyAlignment="1">
      <alignment vertical="center"/>
    </xf>
    <xf numFmtId="0" fontId="5" fillId="2" borderId="0" xfId="0" applyNumberFormat="1" applyFont="1" applyFill="1" applyBorder="1" applyAlignment="1">
      <alignment vertical="center" wrapText="1"/>
    </xf>
    <xf numFmtId="0" fontId="1" fillId="2" borderId="0" xfId="0" applyNumberFormat="1" applyFont="1" applyFill="1" applyBorder="1" applyAlignment="1" applyProtection="1">
      <alignment vertical="center"/>
      <protection locked="1" hidden="0"/>
    </xf>
    <xf numFmtId="0" fontId="2" fillId="2" borderId="0" xfId="0" applyNumberFormat="1" applyFont="1" applyFill="1" applyBorder="1" applyAlignment="1" applyProtection="1">
      <alignment vertical="center" wrapText="1"/>
      <protection locked="1" hidden="0"/>
    </xf>
    <xf numFmtId="0" fontId="1" fillId="2" borderId="1" xfId="0" applyNumberFormat="1" applyFont="1" applyFill="1" applyBorder="1" applyAlignment="1" applyProtection="1">
      <alignment vertical="center"/>
      <protection locked="1" hidden="0"/>
    </xf>
    <xf numFmtId="0" fontId="1" fillId="2" borderId="0" xfId="0" applyNumberFormat="1" applyFont="1" applyFill="1" applyBorder="1" applyAlignment="1" applyProtection="1">
      <alignment vertical="center" wrapText="1"/>
      <protection locked="1" hidden="0"/>
    </xf>
    <xf numFmtId="0" fontId="4" fillId="4" borderId="0" xfId="0" applyNumberFormat="1" applyFont="1" applyFill="1" applyBorder="1" applyAlignment="1" applyProtection="1">
      <alignment horizontal="center" vertical="center" wrapText="1"/>
      <protection locked="1" hidden="0"/>
    </xf>
    <xf numFmtId="0" fontId="1" fillId="2" borderId="0" xfId="0" applyNumberFormat="1" applyFont="1" applyFill="1" applyBorder="1" applyAlignment="1" applyProtection="1">
      <alignment horizontal="center" vertical="center"/>
      <protection locked="1" hidden="0"/>
    </xf>
    <xf numFmtId="0" fontId="0" fillId="0" borderId="0" xfId="0" applyProtection="1">
      <protection locked="1" hidden="0"/>
    </xf>
    <xf numFmtId="0" fontId="1" fillId="3" borderId="0" xfId="0" applyNumberFormat="1" applyFont="1" applyFill="1" applyBorder="1" applyAlignment="1" applyProtection="1">
      <alignment vertical="center"/>
      <protection locked="0" hidden="0"/>
    </xf>
    <xf numFmtId="0" fontId="1" fillId="3" borderId="0" xfId="0" applyNumberFormat="1" applyFont="1" applyFill="1" applyBorder="1" applyAlignment="1" applyProtection="1">
      <alignment vertical="center" wrapText="1"/>
      <protection locked="0" hidden="0"/>
    </xf>
    <xf numFmtId="201" fontId="1" fillId="2" borderId="0" xfId="0" applyNumberFormat="1" applyFont="1" applyFill="1" applyBorder="1" applyAlignment="1" applyProtection="1">
      <alignment vertical="center" wrapText="1"/>
      <protection locked="1" hidden="0"/>
    </xf>
    <xf numFmtId="0" fontId="3" fillId="2" borderId="0" xfId="0" applyNumberFormat="1" applyFont="1" applyFill="1" applyBorder="1" applyAlignment="1" applyProtection="1">
      <alignment vertical="center" wrapText="1"/>
      <protection locked="1" hidden="0"/>
    </xf>
    <xf numFmtId="200" fontId="1" fillId="3" borderId="0" xfId="0" applyNumberFormat="1" applyFont="1" applyFill="1" applyBorder="1" applyAlignment="1" applyProtection="1">
      <alignment vertical="center" wrapText="1"/>
      <protection locked="0" hidden="0"/>
    </xf>
    <xf numFmtId="200" fontId="1" fillId="2" borderId="0" xfId="0" applyNumberFormat="1" applyFont="1" applyFill="1" applyBorder="1" applyAlignment="1" applyProtection="1">
      <alignment vertical="center" wrapText="1"/>
      <protection locked="1" hidden="0"/>
    </xf>
    <xf numFmtId="0" fontId="5" fillId="2" borderId="0" xfId="0" applyNumberFormat="1" applyFont="1" applyFill="1" applyBorder="1" applyAlignment="1" applyProtection="1">
      <alignment vertical="center" wrapText="1"/>
      <protection locked="1" hidden="0"/>
    </xf>
  </cellXfs>
  <cellStyles count="1">
    <cellStyle name="Normal" xfId="0"/>
  </cellStyles>
  <dxfs count="48">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98134e224c474980" /><Relationship Type="http://schemas.openxmlformats.org/officeDocument/2006/relationships/theme" Target="/xl/theme/theme1.xml" Id="R1e14456fcced4717" /><Relationship Type="http://schemas.openxmlformats.org/officeDocument/2006/relationships/sharedStrings" Target="/xl/sharedStrings.xml" Id="Rc236ecb5bd214244" /><Relationship Type="http://schemas.openxmlformats.org/officeDocument/2006/relationships/worksheet" Target="/xl/worksheets/sheet1.xml" Id="R1e83137aad5c4cf0" /><Relationship Type="http://schemas.openxmlformats.org/officeDocument/2006/relationships/worksheet" Target="/xl/worksheets/sheet2.xml" Id="Rf5f3ea26c422493a" /><Relationship Type="http://schemas.openxmlformats.org/officeDocument/2006/relationships/worksheet" Target="/xl/worksheets/sheet3.xml" Id="R3d309cb2f6ba474d" /><Relationship Type="http://schemas.openxmlformats.org/officeDocument/2006/relationships/worksheet" Target="/xl/worksheets/sheet4.xml" Id="R0df43d4162aa40d5" /><Relationship Type="http://schemas.openxmlformats.org/officeDocument/2006/relationships/worksheet" Target="/xl/worksheets/sheet5.xml" Id="Rf290ed7a202f4752" /></Relationships>
</file>

<file path=xl/drawings/_rels/drawing1.xml.rels>&#65279;<?xml version="1.0" encoding="utf-8"?><Relationships xmlns="http://schemas.openxmlformats.org/package/2006/relationships"><Relationship Type="http://schemas.openxmlformats.org/officeDocument/2006/relationships/image" Target="/xl/media/image.png" Id="Rfc007ab16b5f44d7" /></Relationships>
</file>

<file path=xl/drawings/_rels/drawing2.xml.rels>&#65279;<?xml version="1.0" encoding="utf-8"?><Relationships xmlns="http://schemas.openxmlformats.org/package/2006/relationships"><Relationship Type="http://schemas.openxmlformats.org/officeDocument/2006/relationships/image" Target="/xl/media/image2.png" Id="R9ed92d923a214a22" /></Relationships>
</file>

<file path=xl/drawings/_rels/drawing3.xml.rels>&#65279;<?xml version="1.0" encoding="utf-8"?><Relationships xmlns="http://schemas.openxmlformats.org/package/2006/relationships"><Relationship Type="http://schemas.openxmlformats.org/officeDocument/2006/relationships/image" Target="/xl/media/image3.png" Id="R5749bc58da99413a" /></Relationships>
</file>

<file path=xl/drawings/_rels/drawing4.xml.rels>&#65279;<?xml version="1.0" encoding="utf-8"?><Relationships xmlns="http://schemas.openxmlformats.org/package/2006/relationships"><Relationship Type="http://schemas.openxmlformats.org/officeDocument/2006/relationships/image" Target="/xl/media/image4.png" Id="R1127429c5f884e97" /></Relationships>
</file>

<file path=xl/drawings/_rels/drawing5.xml.rels>&#65279;<?xml version="1.0" encoding="utf-8"?><Relationships xmlns="http://schemas.openxmlformats.org/package/2006/relationships"><Relationship Type="http://schemas.openxmlformats.org/officeDocument/2006/relationships/image" Target="/xl/media/image5.png" Id="R4c453bd945ed4ed8" /></Relationships>
</file>

<file path=xl/drawings/drawing1.xml><?xml version="1.0" encoding="utf-8"?>
<xdr:wsDr xmlns:xdr="http://schemas.openxmlformats.org/drawingml/2006/spreadsheetDrawing">
  <xdr:oneCellAnchor>
    <xdr:from>
      <xdr:col>11</xdr:col>
      <xdr:colOff>0</xdr:colOff>
      <xdr:row>1</xdr:row>
      <xdr:rowOff>0</xdr:rowOff>
    </xdr:from>
    <xdr:ext cx="419100" cy="419100"/>
    <xdr:pic>
      <xdr:nvPicPr>
        <xdr:cNvPr id="1" name="4f77004d-8077-4b06-8f47-0ea5239e73e1"/>
        <xdr:cNvPicPr>
          <a:picLocks xmlns:a="http://schemas.openxmlformats.org/drawingml/2006/main" noChangeAspect="1"/>
        </xdr:cNvPicPr>
      </xdr:nvPicPr>
      <xdr:blipFill>
        <a:blip xmlns:r="http://schemas.openxmlformats.org/officeDocument/2006/relationships" xmlns:a="http://schemas.openxmlformats.org/drawingml/2006/main" r:embed="Rfc007ab16b5f44d7"/>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15</xdr:col>
      <xdr:colOff>0</xdr:colOff>
      <xdr:row>1</xdr:row>
      <xdr:rowOff>0</xdr:rowOff>
    </xdr:from>
    <xdr:ext cx="419100" cy="419100"/>
    <xdr:pic>
      <xdr:nvPicPr>
        <xdr:cNvPr id="1" name="e32fc586-3d6a-4abb-b95e-cd007dedded2"/>
        <xdr:cNvPicPr>
          <a:picLocks xmlns:a="http://schemas.openxmlformats.org/drawingml/2006/main" noChangeAspect="1"/>
        </xdr:cNvPicPr>
      </xdr:nvPicPr>
      <xdr:blipFill>
        <a:blip xmlns:r="http://schemas.openxmlformats.org/officeDocument/2006/relationships" xmlns:a="http://schemas.openxmlformats.org/drawingml/2006/main" r:embed="R9ed92d923a214a22"/>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11</xdr:col>
      <xdr:colOff>0</xdr:colOff>
      <xdr:row>1</xdr:row>
      <xdr:rowOff>0</xdr:rowOff>
    </xdr:from>
    <xdr:ext cx="419100" cy="419100"/>
    <xdr:pic>
      <xdr:nvPicPr>
        <xdr:cNvPr id="1" name="423b4155-14dd-4888-8b1b-4d3db2d16b42"/>
        <xdr:cNvPicPr>
          <a:picLocks xmlns:a="http://schemas.openxmlformats.org/drawingml/2006/main" noChangeAspect="1"/>
        </xdr:cNvPicPr>
      </xdr:nvPicPr>
      <xdr:blipFill>
        <a:blip xmlns:r="http://schemas.openxmlformats.org/officeDocument/2006/relationships" xmlns:a="http://schemas.openxmlformats.org/drawingml/2006/main" r:embed="R5749bc58da99413a"/>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15</xdr:col>
      <xdr:colOff>0</xdr:colOff>
      <xdr:row>1</xdr:row>
      <xdr:rowOff>0</xdr:rowOff>
    </xdr:from>
    <xdr:ext cx="419100" cy="419100"/>
    <xdr:pic>
      <xdr:nvPicPr>
        <xdr:cNvPr id="1" name="d4617d71-8190-4961-a654-206653d20084"/>
        <xdr:cNvPicPr>
          <a:picLocks xmlns:a="http://schemas.openxmlformats.org/drawingml/2006/main" noChangeAspect="1"/>
        </xdr:cNvPicPr>
      </xdr:nvPicPr>
      <xdr:blipFill>
        <a:blip xmlns:r="http://schemas.openxmlformats.org/officeDocument/2006/relationships" xmlns:a="http://schemas.openxmlformats.org/drawingml/2006/main" r:embed="R1127429c5f884e97"/>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7</xdr:col>
      <xdr:colOff>0</xdr:colOff>
      <xdr:row>1</xdr:row>
      <xdr:rowOff>0</xdr:rowOff>
    </xdr:from>
    <xdr:ext cx="419100" cy="419100"/>
    <xdr:pic>
      <xdr:nvPicPr>
        <xdr:cNvPr id="1" name="94651646-ede2-4478-8175-5bf0a83193eb"/>
        <xdr:cNvPicPr>
          <a:picLocks xmlns:a="http://schemas.openxmlformats.org/drawingml/2006/main" noChangeAspect="1"/>
        </xdr:cNvPicPr>
      </xdr:nvPicPr>
      <xdr:blipFill>
        <a:blip xmlns:r="http://schemas.openxmlformats.org/officeDocument/2006/relationships" xmlns:a="http://schemas.openxmlformats.org/drawingml/2006/main" r:embed="R4c453bd945ed4ed8"/>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13f5502b03d4dc8" /></Relationships>
</file>

<file path=xl/worksheets/_rels/sheet2.xml.rels>&#65279;<?xml version="1.0" encoding="utf-8"?><Relationships xmlns="http://schemas.openxmlformats.org/package/2006/relationships"><Relationship Type="http://schemas.openxmlformats.org/officeDocument/2006/relationships/drawing" Target="/xl/drawings/drawing2.xml" Id="Rfb7f7706cc694521" /></Relationships>
</file>

<file path=xl/worksheets/_rels/sheet3.xml.rels>&#65279;<?xml version="1.0" encoding="utf-8"?><Relationships xmlns="http://schemas.openxmlformats.org/package/2006/relationships"><Relationship Type="http://schemas.openxmlformats.org/officeDocument/2006/relationships/drawing" Target="/xl/drawings/drawing3.xml" Id="R1d5ed80b432c4f25" /></Relationships>
</file>

<file path=xl/worksheets/_rels/sheet4.xml.rels>&#65279;<?xml version="1.0" encoding="utf-8"?><Relationships xmlns="http://schemas.openxmlformats.org/package/2006/relationships"><Relationship Type="http://schemas.openxmlformats.org/officeDocument/2006/relationships/drawing" Target="/xl/drawings/drawing4.xml" Id="Rbcacf468b51d4667" /></Relationships>
</file>

<file path=xl/worksheets/_rels/sheet5.xml.rels>&#65279;<?xml version="1.0" encoding="utf-8"?><Relationships xmlns="http://schemas.openxmlformats.org/package/2006/relationships"><Relationship Type="http://schemas.openxmlformats.org/officeDocument/2006/relationships/drawing" Target="/xl/drawings/drawing5.xml" Id="Rfe1bf9f3022643e0"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6" hidden="0" customWidth="1"/>
    <col min="3" max="3" width="39" hidden="0" customWidth="1"/>
    <col min="4" max="4" width="17" hidden="0" customWidth="1"/>
    <col min="5" max="5" width="18" hidden="0" customWidth="1"/>
    <col min="6" max="6" width="28" hidden="0" customWidth="1"/>
    <col min="7" max="7" width="24" hidden="0" customWidth="1"/>
    <col min="8" max="8" width="23" hidden="0" customWidth="1"/>
    <col min="9" max="9" width="18" hidden="0" customWidth="1"/>
    <col min="10" max="10" width="15" hidden="0" customWidth="1"/>
    <col min="11" max="11" width="15" hidden="0" customWidth="1"/>
    <col min="12" max="12" width="20" hidden="0" customWidth="1"/>
    <col min="13" max="13" hidden="1"/>
    <col min="14" max="14" hidden="1"/>
    <col min="15" max="15" hidden="1"/>
    <col min="16" max="16" hidden="1"/>
    <col min="17" max="17" hidden="1"/>
  </cols>
  <sheetData>
    <row r="1" ht="23" customHeight="1">
      <c r="B1" s="23"/>
      <c r="C1" s="23"/>
      <c r="D1" s="23"/>
      <c r="E1" s="23"/>
      <c r="F1" s="23"/>
      <c r="G1" s="23"/>
      <c r="H1" s="23"/>
      <c r="I1" s="23"/>
      <c r="J1" s="23"/>
      <c r="K1" s="23"/>
      <c r="L1" s="23"/>
    </row>
    <row r="2" ht="25" customHeight="1">
      <c r="B2" s="24" t="str">
        <v>Lo que ve el cliente</v>
      </c>
      <c r="C2" s="24"/>
      <c r="D2" s="24"/>
      <c r="E2" s="24"/>
      <c r="F2" s="24"/>
      <c r="G2" s="24"/>
      <c r="H2" s="24"/>
      <c r="I2" s="24"/>
      <c r="J2" s="24"/>
      <c r="K2" s="24"/>
      <c r="L2" s="23"/>
    </row>
    <row r="3" ht="25" customHeight="1">
      <c r="B3" s="24"/>
      <c r="C3" s="24"/>
      <c r="D3" s="24"/>
      <c r="E3" s="24"/>
      <c r="F3" s="24"/>
      <c r="G3" s="24"/>
      <c r="H3" s="24"/>
      <c r="I3" s="24"/>
      <c r="J3" s="24"/>
      <c r="K3" s="24"/>
      <c r="L3" s="23"/>
    </row>
    <row r="4" ht="23" customHeight="1">
      <c r="B4" s="25"/>
      <c r="C4" s="25"/>
      <c r="D4" s="25"/>
      <c r="E4" s="25"/>
      <c r="F4" s="25"/>
      <c r="G4" s="25"/>
      <c r="H4" s="25"/>
      <c r="I4" s="25"/>
      <c r="J4" s="25"/>
      <c r="K4" s="25"/>
      <c r="L4" s="25"/>
    </row>
    <row r="5" ht="30" customHeight="1">
      <c r="B5" s="26" t="str">
        <f>IF(COUNTIFS('AVISOS'!$N$10:$N$509,1)=0,"Primero cargamos las partidas y sus capítulos. No hay revisión cerrada sin datos.",IF(COUNTIFS($M$7:$M$13,"&gt;0")&gt;0,"Revisamos los avisos de los datos cargados. Un total que cuadra no cierra las demás comprobaciones.",IF(COUNTIFS($M$21:$M$28,"&gt;0")&gt;0,"Los datos cargados no muestran avisos numéricos. Queda la comprobación de presentación.","Sin avisos en los datos cargados y comprobaciones manuales registradas. Confirmamos que la cobertura sea completa.")))</f>
        <v>Los datos cargados no muestran avisos numéricos. Queda la comprobación de presentación.</v>
      </c>
      <c r="C5" s="26"/>
      <c r="D5" s="26"/>
      <c r="E5" s="26"/>
      <c r="F5" s="26"/>
      <c r="G5" s="26"/>
      <c r="H5" s="26"/>
      <c r="I5" s="26"/>
      <c r="J5" s="26"/>
      <c r="K5" s="26"/>
      <c r="L5" s="26"/>
    </row>
    <row r="6" ht="42" customHeight="1">
      <c r="B6" s="27" t="str">
        <v>Nº</v>
      </c>
      <c r="C6" s="27" t="str">
        <v>Comprobación</v>
      </c>
      <c r="D6" s="27" t="str">
        <v>Con avisos</v>
      </c>
      <c r="E6" s="27" t="str">
        <v>Estado</v>
      </c>
      <c r="F6" s="27" t="str">
        <v>Qué revisamos</v>
      </c>
      <c r="G6" s="27" t="str"/>
      <c r="H6" s="27" t="str"/>
      <c r="I6" s="27" t="str"/>
      <c r="J6" s="27" t="str"/>
      <c r="K6" s="27" t="str"/>
      <c r="L6" s="27" t="str"/>
    </row>
    <row r="7" ht="40" customHeight="1">
      <c r="B7" s="28" t="n">
        <v>1</v>
      </c>
      <c r="C7" s="23" t="str">
        <v>Detalle y resumen</v>
      </c>
      <c r="D7" s="28" t="n">
        <f>COUNTIFS($M$45:$M$94,"&gt;0")+IF(AND(COUNTIFS('AVISOS'!$N$10:$N$509,1)&gt;0,COUNTA('REFERENCIAS'!$B$15:$B$64)=0),1,0)</f>
        <v>0</v>
      </c>
      <c r="E7" s="23" t="str">
        <f>IF(NOT(ISNUMBER(M7)),"",IF(M7=2,"ROJO",IF(M7=1,"ÁMBAR","VERDE")))</f>
        <v>VERDE</v>
      </c>
      <c r="F7" s="26" t="str">
        <v>El mismo alcance, sin subtotales duplicados ni impuestos mezclados.</v>
      </c>
      <c r="G7" s="26"/>
      <c r="H7" s="26"/>
      <c r="I7" s="26"/>
      <c r="J7" s="26"/>
      <c r="K7" s="26"/>
      <c r="L7" s="26"/>
      <c r="M7" s="29" t="n">
        <f>IF(COUNTIFS('AVISOS'!$N$10:$N$509,1)=0,"",IF(COUNTA('REFERENCIAS'!$B$15:$B$64)=0,1,IF(COUNTIFS($M$45:$M$94,2)&gt;0,2,IF(COUNTIFS($M$45:$M$94,1)&gt;0,1,0))))</f>
        <v>0</v>
      </c>
    </row>
    <row r="8" ht="40" customHeight="1">
      <c r="B8" s="28" t="n">
        <v>2</v>
      </c>
      <c r="C8" s="23" t="str">
        <v>Precios e importes</v>
      </c>
      <c r="D8" s="28" t="n">
        <f>COUNTIFS('AVISOS'!$P$10:$P$509,"&gt;0")</f>
        <v>0</v>
      </c>
      <c r="E8" s="23" t="str">
        <f>IF(NOT(ISNUMBER(M8)),"",IF(M8=2,"ROJO",IF(M8=1,"ÁMBAR","VERDE")))</f>
        <v>VERDE</v>
      </c>
      <c r="F8" s="26" t="str">
        <v>Cantidad por precio, redondeo declarado y precio de la otra vista si existe.</v>
      </c>
      <c r="G8" s="26"/>
      <c r="H8" s="26"/>
      <c r="I8" s="26"/>
      <c r="J8" s="26"/>
      <c r="K8" s="26"/>
      <c r="L8" s="26"/>
      <c r="M8" s="29" t="n">
        <f>IF(COUNTIFS('AVISOS'!$N$10:$N$509,1)=0,"",IF(COUNTIFS('AVISOS'!$P$10:$P$509,2)&gt;0,2,IF(D8&gt;0,1,0)))</f>
        <v>0</v>
      </c>
    </row>
    <row r="9" ht="40" customHeight="1">
      <c r="B9" s="28" t="n">
        <v>3</v>
      </c>
      <c r="C9" s="23" t="str">
        <v>Partidas a cero</v>
      </c>
      <c r="D9" s="28" t="n">
        <f>COUNTIFS('AVISOS'!$Q$10:$Q$509,"&gt;0")</f>
        <v>0</v>
      </c>
      <c r="E9" s="23" t="str">
        <f>IF(NOT(ISNUMBER(M9)),"",IF(M9=2,"ROJO",IF(M9=1,"ÁMBAR","VERDE")))</f>
        <v>VERDE</v>
      </c>
      <c r="F9" s="26" t="str">
        <v>Distinguimos lo pendiente de lo incluido con referencia comprobada.</v>
      </c>
      <c r="G9" s="26"/>
      <c r="H9" s="26"/>
      <c r="I9" s="26"/>
      <c r="J9" s="26"/>
      <c r="K9" s="26"/>
      <c r="L9" s="26"/>
      <c r="M9" s="29" t="n">
        <f>IF(COUNTIFS('AVISOS'!$N$10:$N$509,1)=0,"",IF(COUNTIFS('AVISOS'!$Q$10:$Q$509,2)&gt;0,2,IF(D9&gt;0,1,0)))</f>
        <v>0</v>
      </c>
    </row>
    <row r="10" ht="40" customHeight="1">
      <c r="B10" s="28" t="n">
        <v>4</v>
      </c>
      <c r="C10" s="23" t="str">
        <v>Descripciones</v>
      </c>
      <c r="D10" s="28" t="n">
        <f>COUNTIFS('AVISOS'!$R$10:$R$509,"&gt;0")</f>
        <v>0</v>
      </c>
      <c r="E10" s="23" t="str">
        <f>IF(NOT(ISNUMBER(M10)),"",IF(M10=2,"ROJO",IF(M10=1,"ÁMBAR","VERDE")))</f>
        <v>VERDE</v>
      </c>
      <c r="F10" s="26" t="str">
        <v>Cotejamos los textos. Una longitud alta solo pide mirar el documento.</v>
      </c>
      <c r="G10" s="26"/>
      <c r="H10" s="26"/>
      <c r="I10" s="26"/>
      <c r="J10" s="26"/>
      <c r="K10" s="26"/>
      <c r="L10" s="26"/>
      <c r="M10" s="29" t="n">
        <f>IF(COUNTIFS('AVISOS'!$N$10:$N$509,1)=0,"",IF(COUNTIFS('AVISOS'!$R$10:$R$509,2)&gt;0,2,IF(D10&gt;0,1,0)))</f>
        <v>0</v>
      </c>
    </row>
    <row r="11" ht="40" customHeight="1">
      <c r="B11" s="28" t="n">
        <v>5</v>
      </c>
      <c r="C11" s="23" t="str">
        <v>Decimales visibles</v>
      </c>
      <c r="D11" s="28" t="n">
        <f>COUNTIFS('AVISOS'!$S$10:$S$509,"&gt;0")</f>
        <v>0</v>
      </c>
      <c r="E11" s="23" t="str">
        <f>IF(NOT(ISNUMBER(M11)),"",IF(M11=2,"ROJO",IF(M11=1,"ÁMBAR","VERDE")))</f>
        <v>VERDE</v>
      </c>
      <c r="F11" s="26" t="str">
        <v>Contrastamos el valor completo con los decimales que el cliente ve.</v>
      </c>
      <c r="G11" s="26"/>
      <c r="H11" s="26"/>
      <c r="I11" s="26"/>
      <c r="J11" s="26"/>
      <c r="K11" s="26"/>
      <c r="L11" s="26"/>
      <c r="M11" s="29" t="n">
        <f>IF(COUNTIFS('AVISOS'!$N$10:$N$509,1)=0,"",IF(COUNTIFS('AVISOS'!$S$10:$S$509,2)&gt;0,2,IF(D11&gt;0,1,0)))</f>
        <v>0</v>
      </c>
    </row>
    <row r="12" ht="40" customHeight="1">
      <c r="B12" s="28" t="n">
        <v>6</v>
      </c>
      <c r="C12" s="23" t="str">
        <v>Unidades</v>
      </c>
      <c r="D12" s="28" t="n">
        <f>COUNTIFS('AVISOS'!$T$10:$T$509,"&gt;0")</f>
        <v>0</v>
      </c>
      <c r="E12" s="23" t="str">
        <f>IF(NOT(ISNUMBER(M12)),"",IF(M12=2,"ROJO",IF(M12=1,"ÁMBAR","VERDE")))</f>
        <v>VERDE</v>
      </c>
      <c r="F12" s="26" t="str">
        <v>Confirmamos las unidades que no estén en la lista admitida.</v>
      </c>
      <c r="G12" s="26"/>
      <c r="H12" s="26"/>
      <c r="I12" s="26"/>
      <c r="J12" s="26"/>
      <c r="K12" s="26"/>
      <c r="L12" s="26"/>
      <c r="M12" s="29" t="n">
        <f>IF(COUNTIFS('AVISOS'!$N$10:$N$509,1)=0,"",IF(COUNTIFS('AVISOS'!$T$10:$T$509,2)&gt;0,2,IF(D12&gt;0,1,0)))</f>
        <v>0</v>
      </c>
    </row>
    <row r="13" ht="40" customHeight="1">
      <c r="B13" s="28" t="n">
        <v>7</v>
      </c>
      <c r="C13" s="23" t="str">
        <v>Datos y correspondencia</v>
      </c>
      <c r="D13" s="28" t="n">
        <f>COUNTIFS('AVISOS'!$O$10:$O$509,"&gt;0")</f>
        <v>0</v>
      </c>
      <c r="E13" s="23" t="str">
        <f>IF(NOT(ISNUMBER(M13)),"",IF(M13=2,"ROJO",IF(M13=1,"ÁMBAR","VERDE")))</f>
        <v>VERDE</v>
      </c>
      <c r="F13" s="26" t="str">
        <v>Completamos datos, referencias, capítulos y códigos duplicados.</v>
      </c>
      <c r="G13" s="26"/>
      <c r="H13" s="26"/>
      <c r="I13" s="26"/>
      <c r="J13" s="26"/>
      <c r="K13" s="26"/>
      <c r="L13" s="26"/>
      <c r="M13" s="29" t="n">
        <f>IF(COUNTIFS('AVISOS'!$N$10:$N$509,1)=0,"",IF(COUNTIFS('AVISOS'!$O$10:$O$509,2)&gt;0,2,IF(D13&gt;0,1,0)))</f>
        <v>0</v>
      </c>
    </row>
    <row r="14" ht="23" customHeight="1">
      <c r="B14" s="23"/>
      <c r="C14" s="23"/>
      <c r="D14" s="23"/>
      <c r="E14" s="23"/>
      <c r="F14" s="23"/>
      <c r="G14" s="23"/>
      <c r="H14" s="23"/>
      <c r="I14" s="23"/>
      <c r="J14" s="23"/>
      <c r="K14" s="23"/>
      <c r="L14" s="23"/>
    </row>
    <row r="15" ht="23" customHeight="1">
      <c r="B15" s="23"/>
      <c r="C15" s="23"/>
      <c r="D15" s="23"/>
      <c r="E15" s="23"/>
      <c r="F15" s="23"/>
      <c r="G15" s="23"/>
      <c r="H15" s="23"/>
      <c r="I15" s="23"/>
      <c r="J15" s="23"/>
      <c r="K15" s="23"/>
      <c r="L15" s="23"/>
    </row>
    <row r="16" ht="24" customHeight="1">
      <c r="B16" s="26" t="str">
        <v>Después abrimos los archivos finales. Registramos estas comprobaciones manuales con el documento, página o prueba realizada. No aplica requiere motivo. Un Sí manual no elimina un aviso numérico.</v>
      </c>
      <c r="C16" s="26"/>
      <c r="D16" s="26"/>
      <c r="E16" s="26"/>
      <c r="F16" s="26"/>
      <c r="G16" s="26"/>
      <c r="H16" s="26"/>
      <c r="I16" s="26"/>
      <c r="J16" s="26"/>
      <c r="K16" s="26"/>
      <c r="L16" s="26"/>
    </row>
    <row r="17" ht="24" customHeight="1">
      <c r="B17" s="26"/>
      <c r="C17" s="26"/>
      <c r="D17" s="26"/>
      <c r="E17" s="26"/>
      <c r="F17" s="26"/>
      <c r="G17" s="26"/>
      <c r="H17" s="26"/>
      <c r="I17" s="26"/>
      <c r="J17" s="26"/>
      <c r="K17" s="26"/>
      <c r="L17" s="26"/>
    </row>
    <row r="18" ht="23" customHeight="1">
      <c r="B18" s="23"/>
      <c r="C18" s="23"/>
      <c r="D18" s="23"/>
      <c r="E18" s="23"/>
      <c r="F18" s="23"/>
      <c r="G18" s="23"/>
      <c r="H18" s="23"/>
      <c r="I18" s="23"/>
      <c r="J18" s="23"/>
      <c r="K18" s="23"/>
      <c r="L18" s="23"/>
    </row>
    <row r="19" ht="23" customHeight="1">
      <c r="B19" s="23"/>
      <c r="C19" s="23"/>
      <c r="D19" s="23"/>
      <c r="E19" s="23"/>
      <c r="F19" s="23"/>
      <c r="G19" s="23"/>
      <c r="H19" s="23"/>
      <c r="I19" s="23"/>
      <c r="J19" s="23"/>
      <c r="K19" s="23"/>
      <c r="L19" s="23"/>
    </row>
    <row r="20" ht="42" customHeight="1">
      <c r="B20" s="27" t="str">
        <v>Nº</v>
      </c>
      <c r="C20" s="27" t="str">
        <v>Comprobación de presentación</v>
      </c>
      <c r="D20" s="27" t="str"/>
      <c r="E20" s="27" t="str"/>
      <c r="F20" s="27" t="str"/>
      <c r="G20" s="27" t="str"/>
      <c r="H20" s="27" t="str">
        <v>Estado manual</v>
      </c>
      <c r="I20" s="27" t="str">
        <v>Documento, prueba o motivo</v>
      </c>
      <c r="J20" s="27" t="str"/>
      <c r="K20" s="27" t="str"/>
      <c r="L20" s="27" t="str"/>
    </row>
    <row r="21" ht="62" customHeight="1">
      <c r="B21" s="23" t="n">
        <v>1</v>
      </c>
      <c r="C21" s="26" t="str">
        <v>Lo abrimos en el móvil. Comprobamos que cantidades, precios e importes se leen completos. Revisamos también la última columna y los saltos de página.</v>
      </c>
      <c r="D21" s="26"/>
      <c r="E21" s="26"/>
      <c r="F21" s="26"/>
      <c r="G21" s="26"/>
      <c r="H21" s="30" t="str">
        <v>Pendiente</v>
      </c>
      <c r="I21" s="31"/>
      <c r="J21" s="31"/>
      <c r="K21" s="31"/>
      <c r="L21" s="31"/>
      <c r="M21" s="29" t="n">
        <f>IFERROR(IF(OR(H21="Comprobado",H21="No aplica"),IF(AND(LEN(TRIM(I21&amp;""))&gt;0,TRIM(I21&amp;"")&lt;&gt;"Pendiente",TRIM(I21&amp;"")&lt;&gt;"Por confirmar",TRIM(I21&amp;"")&lt;&gt;"No consta",TRIM(I21&amp;"")&lt;&gt;"Desconocido",TRIM(I21&amp;"")&lt;&gt;"Sin confirmar",TRIM(I21&amp;"")&lt;&gt;"Por decidir",TRIM(I21&amp;"")&lt;&gt;"Por comprobar"),0,1),IF(OR(H21="",H21="Pendiente"),1,2)),2)</f>
        <v>1</v>
      </c>
    </row>
    <row r="22" ht="62" customHeight="1">
      <c r="B22" s="23" t="n">
        <v>2</v>
      </c>
      <c r="C22" s="26" t="str">
        <v>Quitamos las notas internas. Buscamos comentarios de trabajo, referencias privadas y explicaciones que no van dirigidas al cliente. Revisamos también nombres de archivo y propiedades.</v>
      </c>
      <c r="D22" s="26"/>
      <c r="E22" s="26"/>
      <c r="F22" s="26"/>
      <c r="G22" s="26"/>
      <c r="H22" s="30" t="str">
        <v>Pendiente</v>
      </c>
      <c r="I22" s="31"/>
      <c r="J22" s="31"/>
      <c r="K22" s="31"/>
      <c r="L22" s="31"/>
      <c r="M22" s="29" t="n">
        <f>IFERROR(IF(OR(H22="Comprobado",H22="No aplica"),IF(AND(LEN(TRIM(I22&amp;""))&gt;0,TRIM(I22&amp;"")&lt;&gt;"Pendiente",TRIM(I22&amp;"")&lt;&gt;"Por confirmar",TRIM(I22&amp;"")&lt;&gt;"No consta",TRIM(I22&amp;"")&lt;&gt;"Desconocido",TRIM(I22&amp;"")&lt;&gt;"Sin confirmar",TRIM(I22&amp;"")&lt;&gt;"Por decidir",TRIM(I22&amp;"")&lt;&gt;"Por comprobar"),0,1),IF(OR(H22="",H22="Pendiente"),1,2)),2)</f>
        <v>1</v>
      </c>
    </row>
    <row r="23" ht="62" customHeight="1">
      <c r="B23" s="23" t="n">
        <v>3</v>
      </c>
      <c r="C23" s="26" t="str">
        <v>Leemos las descripciones completas. Cotejamos los textos con el origen y vemos que el PDF no los corta. Si abreviamos una descripción, conservamos el alcance y dejamos su referencia.</v>
      </c>
      <c r="D23" s="26"/>
      <c r="E23" s="26"/>
      <c r="F23" s="26"/>
      <c r="G23" s="26"/>
      <c r="H23" s="30" t="str">
        <v>Pendiente</v>
      </c>
      <c r="I23" s="31"/>
      <c r="J23" s="31"/>
      <c r="K23" s="31"/>
      <c r="L23" s="31"/>
      <c r="M23" s="29" t="n">
        <f>IFERROR(IF(OR(H23="Comprobado",H23="No aplica"),IF(AND(LEN(TRIM(I23&amp;""))&gt;0,TRIM(I23&amp;"")&lt;&gt;"Pendiente",TRIM(I23&amp;"")&lt;&gt;"Por confirmar",TRIM(I23&amp;"")&lt;&gt;"No consta",TRIM(I23&amp;"")&lt;&gt;"Desconocido",TRIM(I23&amp;"")&lt;&gt;"Sin confirmar",TRIM(I23&amp;"")&lt;&gt;"Por decidir",TRIM(I23&amp;"")&lt;&gt;"Por comprobar"),0,1),IF(OR(H23="",H23="Pendiente"),1,2)),2)</f>
        <v>1</v>
      </c>
    </row>
    <row r="24" ht="62" customHeight="1">
      <c r="B24" s="23" t="n">
        <v>4</v>
      </c>
      <c r="C24" s="26" t="str">
        <v>Explicamos las partidas alzadas. Indicamos qué incluye cada partida alzada, su alcance y qué queda pendiente. Un importe global sin explicación no permite comparar lo mismo.</v>
      </c>
      <c r="D24" s="26"/>
      <c r="E24" s="26"/>
      <c r="F24" s="26"/>
      <c r="G24" s="26"/>
      <c r="H24" s="30" t="str">
        <v>Pendiente</v>
      </c>
      <c r="I24" s="31"/>
      <c r="J24" s="31"/>
      <c r="K24" s="31"/>
      <c r="L24" s="31"/>
      <c r="M24" s="29" t="n">
        <f>IFERROR(IF(OR(H24="Comprobado",H24="No aplica"),IF(AND(LEN(TRIM(I24&amp;""))&gt;0,TRIM(I24&amp;"")&lt;&gt;"Pendiente",TRIM(I24&amp;"")&lt;&gt;"Por confirmar",TRIM(I24&amp;"")&lt;&gt;"No consta",TRIM(I24&amp;"")&lt;&gt;"Desconocido",TRIM(I24&amp;"")&lt;&gt;"Sin confirmar",TRIM(I24&amp;"")&lt;&gt;"Por decidir",TRIM(I24&amp;"")&lt;&gt;"Por comprobar"),0,1),IF(OR(H24="",H24="Pendiente"),1,2)),2)</f>
        <v>1</v>
      </c>
    </row>
    <row r="25" ht="62" customHeight="1">
      <c r="B25" s="23" t="n">
        <v>5</v>
      </c>
      <c r="C25" s="26" t="str">
        <v>Cuadramos detalle y resumen. Contrastamos cantidades, precios e importes de la misma versión y con el mismo criterio. Revisamos los ceros: incluido en otra partida no significa sin valorar.</v>
      </c>
      <c r="D25" s="26"/>
      <c r="E25" s="26"/>
      <c r="F25" s="26"/>
      <c r="G25" s="26"/>
      <c r="H25" s="30" t="str">
        <v>Pendiente</v>
      </c>
      <c r="I25" s="31"/>
      <c r="J25" s="31"/>
      <c r="K25" s="31"/>
      <c r="L25" s="31"/>
      <c r="M25" s="29" t="n">
        <f>IFERROR(IF(OR(H25="Comprobado",H25="No aplica"),IF(AND(LEN(TRIM(I25&amp;""))&gt;0,TRIM(I25&amp;"")&lt;&gt;"Pendiente",TRIM(I25&amp;"")&lt;&gt;"Por confirmar",TRIM(I25&amp;"")&lt;&gt;"No consta",TRIM(I25&amp;"")&lt;&gt;"Desconocido",TRIM(I25&amp;"")&lt;&gt;"Sin confirmar",TRIM(I25&amp;"")&lt;&gt;"Por decidir",TRIM(I25&amp;"")&lt;&gt;"Por comprobar"),0,1),IF(OR(H25="",H25="Pendiente"),1,2)),2)</f>
        <v>1</v>
      </c>
    </row>
    <row r="26" ht="62" customHeight="1">
      <c r="B26" s="23" t="n">
        <v>6</v>
      </c>
      <c r="C26" s="26" t="str">
        <v>Dejamos claro el IVA. Comprobamos que se distingue la base de los impuestos y del total. Confirmamos el tratamiento que corresponda; no lo deducimos de un importe sin aclarar.</v>
      </c>
      <c r="D26" s="26"/>
      <c r="E26" s="26"/>
      <c r="F26" s="26"/>
      <c r="G26" s="26"/>
      <c r="H26" s="30" t="str">
        <v>Pendiente</v>
      </c>
      <c r="I26" s="31"/>
      <c r="J26" s="31"/>
      <c r="K26" s="31"/>
      <c r="L26" s="31"/>
      <c r="M26" s="29" t="n">
        <f>IFERROR(IF(OR(H26="Comprobado",H26="No aplica"),IF(AND(LEN(TRIM(I26&amp;""))&gt;0,TRIM(I26&amp;"")&lt;&gt;"Pendiente",TRIM(I26&amp;"")&lt;&gt;"Por confirmar",TRIM(I26&amp;"")&lt;&gt;"No consta",TRIM(I26&amp;"")&lt;&gt;"Desconocido",TRIM(I26&amp;"")&lt;&gt;"Sin confirmar",TRIM(I26&amp;"")&lt;&gt;"Por decidir",TRIM(I26&amp;"")&lt;&gt;"Por comprobar"),0,1),IF(OR(H26="",H26="Pendiente"),1,2)),2)</f>
        <v>1</v>
      </c>
    </row>
    <row r="27" ht="62" customHeight="1">
      <c r="B27" s="23" t="n">
        <v>7</v>
      </c>
      <c r="C27" s="26" t="str">
        <v>Importamos el BC3 de prueba. En el programa de destino revisamos cantidades y líneas de medición de varias partidas, incluida una compleja. Que el total cuadre no demuestra que viajen las líneas.</v>
      </c>
      <c r="D27" s="26"/>
      <c r="E27" s="26"/>
      <c r="F27" s="26"/>
      <c r="G27" s="26"/>
      <c r="H27" s="30" t="str">
        <v>Pendiente</v>
      </c>
      <c r="I27" s="31"/>
      <c r="J27" s="31"/>
      <c r="K27" s="31"/>
      <c r="L27" s="31"/>
      <c r="M27" s="29" t="n">
        <f>IFERROR(IF(OR(H27="Comprobado",H27="No aplica"),IF(AND(LEN(TRIM(I27&amp;""))&gt;0,TRIM(I27&amp;"")&lt;&gt;"Pendiente",TRIM(I27&amp;"")&lt;&gt;"Por confirmar",TRIM(I27&amp;"")&lt;&gt;"No consta",TRIM(I27&amp;"")&lt;&gt;"Desconocido",TRIM(I27&amp;"")&lt;&gt;"Sin confirmar",TRIM(I27&amp;"")&lt;&gt;"Por decidir",TRIM(I27&amp;"")&lt;&gt;"Por comprobar"),0,1),IF(OR(H27="",H27="Pendiente"),1,2)),2)</f>
        <v>1</v>
      </c>
    </row>
    <row r="28" ht="62" customHeight="1">
      <c r="B28" s="23" t="n">
        <v>8</v>
      </c>
      <c r="C28" s="26" t="str">
        <v>Elegimos los archivos que enviamos. Comprobamos versión, destinatario, adjuntos y formato. Volvemos a abrir los archivos finales después de cualquier cambio y mantenemos los pendientes visibles.</v>
      </c>
      <c r="D28" s="26"/>
      <c r="E28" s="26"/>
      <c r="F28" s="26"/>
      <c r="G28" s="26"/>
      <c r="H28" s="30" t="str">
        <v>Pendiente</v>
      </c>
      <c r="I28" s="31"/>
      <c r="J28" s="31"/>
      <c r="K28" s="31"/>
      <c r="L28" s="31"/>
      <c r="M28" s="29" t="n">
        <f>IFERROR(IF(OR(H28="Comprobado",H28="No aplica"),IF(AND(LEN(TRIM(I28&amp;""))&gt;0,TRIM(I28&amp;"")&lt;&gt;"Pendiente",TRIM(I28&amp;"")&lt;&gt;"Por confirmar",TRIM(I28&amp;"")&lt;&gt;"No consta",TRIM(I28&amp;"")&lt;&gt;"Desconocido",TRIM(I28&amp;"")&lt;&gt;"Sin confirmar",TRIM(I28&amp;"")&lt;&gt;"Por decidir",TRIM(I28&amp;"")&lt;&gt;"Por comprobar"),0,1),IF(OR(H28="",H28="Pendiente"),1,2)),2)</f>
        <v>1</v>
      </c>
    </row>
    <row r="29" ht="23" customHeight="1">
      <c r="B29" s="23"/>
      <c r="C29" s="23"/>
      <c r="D29" s="23"/>
      <c r="E29" s="23"/>
      <c r="F29" s="23"/>
      <c r="G29" s="23"/>
      <c r="H29" s="23"/>
      <c r="I29" s="23"/>
      <c r="J29" s="23"/>
      <c r="K29" s="23"/>
      <c r="L29" s="23"/>
    </row>
    <row r="30" ht="23" customHeight="1">
      <c r="B30" s="23"/>
      <c r="C30" s="23"/>
      <c r="D30" s="23"/>
      <c r="E30" s="23"/>
      <c r="F30" s="23"/>
      <c r="G30" s="23"/>
      <c r="H30" s="23"/>
      <c r="I30" s="23"/>
      <c r="J30" s="23"/>
      <c r="K30" s="23"/>
      <c r="L30" s="23"/>
    </row>
    <row r="31" ht="24" customHeight="1">
      <c r="B31" s="26" t="str">
        <v>Cobertura: comprobamos solo lo pegado. Una descripción larga no demuestra que el PDF esté cortado. La hoja no importa ni lee PDF o BC3. El PDF adjunto nos guía para abrirlos y comprobarlos.</v>
      </c>
      <c r="C31" s="26"/>
      <c r="D31" s="26"/>
      <c r="E31" s="26"/>
      <c r="F31" s="26"/>
      <c r="G31" s="26"/>
      <c r="H31" s="26"/>
      <c r="I31" s="26"/>
      <c r="J31" s="26"/>
      <c r="K31" s="26"/>
      <c r="L31" s="26"/>
    </row>
    <row r="32" ht="24" customHeight="1">
      <c r="B32" s="26"/>
      <c r="C32" s="26"/>
      <c r="D32" s="26"/>
      <c r="E32" s="26"/>
      <c r="F32" s="26"/>
      <c r="G32" s="26"/>
      <c r="H32" s="26"/>
      <c r="I32" s="26"/>
      <c r="J32" s="26"/>
      <c r="K32" s="26"/>
      <c r="L32" s="26"/>
    </row>
    <row r="33" ht="23" customHeight="1">
      <c r="B33" s="23"/>
      <c r="C33" s="23"/>
      <c r="D33" s="23"/>
      <c r="E33" s="23"/>
      <c r="F33" s="23"/>
      <c r="G33" s="23"/>
      <c r="H33" s="23"/>
      <c r="I33" s="23"/>
      <c r="J33" s="23"/>
      <c r="K33" s="23"/>
      <c r="L33" s="23"/>
    </row>
    <row r="34" ht="23" customHeight="1">
      <c r="B34" s="23"/>
      <c r="C34" s="23"/>
      <c r="D34" s="23"/>
      <c r="E34" s="23"/>
      <c r="F34" s="23"/>
      <c r="G34" s="23"/>
      <c r="H34" s="23"/>
      <c r="I34" s="23"/>
      <c r="J34" s="23"/>
      <c r="K34" s="23"/>
      <c r="L34" s="23"/>
    </row>
    <row r="35" ht="26" customHeight="1">
      <c r="B35" s="26" t="str">
        <v>Partidas introducidas</v>
      </c>
      <c r="C35" s="26"/>
      <c r="D35" s="26"/>
      <c r="E35" s="26"/>
      <c r="F35" s="26"/>
      <c r="G35" s="23" t="n">
        <f>COUNTIFS('AVISOS'!$N$10:$N$509,1)</f>
        <v>2</v>
      </c>
      <c r="H35" s="26" t="str">
        <v>Pendientes manuales</v>
      </c>
      <c r="I35" s="26"/>
      <c r="J35" s="26"/>
      <c r="K35" s="26"/>
      <c r="L35" s="23" t="n">
        <f>COUNTIFS(M21:M28,"&gt;0")</f>
        <v>8</v>
      </c>
    </row>
    <row r="36" ht="23" customHeight="1">
      <c r="B36" s="23"/>
      <c r="C36" s="23"/>
      <c r="D36" s="23"/>
      <c r="E36" s="23"/>
      <c r="F36" s="23"/>
      <c r="G36" s="23"/>
      <c r="H36" s="23"/>
      <c r="I36" s="23"/>
      <c r="J36" s="23"/>
      <c r="K36" s="23"/>
      <c r="L36" s="23"/>
    </row>
    <row r="37" ht="23" customHeight="1">
      <c r="B37" s="23"/>
      <c r="C37" s="23"/>
      <c r="D37" s="23"/>
      <c r="E37" s="23"/>
      <c r="F37" s="23"/>
      <c r="G37" s="23"/>
      <c r="H37" s="23"/>
      <c r="I37" s="23"/>
      <c r="J37" s="23"/>
      <c r="K37" s="23"/>
      <c r="L37" s="23"/>
    </row>
    <row r="38" ht="24" customHeight="1">
      <c r="B38" s="26" t="str">
        <v>Sumamos los importes de las partidas a la precisión declarada y los cotejamos con el resumen. Un capítulo con resumen y sin partidas queda pendiente. Nunca sumamos simultáneamente un capítulo y sus subcapítulos.</v>
      </c>
      <c r="C38" s="26"/>
      <c r="D38" s="26"/>
      <c r="E38" s="26"/>
      <c r="F38" s="26"/>
      <c r="G38" s="26"/>
      <c r="H38" s="26"/>
      <c r="I38" s="26"/>
      <c r="J38" s="26"/>
      <c r="K38" s="26"/>
      <c r="L38" s="26"/>
    </row>
    <row r="39" ht="24" customHeight="1">
      <c r="B39" s="26"/>
      <c r="C39" s="26"/>
      <c r="D39" s="26"/>
      <c r="E39" s="26"/>
      <c r="F39" s="26"/>
      <c r="G39" s="26"/>
      <c r="H39" s="26"/>
      <c r="I39" s="26"/>
      <c r="J39" s="26"/>
      <c r="K39" s="26"/>
      <c r="L39" s="26"/>
    </row>
    <row r="40" ht="23" customHeight="1">
      <c r="B40" s="23"/>
      <c r="C40" s="23"/>
      <c r="D40" s="23"/>
      <c r="E40" s="23"/>
      <c r="F40" s="23"/>
      <c r="G40" s="23"/>
      <c r="H40" s="23"/>
      <c r="I40" s="23"/>
      <c r="J40" s="23"/>
      <c r="K40" s="23"/>
      <c r="L40" s="23"/>
    </row>
    <row r="41" ht="23" customHeight="1">
      <c r="B41" s="23"/>
      <c r="C41" s="23"/>
      <c r="D41" s="23"/>
      <c r="E41" s="23"/>
      <c r="F41" s="23"/>
      <c r="G41" s="23"/>
      <c r="H41" s="23"/>
      <c r="I41" s="23"/>
      <c r="J41" s="23"/>
      <c r="K41" s="23"/>
      <c r="L41" s="23"/>
    </row>
    <row r="42" ht="23" customHeight="1">
      <c r="B42" s="23"/>
      <c r="C42" s="23"/>
      <c r="D42" s="23"/>
      <c r="E42" s="23"/>
      <c r="F42" s="23"/>
      <c r="G42" s="23"/>
      <c r="H42" s="23"/>
      <c r="I42" s="23"/>
      <c r="J42" s="23"/>
      <c r="K42" s="23"/>
      <c r="L42" s="23"/>
    </row>
    <row r="43" ht="23" customHeight="1">
      <c r="B43" s="23"/>
      <c r="C43" s="23"/>
      <c r="D43" s="23"/>
      <c r="E43" s="23"/>
      <c r="F43" s="23"/>
      <c r="G43" s="23"/>
      <c r="H43" s="23"/>
      <c r="I43" s="23"/>
      <c r="J43" s="23"/>
      <c r="K43" s="23"/>
      <c r="L43" s="23"/>
    </row>
    <row r="44" ht="42" customHeight="1">
      <c r="B44" s="27" t="str">
        <v>ID</v>
      </c>
      <c r="C44" s="27" t="str">
        <v>Suma del detalle</v>
      </c>
      <c r="D44" s="27" t="str">
        <v>Resumen pegado</v>
      </c>
      <c r="E44" s="27" t="str">
        <v>Diferencia</v>
      </c>
      <c r="F44" s="27" t="str">
        <v>Estado</v>
      </c>
      <c r="G44" s="27" t="str">
        <v>Referencia</v>
      </c>
      <c r="H44" s="27" t="str"/>
      <c r="I44" s="27" t="str"/>
      <c r="J44" s="27" t="str"/>
      <c r="K44" s="27" t="str"/>
      <c r="L44" s="27" t="str"/>
    </row>
    <row r="45" ht="40" customHeight="1">
      <c r="B45" s="26" t="str">
        <f>IF(AND(COUNTA('REFERENCIAS'!B15:D15)&gt;0,AND(LEN(TRIM('REFERENCIAS'!B15&amp;""))&gt;0,TRIM('REFERENCIAS'!B15&amp;"")&lt;&gt;"Pendiente",TRIM('REFERENCIAS'!B15&amp;"")&lt;&gt;"Por confirmar",TRIM('REFERENCIAS'!B15&amp;"")&lt;&gt;"No consta",TRIM('REFERENCIAS'!B15&amp;"")&lt;&gt;"Desconocido",TRIM('REFERENCIAS'!B15&amp;"")&lt;&gt;"Sin confirmar",TRIM('REFERENCIAS'!B15&amp;"")&lt;&gt;"Por decidir",TRIM('REFERENCIAS'!B15&amp;"")&lt;&gt;"Por comprobar")),'REFERENCIAS'!B15,"")</f>
        <v>EJ-01</v>
      </c>
      <c r="C45" s="32" t="n">
        <f>IF(AND(COUNTA('REFERENCIAS'!B15:D15)&gt;0,O45&gt;0,P45=0,'REFERENCIAS'!$Q$8=1),SUMIFS('DATOS'!$P$10:$P$509,'DATOS'!$R$10:$R$509,N45),"")</f>
        <v>3800</v>
      </c>
      <c r="D45" s="32" t="n">
        <f>IF(AND(COUNTA('REFERENCIAS'!B15:D15)&gt;0,ISNUMBER('REFERENCIAS'!C15)),'REFERENCIAS'!C15,"")</f>
        <v>3800</v>
      </c>
      <c r="E45" s="32" t="n">
        <f>IF(AND(ISNUMBER(C45),ISNUMBER(D45)),C45-ROUND(D45,'REFERENCIAS'!$K$8),"")</f>
        <v>0</v>
      </c>
      <c r="F45" s="26" t="str">
        <f>IF(NOT(ISNUMBER(M45)),"",IF(M45=2,"ROJO",IF(M45=1,"ÁMBAR","VERDE")))</f>
        <v>VERDE</v>
      </c>
      <c r="G45" s="26" t="str">
        <f>IF(AND(COUNTA('REFERENCIAS'!B15:D15)&gt;0,AND(LEN(TRIM('REFERENCIAS'!D15&amp;""))&gt;0,TRIM('REFERENCIAS'!D15&amp;"")&lt;&gt;"Pendiente",TRIM('REFERENCIAS'!D15&amp;"")&lt;&gt;"Por confirmar",TRIM('REFERENCIAS'!D15&amp;"")&lt;&gt;"No consta",TRIM('REFERENCIAS'!D15&amp;"")&lt;&gt;"Desconocido",TRIM('REFERENCIAS'!D15&amp;"")&lt;&gt;"Sin confirmar",TRIM('REFERENCIAS'!D15&amp;"")&lt;&gt;"Por decidir",TRIM('REFERENCIAS'!D15&amp;"")&lt;&gt;"Por comprobar")),'REFERENCIAS'!D15,"")</f>
        <v>Ejemplo aproximado · resumen del extracto</v>
      </c>
      <c r="H45" s="26"/>
      <c r="I45" s="26"/>
      <c r="J45" s="26"/>
      <c r="K45" s="26"/>
      <c r="L45" s="26"/>
      <c r="M45" s="29" t="n">
        <f>IFERROR(IF(NOT(COUNTA('REFERENCIAS'!B15:D15)&gt;0),"",IF(OR(NOT(AND(LEN(TRIM('REFERENCIAS'!B15&amp;""))&gt;0,TRIM('REFERENCIAS'!B15&amp;"")&lt;&gt;"Pendiente",TRIM('REFERENCIAS'!B15&amp;"")&lt;&gt;"Por confirmar",TRIM('REFERENCIAS'!B15&amp;"")&lt;&gt;"No consta",TRIM('REFERENCIAS'!B15&amp;"")&lt;&gt;"Desconocido",TRIM('REFERENCIAS'!B15&amp;"")&lt;&gt;"Sin confirmar",TRIM('REFERENCIAS'!B15&amp;"")&lt;&gt;"Por decidir",TRIM('REFERENCIAS'!B15&amp;"")&lt;&gt;"Por comprobar")),NOT(ISNUMBER('REFERENCIAS'!C15)),NOT(AND(LEN(TRIM('REFERENCIAS'!D15&amp;""))&gt;0,TRIM('REFERENCIAS'!D15&amp;"")&lt;&gt;"Pendiente",TRIM('REFERENCIAS'!D15&amp;"")&lt;&gt;"Por confirmar",TRIM('REFERENCIAS'!D15&amp;"")&lt;&gt;"No consta",TRIM('REFERENCIAS'!D15&amp;"")&lt;&gt;"Desconocido",TRIM('REFERENCIAS'!D15&amp;"")&lt;&gt;"Sin confirmar",TRIM('REFERENCIAS'!D15&amp;"")&lt;&gt;"Por decidir",TRIM('REFERENCIAS'!D15&amp;"")&lt;&gt;"Por comprobar")),Q45&lt;&gt;1,'REFERENCIAS'!$Q$8&lt;&gt;1),2,IF(O45=0,1,IF(P45&gt;0,2,IF(ABS(E45)&gt;0.00000001,2,IF(ABS('REFERENCIAS'!C15-ROUND('REFERENCIAS'!C15,'REFERENCIAS'!$K$8))&gt;0.00000001,1,0)))))),2)</f>
        <v>0</v>
      </c>
      <c r="N45" s="29" t="str">
        <f>'REFERENCIAS'!R15</f>
        <v>ID:EJ-01</v>
      </c>
      <c r="O45" s="29" t="n">
        <f>COUNTIFS('DATOS'!$R$10:$R$509,N45)</f>
        <v>2</v>
      </c>
      <c r="P45" s="29" t="n">
        <f>COUNTIFS('AVISOS'!$U$10:$U$509,N45,'AVISOS'!$O$10:$O$509,2)</f>
        <v>0</v>
      </c>
      <c r="Q45" s="29" t="n">
        <f>COUNTIFS('REFERENCIAS'!$R$15:$R$64,N45)</f>
        <v>1</v>
      </c>
    </row>
    <row r="46" ht="40" customHeight="1">
      <c r="B46" s="26">
        <f>IF(AND(COUNTA('REFERENCIAS'!B16:D16)&gt;0,AND(LEN(TRIM('REFERENCIAS'!B16&amp;""))&gt;0,TRIM('REFERENCIAS'!B16&amp;"")&lt;&gt;"Pendiente",TRIM('REFERENCIAS'!B16&amp;"")&lt;&gt;"Por confirmar",TRIM('REFERENCIAS'!B16&amp;"")&lt;&gt;"No consta",TRIM('REFERENCIAS'!B16&amp;"")&lt;&gt;"Desconocido",TRIM('REFERENCIAS'!B16&amp;"")&lt;&gt;"Sin confirmar",TRIM('REFERENCIAS'!B16&amp;"")&lt;&gt;"Por decidir",TRIM('REFERENCIAS'!B16&amp;"")&lt;&gt;"Por comprobar")),'REFERENCIAS'!B16,"")</f>
      </c>
      <c r="C46" s="32">
        <f>IF(AND(COUNTA('REFERENCIAS'!B16:D16)&gt;0,O46&gt;0,P46=0,'REFERENCIAS'!$Q$8=1),SUMIFS('DATOS'!$P$10:$P$509,'DATOS'!$R$10:$R$509,N46),"")</f>
      </c>
      <c r="D46" s="32">
        <f>IF(AND(COUNTA('REFERENCIAS'!B16:D16)&gt;0,ISNUMBER('REFERENCIAS'!C16)),'REFERENCIAS'!C16,"")</f>
      </c>
      <c r="E46" s="32">
        <f>IF(AND(ISNUMBER(C46),ISNUMBER(D46)),C46-ROUND(D46,'REFERENCIAS'!$K$8),"")</f>
      </c>
      <c r="F46" s="26">
        <f>IF(NOT(ISNUMBER(M46)),"",IF(M46=2,"ROJO",IF(M46=1,"ÁMBAR","VERDE")))</f>
      </c>
      <c r="G46" s="26">
        <f>IF(AND(COUNTA('REFERENCIAS'!B16:D16)&gt;0,AND(LEN(TRIM('REFERENCIAS'!D16&amp;""))&gt;0,TRIM('REFERENCIAS'!D16&amp;"")&lt;&gt;"Pendiente",TRIM('REFERENCIAS'!D16&amp;"")&lt;&gt;"Por confirmar",TRIM('REFERENCIAS'!D16&amp;"")&lt;&gt;"No consta",TRIM('REFERENCIAS'!D16&amp;"")&lt;&gt;"Desconocido",TRIM('REFERENCIAS'!D16&amp;"")&lt;&gt;"Sin confirmar",TRIM('REFERENCIAS'!D16&amp;"")&lt;&gt;"Por decidir",TRIM('REFERENCIAS'!D16&amp;"")&lt;&gt;"Por comprobar")),'REFERENCIAS'!D16,"")</f>
      </c>
      <c r="H46" s="26"/>
      <c r="I46" s="26"/>
      <c r="J46" s="26"/>
      <c r="K46" s="26"/>
      <c r="L46" s="26"/>
      <c r="M46" s="29">
        <f>IFERROR(IF(NOT(COUNTA('REFERENCIAS'!B16:D16)&gt;0),"",IF(OR(NOT(AND(LEN(TRIM('REFERENCIAS'!B16&amp;""))&gt;0,TRIM('REFERENCIAS'!B16&amp;"")&lt;&gt;"Pendiente",TRIM('REFERENCIAS'!B16&amp;"")&lt;&gt;"Por confirmar",TRIM('REFERENCIAS'!B16&amp;"")&lt;&gt;"No consta",TRIM('REFERENCIAS'!B16&amp;"")&lt;&gt;"Desconocido",TRIM('REFERENCIAS'!B16&amp;"")&lt;&gt;"Sin confirmar",TRIM('REFERENCIAS'!B16&amp;"")&lt;&gt;"Por decidir",TRIM('REFERENCIAS'!B16&amp;"")&lt;&gt;"Por comprobar")),NOT(ISNUMBER('REFERENCIAS'!C16)),NOT(AND(LEN(TRIM('REFERENCIAS'!D16&amp;""))&gt;0,TRIM('REFERENCIAS'!D16&amp;"")&lt;&gt;"Pendiente",TRIM('REFERENCIAS'!D16&amp;"")&lt;&gt;"Por confirmar",TRIM('REFERENCIAS'!D16&amp;"")&lt;&gt;"No consta",TRIM('REFERENCIAS'!D16&amp;"")&lt;&gt;"Desconocido",TRIM('REFERENCIAS'!D16&amp;"")&lt;&gt;"Sin confirmar",TRIM('REFERENCIAS'!D16&amp;"")&lt;&gt;"Por decidir",TRIM('REFERENCIAS'!D16&amp;"")&lt;&gt;"Por comprobar")),Q46&lt;&gt;1,'REFERENCIAS'!$Q$8&lt;&gt;1),2,IF(O46=0,1,IF(P46&gt;0,2,IF(ABS(E46)&gt;0.00000001,2,IF(ABS('REFERENCIAS'!C16-ROUND('REFERENCIAS'!C16,'REFERENCIAS'!$K$8))&gt;0.00000001,1,0)))))),2)</f>
      </c>
      <c r="N46" s="29" t="str">
        <f>'REFERENCIAS'!R16</f>
        <v>ID:</v>
      </c>
      <c r="O46" s="29" t="n">
        <f>COUNTIFS('DATOS'!$R$10:$R$509,N46)</f>
        <v>498</v>
      </c>
      <c r="P46" s="29" t="n">
        <f>COUNTIFS('AVISOS'!$U$10:$U$509,N46,'AVISOS'!$O$10:$O$509,2)</f>
        <v>0</v>
      </c>
      <c r="Q46" s="29" t="n">
        <f>COUNTIFS('REFERENCIAS'!$R$15:$R$64,N46)</f>
        <v>49</v>
      </c>
    </row>
    <row r="47" ht="40" customHeight="1">
      <c r="B47" s="26">
        <f>IF(AND(COUNTA('REFERENCIAS'!B17:D17)&gt;0,AND(LEN(TRIM('REFERENCIAS'!B17&amp;""))&gt;0,TRIM('REFERENCIAS'!B17&amp;"")&lt;&gt;"Pendiente",TRIM('REFERENCIAS'!B17&amp;"")&lt;&gt;"Por confirmar",TRIM('REFERENCIAS'!B17&amp;"")&lt;&gt;"No consta",TRIM('REFERENCIAS'!B17&amp;"")&lt;&gt;"Desconocido",TRIM('REFERENCIAS'!B17&amp;"")&lt;&gt;"Sin confirmar",TRIM('REFERENCIAS'!B17&amp;"")&lt;&gt;"Por decidir",TRIM('REFERENCIAS'!B17&amp;"")&lt;&gt;"Por comprobar")),'REFERENCIAS'!B17,"")</f>
      </c>
      <c r="C47" s="32">
        <f>IF(AND(COUNTA('REFERENCIAS'!B17:D17)&gt;0,O47&gt;0,P47=0,'REFERENCIAS'!$Q$8=1),SUMIFS('DATOS'!$P$10:$P$509,'DATOS'!$R$10:$R$509,N47),"")</f>
      </c>
      <c r="D47" s="32">
        <f>IF(AND(COUNTA('REFERENCIAS'!B17:D17)&gt;0,ISNUMBER('REFERENCIAS'!C17)),'REFERENCIAS'!C17,"")</f>
      </c>
      <c r="E47" s="32">
        <f>IF(AND(ISNUMBER(C47),ISNUMBER(D47)),C47-ROUND(D47,'REFERENCIAS'!$K$8),"")</f>
      </c>
      <c r="F47" s="26">
        <f>IF(NOT(ISNUMBER(M47)),"",IF(M47=2,"ROJO",IF(M47=1,"ÁMBAR","VERDE")))</f>
      </c>
      <c r="G47" s="26">
        <f>IF(AND(COUNTA('REFERENCIAS'!B17:D17)&gt;0,AND(LEN(TRIM('REFERENCIAS'!D17&amp;""))&gt;0,TRIM('REFERENCIAS'!D17&amp;"")&lt;&gt;"Pendiente",TRIM('REFERENCIAS'!D17&amp;"")&lt;&gt;"Por confirmar",TRIM('REFERENCIAS'!D17&amp;"")&lt;&gt;"No consta",TRIM('REFERENCIAS'!D17&amp;"")&lt;&gt;"Desconocido",TRIM('REFERENCIAS'!D17&amp;"")&lt;&gt;"Sin confirmar",TRIM('REFERENCIAS'!D17&amp;"")&lt;&gt;"Por decidir",TRIM('REFERENCIAS'!D17&amp;"")&lt;&gt;"Por comprobar")),'REFERENCIAS'!D17,"")</f>
      </c>
      <c r="H47" s="26"/>
      <c r="I47" s="26"/>
      <c r="J47" s="26"/>
      <c r="K47" s="26"/>
      <c r="L47" s="26"/>
      <c r="M47" s="29">
        <f>IFERROR(IF(NOT(COUNTA('REFERENCIAS'!B17:D17)&gt;0),"",IF(OR(NOT(AND(LEN(TRIM('REFERENCIAS'!B17&amp;""))&gt;0,TRIM('REFERENCIAS'!B17&amp;"")&lt;&gt;"Pendiente",TRIM('REFERENCIAS'!B17&amp;"")&lt;&gt;"Por confirmar",TRIM('REFERENCIAS'!B17&amp;"")&lt;&gt;"No consta",TRIM('REFERENCIAS'!B17&amp;"")&lt;&gt;"Desconocido",TRIM('REFERENCIAS'!B17&amp;"")&lt;&gt;"Sin confirmar",TRIM('REFERENCIAS'!B17&amp;"")&lt;&gt;"Por decidir",TRIM('REFERENCIAS'!B17&amp;"")&lt;&gt;"Por comprobar")),NOT(ISNUMBER('REFERENCIAS'!C17)),NOT(AND(LEN(TRIM('REFERENCIAS'!D17&amp;""))&gt;0,TRIM('REFERENCIAS'!D17&amp;"")&lt;&gt;"Pendiente",TRIM('REFERENCIAS'!D17&amp;"")&lt;&gt;"Por confirmar",TRIM('REFERENCIAS'!D17&amp;"")&lt;&gt;"No consta",TRIM('REFERENCIAS'!D17&amp;"")&lt;&gt;"Desconocido",TRIM('REFERENCIAS'!D17&amp;"")&lt;&gt;"Sin confirmar",TRIM('REFERENCIAS'!D17&amp;"")&lt;&gt;"Por decidir",TRIM('REFERENCIAS'!D17&amp;"")&lt;&gt;"Por comprobar")),Q47&lt;&gt;1,'REFERENCIAS'!$Q$8&lt;&gt;1),2,IF(O47=0,1,IF(P47&gt;0,2,IF(ABS(E47)&gt;0.00000001,2,IF(ABS('REFERENCIAS'!C17-ROUND('REFERENCIAS'!C17,'REFERENCIAS'!$K$8))&gt;0.00000001,1,0)))))),2)</f>
      </c>
      <c r="N47" s="29" t="str">
        <f>'REFERENCIAS'!R17</f>
        <v>ID:</v>
      </c>
      <c r="O47" s="29" t="n">
        <f>COUNTIFS('DATOS'!$R$10:$R$509,N47)</f>
        <v>498</v>
      </c>
      <c r="P47" s="29" t="n">
        <f>COUNTIFS('AVISOS'!$U$10:$U$509,N47,'AVISOS'!$O$10:$O$509,2)</f>
        <v>0</v>
      </c>
      <c r="Q47" s="29" t="n">
        <f>COUNTIFS('REFERENCIAS'!$R$15:$R$64,N47)</f>
        <v>49</v>
      </c>
    </row>
    <row r="48" ht="40" customHeight="1">
      <c r="B48" s="26">
        <f>IF(AND(COUNTA('REFERENCIAS'!B18:D18)&gt;0,AND(LEN(TRIM('REFERENCIAS'!B18&amp;""))&gt;0,TRIM('REFERENCIAS'!B18&amp;"")&lt;&gt;"Pendiente",TRIM('REFERENCIAS'!B18&amp;"")&lt;&gt;"Por confirmar",TRIM('REFERENCIAS'!B18&amp;"")&lt;&gt;"No consta",TRIM('REFERENCIAS'!B18&amp;"")&lt;&gt;"Desconocido",TRIM('REFERENCIAS'!B18&amp;"")&lt;&gt;"Sin confirmar",TRIM('REFERENCIAS'!B18&amp;"")&lt;&gt;"Por decidir",TRIM('REFERENCIAS'!B18&amp;"")&lt;&gt;"Por comprobar")),'REFERENCIAS'!B18,"")</f>
      </c>
      <c r="C48" s="32">
        <f>IF(AND(COUNTA('REFERENCIAS'!B18:D18)&gt;0,O48&gt;0,P48=0,'REFERENCIAS'!$Q$8=1),SUMIFS('DATOS'!$P$10:$P$509,'DATOS'!$R$10:$R$509,N48),"")</f>
      </c>
      <c r="D48" s="32">
        <f>IF(AND(COUNTA('REFERENCIAS'!B18:D18)&gt;0,ISNUMBER('REFERENCIAS'!C18)),'REFERENCIAS'!C18,"")</f>
      </c>
      <c r="E48" s="32">
        <f>IF(AND(ISNUMBER(C48),ISNUMBER(D48)),C48-ROUND(D48,'REFERENCIAS'!$K$8),"")</f>
      </c>
      <c r="F48" s="26">
        <f>IF(NOT(ISNUMBER(M48)),"",IF(M48=2,"ROJO",IF(M48=1,"ÁMBAR","VERDE")))</f>
      </c>
      <c r="G48" s="26">
        <f>IF(AND(COUNTA('REFERENCIAS'!B18:D18)&gt;0,AND(LEN(TRIM('REFERENCIAS'!D18&amp;""))&gt;0,TRIM('REFERENCIAS'!D18&amp;"")&lt;&gt;"Pendiente",TRIM('REFERENCIAS'!D18&amp;"")&lt;&gt;"Por confirmar",TRIM('REFERENCIAS'!D18&amp;"")&lt;&gt;"No consta",TRIM('REFERENCIAS'!D18&amp;"")&lt;&gt;"Desconocido",TRIM('REFERENCIAS'!D18&amp;"")&lt;&gt;"Sin confirmar",TRIM('REFERENCIAS'!D18&amp;"")&lt;&gt;"Por decidir",TRIM('REFERENCIAS'!D18&amp;"")&lt;&gt;"Por comprobar")),'REFERENCIAS'!D18,"")</f>
      </c>
      <c r="H48" s="26"/>
      <c r="I48" s="26"/>
      <c r="J48" s="26"/>
      <c r="K48" s="26"/>
      <c r="L48" s="26"/>
      <c r="M48" s="29">
        <f>IFERROR(IF(NOT(COUNTA('REFERENCIAS'!B18:D18)&gt;0),"",IF(OR(NOT(AND(LEN(TRIM('REFERENCIAS'!B18&amp;""))&gt;0,TRIM('REFERENCIAS'!B18&amp;"")&lt;&gt;"Pendiente",TRIM('REFERENCIAS'!B18&amp;"")&lt;&gt;"Por confirmar",TRIM('REFERENCIAS'!B18&amp;"")&lt;&gt;"No consta",TRIM('REFERENCIAS'!B18&amp;"")&lt;&gt;"Desconocido",TRIM('REFERENCIAS'!B18&amp;"")&lt;&gt;"Sin confirmar",TRIM('REFERENCIAS'!B18&amp;"")&lt;&gt;"Por decidir",TRIM('REFERENCIAS'!B18&amp;"")&lt;&gt;"Por comprobar")),NOT(ISNUMBER('REFERENCIAS'!C18)),NOT(AND(LEN(TRIM('REFERENCIAS'!D18&amp;""))&gt;0,TRIM('REFERENCIAS'!D18&amp;"")&lt;&gt;"Pendiente",TRIM('REFERENCIAS'!D18&amp;"")&lt;&gt;"Por confirmar",TRIM('REFERENCIAS'!D18&amp;"")&lt;&gt;"No consta",TRIM('REFERENCIAS'!D18&amp;"")&lt;&gt;"Desconocido",TRIM('REFERENCIAS'!D18&amp;"")&lt;&gt;"Sin confirmar",TRIM('REFERENCIAS'!D18&amp;"")&lt;&gt;"Por decidir",TRIM('REFERENCIAS'!D18&amp;"")&lt;&gt;"Por comprobar")),Q48&lt;&gt;1,'REFERENCIAS'!$Q$8&lt;&gt;1),2,IF(O48=0,1,IF(P48&gt;0,2,IF(ABS(E48)&gt;0.00000001,2,IF(ABS('REFERENCIAS'!C18-ROUND('REFERENCIAS'!C18,'REFERENCIAS'!$K$8))&gt;0.00000001,1,0)))))),2)</f>
      </c>
      <c r="N48" s="29" t="str">
        <f>'REFERENCIAS'!R18</f>
        <v>ID:</v>
      </c>
      <c r="O48" s="29" t="n">
        <f>COUNTIFS('DATOS'!$R$10:$R$509,N48)</f>
        <v>498</v>
      </c>
      <c r="P48" s="29" t="n">
        <f>COUNTIFS('AVISOS'!$U$10:$U$509,N48,'AVISOS'!$O$10:$O$509,2)</f>
        <v>0</v>
      </c>
      <c r="Q48" s="29" t="n">
        <f>COUNTIFS('REFERENCIAS'!$R$15:$R$64,N48)</f>
        <v>49</v>
      </c>
    </row>
    <row r="49" ht="40" customHeight="1">
      <c r="B49" s="26">
        <f>IF(AND(COUNTA('REFERENCIAS'!B19:D19)&gt;0,AND(LEN(TRIM('REFERENCIAS'!B19&amp;""))&gt;0,TRIM('REFERENCIAS'!B19&amp;"")&lt;&gt;"Pendiente",TRIM('REFERENCIAS'!B19&amp;"")&lt;&gt;"Por confirmar",TRIM('REFERENCIAS'!B19&amp;"")&lt;&gt;"No consta",TRIM('REFERENCIAS'!B19&amp;"")&lt;&gt;"Desconocido",TRIM('REFERENCIAS'!B19&amp;"")&lt;&gt;"Sin confirmar",TRIM('REFERENCIAS'!B19&amp;"")&lt;&gt;"Por decidir",TRIM('REFERENCIAS'!B19&amp;"")&lt;&gt;"Por comprobar")),'REFERENCIAS'!B19,"")</f>
      </c>
      <c r="C49" s="32">
        <f>IF(AND(COUNTA('REFERENCIAS'!B19:D19)&gt;0,O49&gt;0,P49=0,'REFERENCIAS'!$Q$8=1),SUMIFS('DATOS'!$P$10:$P$509,'DATOS'!$R$10:$R$509,N49),"")</f>
      </c>
      <c r="D49" s="32">
        <f>IF(AND(COUNTA('REFERENCIAS'!B19:D19)&gt;0,ISNUMBER('REFERENCIAS'!C19)),'REFERENCIAS'!C19,"")</f>
      </c>
      <c r="E49" s="32">
        <f>IF(AND(ISNUMBER(C49),ISNUMBER(D49)),C49-ROUND(D49,'REFERENCIAS'!$K$8),"")</f>
      </c>
      <c r="F49" s="26">
        <f>IF(NOT(ISNUMBER(M49)),"",IF(M49=2,"ROJO",IF(M49=1,"ÁMBAR","VERDE")))</f>
      </c>
      <c r="G49" s="26">
        <f>IF(AND(COUNTA('REFERENCIAS'!B19:D19)&gt;0,AND(LEN(TRIM('REFERENCIAS'!D19&amp;""))&gt;0,TRIM('REFERENCIAS'!D19&amp;"")&lt;&gt;"Pendiente",TRIM('REFERENCIAS'!D19&amp;"")&lt;&gt;"Por confirmar",TRIM('REFERENCIAS'!D19&amp;"")&lt;&gt;"No consta",TRIM('REFERENCIAS'!D19&amp;"")&lt;&gt;"Desconocido",TRIM('REFERENCIAS'!D19&amp;"")&lt;&gt;"Sin confirmar",TRIM('REFERENCIAS'!D19&amp;"")&lt;&gt;"Por decidir",TRIM('REFERENCIAS'!D19&amp;"")&lt;&gt;"Por comprobar")),'REFERENCIAS'!D19,"")</f>
      </c>
      <c r="H49" s="26"/>
      <c r="I49" s="26"/>
      <c r="J49" s="26"/>
      <c r="K49" s="26"/>
      <c r="L49" s="26"/>
      <c r="M49" s="29">
        <f>IFERROR(IF(NOT(COUNTA('REFERENCIAS'!B19:D19)&gt;0),"",IF(OR(NOT(AND(LEN(TRIM('REFERENCIAS'!B19&amp;""))&gt;0,TRIM('REFERENCIAS'!B19&amp;"")&lt;&gt;"Pendiente",TRIM('REFERENCIAS'!B19&amp;"")&lt;&gt;"Por confirmar",TRIM('REFERENCIAS'!B19&amp;"")&lt;&gt;"No consta",TRIM('REFERENCIAS'!B19&amp;"")&lt;&gt;"Desconocido",TRIM('REFERENCIAS'!B19&amp;"")&lt;&gt;"Sin confirmar",TRIM('REFERENCIAS'!B19&amp;"")&lt;&gt;"Por decidir",TRIM('REFERENCIAS'!B19&amp;"")&lt;&gt;"Por comprobar")),NOT(ISNUMBER('REFERENCIAS'!C19)),NOT(AND(LEN(TRIM('REFERENCIAS'!D19&amp;""))&gt;0,TRIM('REFERENCIAS'!D19&amp;"")&lt;&gt;"Pendiente",TRIM('REFERENCIAS'!D19&amp;"")&lt;&gt;"Por confirmar",TRIM('REFERENCIAS'!D19&amp;"")&lt;&gt;"No consta",TRIM('REFERENCIAS'!D19&amp;"")&lt;&gt;"Desconocido",TRIM('REFERENCIAS'!D19&amp;"")&lt;&gt;"Sin confirmar",TRIM('REFERENCIAS'!D19&amp;"")&lt;&gt;"Por decidir",TRIM('REFERENCIAS'!D19&amp;"")&lt;&gt;"Por comprobar")),Q49&lt;&gt;1,'REFERENCIAS'!$Q$8&lt;&gt;1),2,IF(O49=0,1,IF(P49&gt;0,2,IF(ABS(E49)&gt;0.00000001,2,IF(ABS('REFERENCIAS'!C19-ROUND('REFERENCIAS'!C19,'REFERENCIAS'!$K$8))&gt;0.00000001,1,0)))))),2)</f>
      </c>
      <c r="N49" s="29" t="str">
        <f>'REFERENCIAS'!R19</f>
        <v>ID:</v>
      </c>
      <c r="O49" s="29" t="n">
        <f>COUNTIFS('DATOS'!$R$10:$R$509,N49)</f>
        <v>498</v>
      </c>
      <c r="P49" s="29" t="n">
        <f>COUNTIFS('AVISOS'!$U$10:$U$509,N49,'AVISOS'!$O$10:$O$509,2)</f>
        <v>0</v>
      </c>
      <c r="Q49" s="29" t="n">
        <f>COUNTIFS('REFERENCIAS'!$R$15:$R$64,N49)</f>
        <v>49</v>
      </c>
    </row>
    <row r="50" ht="40" customHeight="1">
      <c r="B50" s="26">
        <f>IF(AND(COUNTA('REFERENCIAS'!B20:D20)&gt;0,AND(LEN(TRIM('REFERENCIAS'!B20&amp;""))&gt;0,TRIM('REFERENCIAS'!B20&amp;"")&lt;&gt;"Pendiente",TRIM('REFERENCIAS'!B20&amp;"")&lt;&gt;"Por confirmar",TRIM('REFERENCIAS'!B20&amp;"")&lt;&gt;"No consta",TRIM('REFERENCIAS'!B20&amp;"")&lt;&gt;"Desconocido",TRIM('REFERENCIAS'!B20&amp;"")&lt;&gt;"Sin confirmar",TRIM('REFERENCIAS'!B20&amp;"")&lt;&gt;"Por decidir",TRIM('REFERENCIAS'!B20&amp;"")&lt;&gt;"Por comprobar")),'REFERENCIAS'!B20,"")</f>
      </c>
      <c r="C50" s="32">
        <f>IF(AND(COUNTA('REFERENCIAS'!B20:D20)&gt;0,O50&gt;0,P50=0,'REFERENCIAS'!$Q$8=1),SUMIFS('DATOS'!$P$10:$P$509,'DATOS'!$R$10:$R$509,N50),"")</f>
      </c>
      <c r="D50" s="32">
        <f>IF(AND(COUNTA('REFERENCIAS'!B20:D20)&gt;0,ISNUMBER('REFERENCIAS'!C20)),'REFERENCIAS'!C20,"")</f>
      </c>
      <c r="E50" s="32">
        <f>IF(AND(ISNUMBER(C50),ISNUMBER(D50)),C50-ROUND(D50,'REFERENCIAS'!$K$8),"")</f>
      </c>
      <c r="F50" s="26">
        <f>IF(NOT(ISNUMBER(M50)),"",IF(M50=2,"ROJO",IF(M50=1,"ÁMBAR","VERDE")))</f>
      </c>
      <c r="G50" s="26">
        <f>IF(AND(COUNTA('REFERENCIAS'!B20:D20)&gt;0,AND(LEN(TRIM('REFERENCIAS'!D20&amp;""))&gt;0,TRIM('REFERENCIAS'!D20&amp;"")&lt;&gt;"Pendiente",TRIM('REFERENCIAS'!D20&amp;"")&lt;&gt;"Por confirmar",TRIM('REFERENCIAS'!D20&amp;"")&lt;&gt;"No consta",TRIM('REFERENCIAS'!D20&amp;"")&lt;&gt;"Desconocido",TRIM('REFERENCIAS'!D20&amp;"")&lt;&gt;"Sin confirmar",TRIM('REFERENCIAS'!D20&amp;"")&lt;&gt;"Por decidir",TRIM('REFERENCIAS'!D20&amp;"")&lt;&gt;"Por comprobar")),'REFERENCIAS'!D20,"")</f>
      </c>
      <c r="H50" s="26"/>
      <c r="I50" s="26"/>
      <c r="J50" s="26"/>
      <c r="K50" s="26"/>
      <c r="L50" s="26"/>
      <c r="M50" s="29">
        <f>IFERROR(IF(NOT(COUNTA('REFERENCIAS'!B20:D20)&gt;0),"",IF(OR(NOT(AND(LEN(TRIM('REFERENCIAS'!B20&amp;""))&gt;0,TRIM('REFERENCIAS'!B20&amp;"")&lt;&gt;"Pendiente",TRIM('REFERENCIAS'!B20&amp;"")&lt;&gt;"Por confirmar",TRIM('REFERENCIAS'!B20&amp;"")&lt;&gt;"No consta",TRIM('REFERENCIAS'!B20&amp;"")&lt;&gt;"Desconocido",TRIM('REFERENCIAS'!B20&amp;"")&lt;&gt;"Sin confirmar",TRIM('REFERENCIAS'!B20&amp;"")&lt;&gt;"Por decidir",TRIM('REFERENCIAS'!B20&amp;"")&lt;&gt;"Por comprobar")),NOT(ISNUMBER('REFERENCIAS'!C20)),NOT(AND(LEN(TRIM('REFERENCIAS'!D20&amp;""))&gt;0,TRIM('REFERENCIAS'!D20&amp;"")&lt;&gt;"Pendiente",TRIM('REFERENCIAS'!D20&amp;"")&lt;&gt;"Por confirmar",TRIM('REFERENCIAS'!D20&amp;"")&lt;&gt;"No consta",TRIM('REFERENCIAS'!D20&amp;"")&lt;&gt;"Desconocido",TRIM('REFERENCIAS'!D20&amp;"")&lt;&gt;"Sin confirmar",TRIM('REFERENCIAS'!D20&amp;"")&lt;&gt;"Por decidir",TRIM('REFERENCIAS'!D20&amp;"")&lt;&gt;"Por comprobar")),Q50&lt;&gt;1,'REFERENCIAS'!$Q$8&lt;&gt;1),2,IF(O50=0,1,IF(P50&gt;0,2,IF(ABS(E50)&gt;0.00000001,2,IF(ABS('REFERENCIAS'!C20-ROUND('REFERENCIAS'!C20,'REFERENCIAS'!$K$8))&gt;0.00000001,1,0)))))),2)</f>
      </c>
      <c r="N50" s="29" t="str">
        <f>'REFERENCIAS'!R20</f>
        <v>ID:</v>
      </c>
      <c r="O50" s="29" t="n">
        <f>COUNTIFS('DATOS'!$R$10:$R$509,N50)</f>
        <v>498</v>
      </c>
      <c r="P50" s="29" t="n">
        <f>COUNTIFS('AVISOS'!$U$10:$U$509,N50,'AVISOS'!$O$10:$O$509,2)</f>
        <v>0</v>
      </c>
      <c r="Q50" s="29" t="n">
        <f>COUNTIFS('REFERENCIAS'!$R$15:$R$64,N50)</f>
        <v>49</v>
      </c>
    </row>
    <row r="51" ht="40" customHeight="1">
      <c r="B51" s="26">
        <f>IF(AND(COUNTA('REFERENCIAS'!B21:D21)&gt;0,AND(LEN(TRIM('REFERENCIAS'!B21&amp;""))&gt;0,TRIM('REFERENCIAS'!B21&amp;"")&lt;&gt;"Pendiente",TRIM('REFERENCIAS'!B21&amp;"")&lt;&gt;"Por confirmar",TRIM('REFERENCIAS'!B21&amp;"")&lt;&gt;"No consta",TRIM('REFERENCIAS'!B21&amp;"")&lt;&gt;"Desconocido",TRIM('REFERENCIAS'!B21&amp;"")&lt;&gt;"Sin confirmar",TRIM('REFERENCIAS'!B21&amp;"")&lt;&gt;"Por decidir",TRIM('REFERENCIAS'!B21&amp;"")&lt;&gt;"Por comprobar")),'REFERENCIAS'!B21,"")</f>
      </c>
      <c r="C51" s="32">
        <f>IF(AND(COUNTA('REFERENCIAS'!B21:D21)&gt;0,O51&gt;0,P51=0,'REFERENCIAS'!$Q$8=1),SUMIFS('DATOS'!$P$10:$P$509,'DATOS'!$R$10:$R$509,N51),"")</f>
      </c>
      <c r="D51" s="32">
        <f>IF(AND(COUNTA('REFERENCIAS'!B21:D21)&gt;0,ISNUMBER('REFERENCIAS'!C21)),'REFERENCIAS'!C21,"")</f>
      </c>
      <c r="E51" s="32">
        <f>IF(AND(ISNUMBER(C51),ISNUMBER(D51)),C51-ROUND(D51,'REFERENCIAS'!$K$8),"")</f>
      </c>
      <c r="F51" s="26">
        <f>IF(NOT(ISNUMBER(M51)),"",IF(M51=2,"ROJO",IF(M51=1,"ÁMBAR","VERDE")))</f>
      </c>
      <c r="G51" s="26">
        <f>IF(AND(COUNTA('REFERENCIAS'!B21:D21)&gt;0,AND(LEN(TRIM('REFERENCIAS'!D21&amp;""))&gt;0,TRIM('REFERENCIAS'!D21&amp;"")&lt;&gt;"Pendiente",TRIM('REFERENCIAS'!D21&amp;"")&lt;&gt;"Por confirmar",TRIM('REFERENCIAS'!D21&amp;"")&lt;&gt;"No consta",TRIM('REFERENCIAS'!D21&amp;"")&lt;&gt;"Desconocido",TRIM('REFERENCIAS'!D21&amp;"")&lt;&gt;"Sin confirmar",TRIM('REFERENCIAS'!D21&amp;"")&lt;&gt;"Por decidir",TRIM('REFERENCIAS'!D21&amp;"")&lt;&gt;"Por comprobar")),'REFERENCIAS'!D21,"")</f>
      </c>
      <c r="H51" s="26"/>
      <c r="I51" s="26"/>
      <c r="J51" s="26"/>
      <c r="K51" s="26"/>
      <c r="L51" s="26"/>
      <c r="M51" s="29">
        <f>IFERROR(IF(NOT(COUNTA('REFERENCIAS'!B21:D21)&gt;0),"",IF(OR(NOT(AND(LEN(TRIM('REFERENCIAS'!B21&amp;""))&gt;0,TRIM('REFERENCIAS'!B21&amp;"")&lt;&gt;"Pendiente",TRIM('REFERENCIAS'!B21&amp;"")&lt;&gt;"Por confirmar",TRIM('REFERENCIAS'!B21&amp;"")&lt;&gt;"No consta",TRIM('REFERENCIAS'!B21&amp;"")&lt;&gt;"Desconocido",TRIM('REFERENCIAS'!B21&amp;"")&lt;&gt;"Sin confirmar",TRIM('REFERENCIAS'!B21&amp;"")&lt;&gt;"Por decidir",TRIM('REFERENCIAS'!B21&amp;"")&lt;&gt;"Por comprobar")),NOT(ISNUMBER('REFERENCIAS'!C21)),NOT(AND(LEN(TRIM('REFERENCIAS'!D21&amp;""))&gt;0,TRIM('REFERENCIAS'!D21&amp;"")&lt;&gt;"Pendiente",TRIM('REFERENCIAS'!D21&amp;"")&lt;&gt;"Por confirmar",TRIM('REFERENCIAS'!D21&amp;"")&lt;&gt;"No consta",TRIM('REFERENCIAS'!D21&amp;"")&lt;&gt;"Desconocido",TRIM('REFERENCIAS'!D21&amp;"")&lt;&gt;"Sin confirmar",TRIM('REFERENCIAS'!D21&amp;"")&lt;&gt;"Por decidir",TRIM('REFERENCIAS'!D21&amp;"")&lt;&gt;"Por comprobar")),Q51&lt;&gt;1,'REFERENCIAS'!$Q$8&lt;&gt;1),2,IF(O51=0,1,IF(P51&gt;0,2,IF(ABS(E51)&gt;0.00000001,2,IF(ABS('REFERENCIAS'!C21-ROUND('REFERENCIAS'!C21,'REFERENCIAS'!$K$8))&gt;0.00000001,1,0)))))),2)</f>
      </c>
      <c r="N51" s="29" t="str">
        <f>'REFERENCIAS'!R21</f>
        <v>ID:</v>
      </c>
      <c r="O51" s="29" t="n">
        <f>COUNTIFS('DATOS'!$R$10:$R$509,N51)</f>
        <v>498</v>
      </c>
      <c r="P51" s="29" t="n">
        <f>COUNTIFS('AVISOS'!$U$10:$U$509,N51,'AVISOS'!$O$10:$O$509,2)</f>
        <v>0</v>
      </c>
      <c r="Q51" s="29" t="n">
        <f>COUNTIFS('REFERENCIAS'!$R$15:$R$64,N51)</f>
        <v>49</v>
      </c>
    </row>
    <row r="52" ht="40" customHeight="1">
      <c r="B52" s="26">
        <f>IF(AND(COUNTA('REFERENCIAS'!B22:D22)&gt;0,AND(LEN(TRIM('REFERENCIAS'!B22&amp;""))&gt;0,TRIM('REFERENCIAS'!B22&amp;"")&lt;&gt;"Pendiente",TRIM('REFERENCIAS'!B22&amp;"")&lt;&gt;"Por confirmar",TRIM('REFERENCIAS'!B22&amp;"")&lt;&gt;"No consta",TRIM('REFERENCIAS'!B22&amp;"")&lt;&gt;"Desconocido",TRIM('REFERENCIAS'!B22&amp;"")&lt;&gt;"Sin confirmar",TRIM('REFERENCIAS'!B22&amp;"")&lt;&gt;"Por decidir",TRIM('REFERENCIAS'!B22&amp;"")&lt;&gt;"Por comprobar")),'REFERENCIAS'!B22,"")</f>
      </c>
      <c r="C52" s="32">
        <f>IF(AND(COUNTA('REFERENCIAS'!B22:D22)&gt;0,O52&gt;0,P52=0,'REFERENCIAS'!$Q$8=1),SUMIFS('DATOS'!$P$10:$P$509,'DATOS'!$R$10:$R$509,N52),"")</f>
      </c>
      <c r="D52" s="32">
        <f>IF(AND(COUNTA('REFERENCIAS'!B22:D22)&gt;0,ISNUMBER('REFERENCIAS'!C22)),'REFERENCIAS'!C22,"")</f>
      </c>
      <c r="E52" s="32">
        <f>IF(AND(ISNUMBER(C52),ISNUMBER(D52)),C52-ROUND(D52,'REFERENCIAS'!$K$8),"")</f>
      </c>
      <c r="F52" s="26">
        <f>IF(NOT(ISNUMBER(M52)),"",IF(M52=2,"ROJO",IF(M52=1,"ÁMBAR","VERDE")))</f>
      </c>
      <c r="G52" s="26">
        <f>IF(AND(COUNTA('REFERENCIAS'!B22:D22)&gt;0,AND(LEN(TRIM('REFERENCIAS'!D22&amp;""))&gt;0,TRIM('REFERENCIAS'!D22&amp;"")&lt;&gt;"Pendiente",TRIM('REFERENCIAS'!D22&amp;"")&lt;&gt;"Por confirmar",TRIM('REFERENCIAS'!D22&amp;"")&lt;&gt;"No consta",TRIM('REFERENCIAS'!D22&amp;"")&lt;&gt;"Desconocido",TRIM('REFERENCIAS'!D22&amp;"")&lt;&gt;"Sin confirmar",TRIM('REFERENCIAS'!D22&amp;"")&lt;&gt;"Por decidir",TRIM('REFERENCIAS'!D22&amp;"")&lt;&gt;"Por comprobar")),'REFERENCIAS'!D22,"")</f>
      </c>
      <c r="H52" s="26"/>
      <c r="I52" s="26"/>
      <c r="J52" s="26"/>
      <c r="K52" s="26"/>
      <c r="L52" s="26"/>
      <c r="M52" s="29">
        <f>IFERROR(IF(NOT(COUNTA('REFERENCIAS'!B22:D22)&gt;0),"",IF(OR(NOT(AND(LEN(TRIM('REFERENCIAS'!B22&amp;""))&gt;0,TRIM('REFERENCIAS'!B22&amp;"")&lt;&gt;"Pendiente",TRIM('REFERENCIAS'!B22&amp;"")&lt;&gt;"Por confirmar",TRIM('REFERENCIAS'!B22&amp;"")&lt;&gt;"No consta",TRIM('REFERENCIAS'!B22&amp;"")&lt;&gt;"Desconocido",TRIM('REFERENCIAS'!B22&amp;"")&lt;&gt;"Sin confirmar",TRIM('REFERENCIAS'!B22&amp;"")&lt;&gt;"Por decidir",TRIM('REFERENCIAS'!B22&amp;"")&lt;&gt;"Por comprobar")),NOT(ISNUMBER('REFERENCIAS'!C22)),NOT(AND(LEN(TRIM('REFERENCIAS'!D22&amp;""))&gt;0,TRIM('REFERENCIAS'!D22&amp;"")&lt;&gt;"Pendiente",TRIM('REFERENCIAS'!D22&amp;"")&lt;&gt;"Por confirmar",TRIM('REFERENCIAS'!D22&amp;"")&lt;&gt;"No consta",TRIM('REFERENCIAS'!D22&amp;"")&lt;&gt;"Desconocido",TRIM('REFERENCIAS'!D22&amp;"")&lt;&gt;"Sin confirmar",TRIM('REFERENCIAS'!D22&amp;"")&lt;&gt;"Por decidir",TRIM('REFERENCIAS'!D22&amp;"")&lt;&gt;"Por comprobar")),Q52&lt;&gt;1,'REFERENCIAS'!$Q$8&lt;&gt;1),2,IF(O52=0,1,IF(P52&gt;0,2,IF(ABS(E52)&gt;0.00000001,2,IF(ABS('REFERENCIAS'!C22-ROUND('REFERENCIAS'!C22,'REFERENCIAS'!$K$8))&gt;0.00000001,1,0)))))),2)</f>
      </c>
      <c r="N52" s="29" t="str">
        <f>'REFERENCIAS'!R22</f>
        <v>ID:</v>
      </c>
      <c r="O52" s="29" t="n">
        <f>COUNTIFS('DATOS'!$R$10:$R$509,N52)</f>
        <v>498</v>
      </c>
      <c r="P52" s="29" t="n">
        <f>COUNTIFS('AVISOS'!$U$10:$U$509,N52,'AVISOS'!$O$10:$O$509,2)</f>
        <v>0</v>
      </c>
      <c r="Q52" s="29" t="n">
        <f>COUNTIFS('REFERENCIAS'!$R$15:$R$64,N52)</f>
        <v>49</v>
      </c>
    </row>
    <row r="53" ht="40" customHeight="1">
      <c r="B53" s="26">
        <f>IF(AND(COUNTA('REFERENCIAS'!B23:D23)&gt;0,AND(LEN(TRIM('REFERENCIAS'!B23&amp;""))&gt;0,TRIM('REFERENCIAS'!B23&amp;"")&lt;&gt;"Pendiente",TRIM('REFERENCIAS'!B23&amp;"")&lt;&gt;"Por confirmar",TRIM('REFERENCIAS'!B23&amp;"")&lt;&gt;"No consta",TRIM('REFERENCIAS'!B23&amp;"")&lt;&gt;"Desconocido",TRIM('REFERENCIAS'!B23&amp;"")&lt;&gt;"Sin confirmar",TRIM('REFERENCIAS'!B23&amp;"")&lt;&gt;"Por decidir",TRIM('REFERENCIAS'!B23&amp;"")&lt;&gt;"Por comprobar")),'REFERENCIAS'!B23,"")</f>
      </c>
      <c r="C53" s="32">
        <f>IF(AND(COUNTA('REFERENCIAS'!B23:D23)&gt;0,O53&gt;0,P53=0,'REFERENCIAS'!$Q$8=1),SUMIFS('DATOS'!$P$10:$P$509,'DATOS'!$R$10:$R$509,N53),"")</f>
      </c>
      <c r="D53" s="32">
        <f>IF(AND(COUNTA('REFERENCIAS'!B23:D23)&gt;0,ISNUMBER('REFERENCIAS'!C23)),'REFERENCIAS'!C23,"")</f>
      </c>
      <c r="E53" s="32">
        <f>IF(AND(ISNUMBER(C53),ISNUMBER(D53)),C53-ROUND(D53,'REFERENCIAS'!$K$8),"")</f>
      </c>
      <c r="F53" s="26">
        <f>IF(NOT(ISNUMBER(M53)),"",IF(M53=2,"ROJO",IF(M53=1,"ÁMBAR","VERDE")))</f>
      </c>
      <c r="G53" s="26">
        <f>IF(AND(COUNTA('REFERENCIAS'!B23:D23)&gt;0,AND(LEN(TRIM('REFERENCIAS'!D23&amp;""))&gt;0,TRIM('REFERENCIAS'!D23&amp;"")&lt;&gt;"Pendiente",TRIM('REFERENCIAS'!D23&amp;"")&lt;&gt;"Por confirmar",TRIM('REFERENCIAS'!D23&amp;"")&lt;&gt;"No consta",TRIM('REFERENCIAS'!D23&amp;"")&lt;&gt;"Desconocido",TRIM('REFERENCIAS'!D23&amp;"")&lt;&gt;"Sin confirmar",TRIM('REFERENCIAS'!D23&amp;"")&lt;&gt;"Por decidir",TRIM('REFERENCIAS'!D23&amp;"")&lt;&gt;"Por comprobar")),'REFERENCIAS'!D23,"")</f>
      </c>
      <c r="H53" s="26"/>
      <c r="I53" s="26"/>
      <c r="J53" s="26"/>
      <c r="K53" s="26"/>
      <c r="L53" s="26"/>
      <c r="M53" s="29">
        <f>IFERROR(IF(NOT(COUNTA('REFERENCIAS'!B23:D23)&gt;0),"",IF(OR(NOT(AND(LEN(TRIM('REFERENCIAS'!B23&amp;""))&gt;0,TRIM('REFERENCIAS'!B23&amp;"")&lt;&gt;"Pendiente",TRIM('REFERENCIAS'!B23&amp;"")&lt;&gt;"Por confirmar",TRIM('REFERENCIAS'!B23&amp;"")&lt;&gt;"No consta",TRIM('REFERENCIAS'!B23&amp;"")&lt;&gt;"Desconocido",TRIM('REFERENCIAS'!B23&amp;"")&lt;&gt;"Sin confirmar",TRIM('REFERENCIAS'!B23&amp;"")&lt;&gt;"Por decidir",TRIM('REFERENCIAS'!B23&amp;"")&lt;&gt;"Por comprobar")),NOT(ISNUMBER('REFERENCIAS'!C23)),NOT(AND(LEN(TRIM('REFERENCIAS'!D23&amp;""))&gt;0,TRIM('REFERENCIAS'!D23&amp;"")&lt;&gt;"Pendiente",TRIM('REFERENCIAS'!D23&amp;"")&lt;&gt;"Por confirmar",TRIM('REFERENCIAS'!D23&amp;"")&lt;&gt;"No consta",TRIM('REFERENCIAS'!D23&amp;"")&lt;&gt;"Desconocido",TRIM('REFERENCIAS'!D23&amp;"")&lt;&gt;"Sin confirmar",TRIM('REFERENCIAS'!D23&amp;"")&lt;&gt;"Por decidir",TRIM('REFERENCIAS'!D23&amp;"")&lt;&gt;"Por comprobar")),Q53&lt;&gt;1,'REFERENCIAS'!$Q$8&lt;&gt;1),2,IF(O53=0,1,IF(P53&gt;0,2,IF(ABS(E53)&gt;0.00000001,2,IF(ABS('REFERENCIAS'!C23-ROUND('REFERENCIAS'!C23,'REFERENCIAS'!$K$8))&gt;0.00000001,1,0)))))),2)</f>
      </c>
      <c r="N53" s="29" t="str">
        <f>'REFERENCIAS'!R23</f>
        <v>ID:</v>
      </c>
      <c r="O53" s="29" t="n">
        <f>COUNTIFS('DATOS'!$R$10:$R$509,N53)</f>
        <v>498</v>
      </c>
      <c r="P53" s="29" t="n">
        <f>COUNTIFS('AVISOS'!$U$10:$U$509,N53,'AVISOS'!$O$10:$O$509,2)</f>
        <v>0</v>
      </c>
      <c r="Q53" s="29" t="n">
        <f>COUNTIFS('REFERENCIAS'!$R$15:$R$64,N53)</f>
        <v>49</v>
      </c>
    </row>
    <row r="54" ht="40" customHeight="1">
      <c r="B54" s="26">
        <f>IF(AND(COUNTA('REFERENCIAS'!B24:D24)&gt;0,AND(LEN(TRIM('REFERENCIAS'!B24&amp;""))&gt;0,TRIM('REFERENCIAS'!B24&amp;"")&lt;&gt;"Pendiente",TRIM('REFERENCIAS'!B24&amp;"")&lt;&gt;"Por confirmar",TRIM('REFERENCIAS'!B24&amp;"")&lt;&gt;"No consta",TRIM('REFERENCIAS'!B24&amp;"")&lt;&gt;"Desconocido",TRIM('REFERENCIAS'!B24&amp;"")&lt;&gt;"Sin confirmar",TRIM('REFERENCIAS'!B24&amp;"")&lt;&gt;"Por decidir",TRIM('REFERENCIAS'!B24&amp;"")&lt;&gt;"Por comprobar")),'REFERENCIAS'!B24,"")</f>
      </c>
      <c r="C54" s="32">
        <f>IF(AND(COUNTA('REFERENCIAS'!B24:D24)&gt;0,O54&gt;0,P54=0,'REFERENCIAS'!$Q$8=1),SUMIFS('DATOS'!$P$10:$P$509,'DATOS'!$R$10:$R$509,N54),"")</f>
      </c>
      <c r="D54" s="32">
        <f>IF(AND(COUNTA('REFERENCIAS'!B24:D24)&gt;0,ISNUMBER('REFERENCIAS'!C24)),'REFERENCIAS'!C24,"")</f>
      </c>
      <c r="E54" s="32">
        <f>IF(AND(ISNUMBER(C54),ISNUMBER(D54)),C54-ROUND(D54,'REFERENCIAS'!$K$8),"")</f>
      </c>
      <c r="F54" s="26">
        <f>IF(NOT(ISNUMBER(M54)),"",IF(M54=2,"ROJO",IF(M54=1,"ÁMBAR","VERDE")))</f>
      </c>
      <c r="G54" s="26">
        <f>IF(AND(COUNTA('REFERENCIAS'!B24:D24)&gt;0,AND(LEN(TRIM('REFERENCIAS'!D24&amp;""))&gt;0,TRIM('REFERENCIAS'!D24&amp;"")&lt;&gt;"Pendiente",TRIM('REFERENCIAS'!D24&amp;"")&lt;&gt;"Por confirmar",TRIM('REFERENCIAS'!D24&amp;"")&lt;&gt;"No consta",TRIM('REFERENCIAS'!D24&amp;"")&lt;&gt;"Desconocido",TRIM('REFERENCIAS'!D24&amp;"")&lt;&gt;"Sin confirmar",TRIM('REFERENCIAS'!D24&amp;"")&lt;&gt;"Por decidir",TRIM('REFERENCIAS'!D24&amp;"")&lt;&gt;"Por comprobar")),'REFERENCIAS'!D24,"")</f>
      </c>
      <c r="H54" s="26"/>
      <c r="I54" s="26"/>
      <c r="J54" s="26"/>
      <c r="K54" s="26"/>
      <c r="L54" s="26"/>
      <c r="M54" s="29">
        <f>IFERROR(IF(NOT(COUNTA('REFERENCIAS'!B24:D24)&gt;0),"",IF(OR(NOT(AND(LEN(TRIM('REFERENCIAS'!B24&amp;""))&gt;0,TRIM('REFERENCIAS'!B24&amp;"")&lt;&gt;"Pendiente",TRIM('REFERENCIAS'!B24&amp;"")&lt;&gt;"Por confirmar",TRIM('REFERENCIAS'!B24&amp;"")&lt;&gt;"No consta",TRIM('REFERENCIAS'!B24&amp;"")&lt;&gt;"Desconocido",TRIM('REFERENCIAS'!B24&amp;"")&lt;&gt;"Sin confirmar",TRIM('REFERENCIAS'!B24&amp;"")&lt;&gt;"Por decidir",TRIM('REFERENCIAS'!B24&amp;"")&lt;&gt;"Por comprobar")),NOT(ISNUMBER('REFERENCIAS'!C24)),NOT(AND(LEN(TRIM('REFERENCIAS'!D24&amp;""))&gt;0,TRIM('REFERENCIAS'!D24&amp;"")&lt;&gt;"Pendiente",TRIM('REFERENCIAS'!D24&amp;"")&lt;&gt;"Por confirmar",TRIM('REFERENCIAS'!D24&amp;"")&lt;&gt;"No consta",TRIM('REFERENCIAS'!D24&amp;"")&lt;&gt;"Desconocido",TRIM('REFERENCIAS'!D24&amp;"")&lt;&gt;"Sin confirmar",TRIM('REFERENCIAS'!D24&amp;"")&lt;&gt;"Por decidir",TRIM('REFERENCIAS'!D24&amp;"")&lt;&gt;"Por comprobar")),Q54&lt;&gt;1,'REFERENCIAS'!$Q$8&lt;&gt;1),2,IF(O54=0,1,IF(P54&gt;0,2,IF(ABS(E54)&gt;0.00000001,2,IF(ABS('REFERENCIAS'!C24-ROUND('REFERENCIAS'!C24,'REFERENCIAS'!$K$8))&gt;0.00000001,1,0)))))),2)</f>
      </c>
      <c r="N54" s="29" t="str">
        <f>'REFERENCIAS'!R24</f>
        <v>ID:</v>
      </c>
      <c r="O54" s="29" t="n">
        <f>COUNTIFS('DATOS'!$R$10:$R$509,N54)</f>
        <v>498</v>
      </c>
      <c r="P54" s="29" t="n">
        <f>COUNTIFS('AVISOS'!$U$10:$U$509,N54,'AVISOS'!$O$10:$O$509,2)</f>
        <v>0</v>
      </c>
      <c r="Q54" s="29" t="n">
        <f>COUNTIFS('REFERENCIAS'!$R$15:$R$64,N54)</f>
        <v>49</v>
      </c>
    </row>
    <row r="55" ht="40" customHeight="1">
      <c r="B55" s="26">
        <f>IF(AND(COUNTA('REFERENCIAS'!B25:D25)&gt;0,AND(LEN(TRIM('REFERENCIAS'!B25&amp;""))&gt;0,TRIM('REFERENCIAS'!B25&amp;"")&lt;&gt;"Pendiente",TRIM('REFERENCIAS'!B25&amp;"")&lt;&gt;"Por confirmar",TRIM('REFERENCIAS'!B25&amp;"")&lt;&gt;"No consta",TRIM('REFERENCIAS'!B25&amp;"")&lt;&gt;"Desconocido",TRIM('REFERENCIAS'!B25&amp;"")&lt;&gt;"Sin confirmar",TRIM('REFERENCIAS'!B25&amp;"")&lt;&gt;"Por decidir",TRIM('REFERENCIAS'!B25&amp;"")&lt;&gt;"Por comprobar")),'REFERENCIAS'!B25,"")</f>
      </c>
      <c r="C55" s="32">
        <f>IF(AND(COUNTA('REFERENCIAS'!B25:D25)&gt;0,O55&gt;0,P55=0,'REFERENCIAS'!$Q$8=1),SUMIFS('DATOS'!$P$10:$P$509,'DATOS'!$R$10:$R$509,N55),"")</f>
      </c>
      <c r="D55" s="32">
        <f>IF(AND(COUNTA('REFERENCIAS'!B25:D25)&gt;0,ISNUMBER('REFERENCIAS'!C25)),'REFERENCIAS'!C25,"")</f>
      </c>
      <c r="E55" s="32">
        <f>IF(AND(ISNUMBER(C55),ISNUMBER(D55)),C55-ROUND(D55,'REFERENCIAS'!$K$8),"")</f>
      </c>
      <c r="F55" s="26">
        <f>IF(NOT(ISNUMBER(M55)),"",IF(M55=2,"ROJO",IF(M55=1,"ÁMBAR","VERDE")))</f>
      </c>
      <c r="G55" s="26">
        <f>IF(AND(COUNTA('REFERENCIAS'!B25:D25)&gt;0,AND(LEN(TRIM('REFERENCIAS'!D25&amp;""))&gt;0,TRIM('REFERENCIAS'!D25&amp;"")&lt;&gt;"Pendiente",TRIM('REFERENCIAS'!D25&amp;"")&lt;&gt;"Por confirmar",TRIM('REFERENCIAS'!D25&amp;"")&lt;&gt;"No consta",TRIM('REFERENCIAS'!D25&amp;"")&lt;&gt;"Desconocido",TRIM('REFERENCIAS'!D25&amp;"")&lt;&gt;"Sin confirmar",TRIM('REFERENCIAS'!D25&amp;"")&lt;&gt;"Por decidir",TRIM('REFERENCIAS'!D25&amp;"")&lt;&gt;"Por comprobar")),'REFERENCIAS'!D25,"")</f>
      </c>
      <c r="H55" s="26"/>
      <c r="I55" s="26"/>
      <c r="J55" s="26"/>
      <c r="K55" s="26"/>
      <c r="L55" s="26"/>
      <c r="M55" s="29">
        <f>IFERROR(IF(NOT(COUNTA('REFERENCIAS'!B25:D25)&gt;0),"",IF(OR(NOT(AND(LEN(TRIM('REFERENCIAS'!B25&amp;""))&gt;0,TRIM('REFERENCIAS'!B25&amp;"")&lt;&gt;"Pendiente",TRIM('REFERENCIAS'!B25&amp;"")&lt;&gt;"Por confirmar",TRIM('REFERENCIAS'!B25&amp;"")&lt;&gt;"No consta",TRIM('REFERENCIAS'!B25&amp;"")&lt;&gt;"Desconocido",TRIM('REFERENCIAS'!B25&amp;"")&lt;&gt;"Sin confirmar",TRIM('REFERENCIAS'!B25&amp;"")&lt;&gt;"Por decidir",TRIM('REFERENCIAS'!B25&amp;"")&lt;&gt;"Por comprobar")),NOT(ISNUMBER('REFERENCIAS'!C25)),NOT(AND(LEN(TRIM('REFERENCIAS'!D25&amp;""))&gt;0,TRIM('REFERENCIAS'!D25&amp;"")&lt;&gt;"Pendiente",TRIM('REFERENCIAS'!D25&amp;"")&lt;&gt;"Por confirmar",TRIM('REFERENCIAS'!D25&amp;"")&lt;&gt;"No consta",TRIM('REFERENCIAS'!D25&amp;"")&lt;&gt;"Desconocido",TRIM('REFERENCIAS'!D25&amp;"")&lt;&gt;"Sin confirmar",TRIM('REFERENCIAS'!D25&amp;"")&lt;&gt;"Por decidir",TRIM('REFERENCIAS'!D25&amp;"")&lt;&gt;"Por comprobar")),Q55&lt;&gt;1,'REFERENCIAS'!$Q$8&lt;&gt;1),2,IF(O55=0,1,IF(P55&gt;0,2,IF(ABS(E55)&gt;0.00000001,2,IF(ABS('REFERENCIAS'!C25-ROUND('REFERENCIAS'!C25,'REFERENCIAS'!$K$8))&gt;0.00000001,1,0)))))),2)</f>
      </c>
      <c r="N55" s="29" t="str">
        <f>'REFERENCIAS'!R25</f>
        <v>ID:</v>
      </c>
      <c r="O55" s="29" t="n">
        <f>COUNTIFS('DATOS'!$R$10:$R$509,N55)</f>
        <v>498</v>
      </c>
      <c r="P55" s="29" t="n">
        <f>COUNTIFS('AVISOS'!$U$10:$U$509,N55,'AVISOS'!$O$10:$O$509,2)</f>
        <v>0</v>
      </c>
      <c r="Q55" s="29" t="n">
        <f>COUNTIFS('REFERENCIAS'!$R$15:$R$64,N55)</f>
        <v>49</v>
      </c>
    </row>
    <row r="56" ht="40" customHeight="1">
      <c r="B56" s="26">
        <f>IF(AND(COUNTA('REFERENCIAS'!B26:D26)&gt;0,AND(LEN(TRIM('REFERENCIAS'!B26&amp;""))&gt;0,TRIM('REFERENCIAS'!B26&amp;"")&lt;&gt;"Pendiente",TRIM('REFERENCIAS'!B26&amp;"")&lt;&gt;"Por confirmar",TRIM('REFERENCIAS'!B26&amp;"")&lt;&gt;"No consta",TRIM('REFERENCIAS'!B26&amp;"")&lt;&gt;"Desconocido",TRIM('REFERENCIAS'!B26&amp;"")&lt;&gt;"Sin confirmar",TRIM('REFERENCIAS'!B26&amp;"")&lt;&gt;"Por decidir",TRIM('REFERENCIAS'!B26&amp;"")&lt;&gt;"Por comprobar")),'REFERENCIAS'!B26,"")</f>
      </c>
      <c r="C56" s="32">
        <f>IF(AND(COUNTA('REFERENCIAS'!B26:D26)&gt;0,O56&gt;0,P56=0,'REFERENCIAS'!$Q$8=1),SUMIFS('DATOS'!$P$10:$P$509,'DATOS'!$R$10:$R$509,N56),"")</f>
      </c>
      <c r="D56" s="32">
        <f>IF(AND(COUNTA('REFERENCIAS'!B26:D26)&gt;0,ISNUMBER('REFERENCIAS'!C26)),'REFERENCIAS'!C26,"")</f>
      </c>
      <c r="E56" s="32">
        <f>IF(AND(ISNUMBER(C56),ISNUMBER(D56)),C56-ROUND(D56,'REFERENCIAS'!$K$8),"")</f>
      </c>
      <c r="F56" s="26">
        <f>IF(NOT(ISNUMBER(M56)),"",IF(M56=2,"ROJO",IF(M56=1,"ÁMBAR","VERDE")))</f>
      </c>
      <c r="G56" s="26">
        <f>IF(AND(COUNTA('REFERENCIAS'!B26:D26)&gt;0,AND(LEN(TRIM('REFERENCIAS'!D26&amp;""))&gt;0,TRIM('REFERENCIAS'!D26&amp;"")&lt;&gt;"Pendiente",TRIM('REFERENCIAS'!D26&amp;"")&lt;&gt;"Por confirmar",TRIM('REFERENCIAS'!D26&amp;"")&lt;&gt;"No consta",TRIM('REFERENCIAS'!D26&amp;"")&lt;&gt;"Desconocido",TRIM('REFERENCIAS'!D26&amp;"")&lt;&gt;"Sin confirmar",TRIM('REFERENCIAS'!D26&amp;"")&lt;&gt;"Por decidir",TRIM('REFERENCIAS'!D26&amp;"")&lt;&gt;"Por comprobar")),'REFERENCIAS'!D26,"")</f>
      </c>
      <c r="H56" s="26"/>
      <c r="I56" s="26"/>
      <c r="J56" s="26"/>
      <c r="K56" s="26"/>
      <c r="L56" s="26"/>
      <c r="M56" s="29">
        <f>IFERROR(IF(NOT(COUNTA('REFERENCIAS'!B26:D26)&gt;0),"",IF(OR(NOT(AND(LEN(TRIM('REFERENCIAS'!B26&amp;""))&gt;0,TRIM('REFERENCIAS'!B26&amp;"")&lt;&gt;"Pendiente",TRIM('REFERENCIAS'!B26&amp;"")&lt;&gt;"Por confirmar",TRIM('REFERENCIAS'!B26&amp;"")&lt;&gt;"No consta",TRIM('REFERENCIAS'!B26&amp;"")&lt;&gt;"Desconocido",TRIM('REFERENCIAS'!B26&amp;"")&lt;&gt;"Sin confirmar",TRIM('REFERENCIAS'!B26&amp;"")&lt;&gt;"Por decidir",TRIM('REFERENCIAS'!B26&amp;"")&lt;&gt;"Por comprobar")),NOT(ISNUMBER('REFERENCIAS'!C26)),NOT(AND(LEN(TRIM('REFERENCIAS'!D26&amp;""))&gt;0,TRIM('REFERENCIAS'!D26&amp;"")&lt;&gt;"Pendiente",TRIM('REFERENCIAS'!D26&amp;"")&lt;&gt;"Por confirmar",TRIM('REFERENCIAS'!D26&amp;"")&lt;&gt;"No consta",TRIM('REFERENCIAS'!D26&amp;"")&lt;&gt;"Desconocido",TRIM('REFERENCIAS'!D26&amp;"")&lt;&gt;"Sin confirmar",TRIM('REFERENCIAS'!D26&amp;"")&lt;&gt;"Por decidir",TRIM('REFERENCIAS'!D26&amp;"")&lt;&gt;"Por comprobar")),Q56&lt;&gt;1,'REFERENCIAS'!$Q$8&lt;&gt;1),2,IF(O56=0,1,IF(P56&gt;0,2,IF(ABS(E56)&gt;0.00000001,2,IF(ABS('REFERENCIAS'!C26-ROUND('REFERENCIAS'!C26,'REFERENCIAS'!$K$8))&gt;0.00000001,1,0)))))),2)</f>
      </c>
      <c r="N56" s="29" t="str">
        <f>'REFERENCIAS'!R26</f>
        <v>ID:</v>
      </c>
      <c r="O56" s="29" t="n">
        <f>COUNTIFS('DATOS'!$R$10:$R$509,N56)</f>
        <v>498</v>
      </c>
      <c r="P56" s="29" t="n">
        <f>COUNTIFS('AVISOS'!$U$10:$U$509,N56,'AVISOS'!$O$10:$O$509,2)</f>
        <v>0</v>
      </c>
      <c r="Q56" s="29" t="n">
        <f>COUNTIFS('REFERENCIAS'!$R$15:$R$64,N56)</f>
        <v>49</v>
      </c>
    </row>
    <row r="57" ht="40" customHeight="1">
      <c r="B57" s="26">
        <f>IF(AND(COUNTA('REFERENCIAS'!B27:D27)&gt;0,AND(LEN(TRIM('REFERENCIAS'!B27&amp;""))&gt;0,TRIM('REFERENCIAS'!B27&amp;"")&lt;&gt;"Pendiente",TRIM('REFERENCIAS'!B27&amp;"")&lt;&gt;"Por confirmar",TRIM('REFERENCIAS'!B27&amp;"")&lt;&gt;"No consta",TRIM('REFERENCIAS'!B27&amp;"")&lt;&gt;"Desconocido",TRIM('REFERENCIAS'!B27&amp;"")&lt;&gt;"Sin confirmar",TRIM('REFERENCIAS'!B27&amp;"")&lt;&gt;"Por decidir",TRIM('REFERENCIAS'!B27&amp;"")&lt;&gt;"Por comprobar")),'REFERENCIAS'!B27,"")</f>
      </c>
      <c r="C57" s="32">
        <f>IF(AND(COUNTA('REFERENCIAS'!B27:D27)&gt;0,O57&gt;0,P57=0,'REFERENCIAS'!$Q$8=1),SUMIFS('DATOS'!$P$10:$P$509,'DATOS'!$R$10:$R$509,N57),"")</f>
      </c>
      <c r="D57" s="32">
        <f>IF(AND(COUNTA('REFERENCIAS'!B27:D27)&gt;0,ISNUMBER('REFERENCIAS'!C27)),'REFERENCIAS'!C27,"")</f>
      </c>
      <c r="E57" s="32">
        <f>IF(AND(ISNUMBER(C57),ISNUMBER(D57)),C57-ROUND(D57,'REFERENCIAS'!$K$8),"")</f>
      </c>
      <c r="F57" s="26">
        <f>IF(NOT(ISNUMBER(M57)),"",IF(M57=2,"ROJO",IF(M57=1,"ÁMBAR","VERDE")))</f>
      </c>
      <c r="G57" s="26">
        <f>IF(AND(COUNTA('REFERENCIAS'!B27:D27)&gt;0,AND(LEN(TRIM('REFERENCIAS'!D27&amp;""))&gt;0,TRIM('REFERENCIAS'!D27&amp;"")&lt;&gt;"Pendiente",TRIM('REFERENCIAS'!D27&amp;"")&lt;&gt;"Por confirmar",TRIM('REFERENCIAS'!D27&amp;"")&lt;&gt;"No consta",TRIM('REFERENCIAS'!D27&amp;"")&lt;&gt;"Desconocido",TRIM('REFERENCIAS'!D27&amp;"")&lt;&gt;"Sin confirmar",TRIM('REFERENCIAS'!D27&amp;"")&lt;&gt;"Por decidir",TRIM('REFERENCIAS'!D27&amp;"")&lt;&gt;"Por comprobar")),'REFERENCIAS'!D27,"")</f>
      </c>
      <c r="H57" s="26"/>
      <c r="I57" s="26"/>
      <c r="J57" s="26"/>
      <c r="K57" s="26"/>
      <c r="L57" s="26"/>
      <c r="M57" s="29">
        <f>IFERROR(IF(NOT(COUNTA('REFERENCIAS'!B27:D27)&gt;0),"",IF(OR(NOT(AND(LEN(TRIM('REFERENCIAS'!B27&amp;""))&gt;0,TRIM('REFERENCIAS'!B27&amp;"")&lt;&gt;"Pendiente",TRIM('REFERENCIAS'!B27&amp;"")&lt;&gt;"Por confirmar",TRIM('REFERENCIAS'!B27&amp;"")&lt;&gt;"No consta",TRIM('REFERENCIAS'!B27&amp;"")&lt;&gt;"Desconocido",TRIM('REFERENCIAS'!B27&amp;"")&lt;&gt;"Sin confirmar",TRIM('REFERENCIAS'!B27&amp;"")&lt;&gt;"Por decidir",TRIM('REFERENCIAS'!B27&amp;"")&lt;&gt;"Por comprobar")),NOT(ISNUMBER('REFERENCIAS'!C27)),NOT(AND(LEN(TRIM('REFERENCIAS'!D27&amp;""))&gt;0,TRIM('REFERENCIAS'!D27&amp;"")&lt;&gt;"Pendiente",TRIM('REFERENCIAS'!D27&amp;"")&lt;&gt;"Por confirmar",TRIM('REFERENCIAS'!D27&amp;"")&lt;&gt;"No consta",TRIM('REFERENCIAS'!D27&amp;"")&lt;&gt;"Desconocido",TRIM('REFERENCIAS'!D27&amp;"")&lt;&gt;"Sin confirmar",TRIM('REFERENCIAS'!D27&amp;"")&lt;&gt;"Por decidir",TRIM('REFERENCIAS'!D27&amp;"")&lt;&gt;"Por comprobar")),Q57&lt;&gt;1,'REFERENCIAS'!$Q$8&lt;&gt;1),2,IF(O57=0,1,IF(P57&gt;0,2,IF(ABS(E57)&gt;0.00000001,2,IF(ABS('REFERENCIAS'!C27-ROUND('REFERENCIAS'!C27,'REFERENCIAS'!$K$8))&gt;0.00000001,1,0)))))),2)</f>
      </c>
      <c r="N57" s="29" t="str">
        <f>'REFERENCIAS'!R27</f>
        <v>ID:</v>
      </c>
      <c r="O57" s="29" t="n">
        <f>COUNTIFS('DATOS'!$R$10:$R$509,N57)</f>
        <v>498</v>
      </c>
      <c r="P57" s="29" t="n">
        <f>COUNTIFS('AVISOS'!$U$10:$U$509,N57,'AVISOS'!$O$10:$O$509,2)</f>
        <v>0</v>
      </c>
      <c r="Q57" s="29" t="n">
        <f>COUNTIFS('REFERENCIAS'!$R$15:$R$64,N57)</f>
        <v>49</v>
      </c>
    </row>
    <row r="58" ht="40" customHeight="1">
      <c r="B58" s="26">
        <f>IF(AND(COUNTA('REFERENCIAS'!B28:D28)&gt;0,AND(LEN(TRIM('REFERENCIAS'!B28&amp;""))&gt;0,TRIM('REFERENCIAS'!B28&amp;"")&lt;&gt;"Pendiente",TRIM('REFERENCIAS'!B28&amp;"")&lt;&gt;"Por confirmar",TRIM('REFERENCIAS'!B28&amp;"")&lt;&gt;"No consta",TRIM('REFERENCIAS'!B28&amp;"")&lt;&gt;"Desconocido",TRIM('REFERENCIAS'!B28&amp;"")&lt;&gt;"Sin confirmar",TRIM('REFERENCIAS'!B28&amp;"")&lt;&gt;"Por decidir",TRIM('REFERENCIAS'!B28&amp;"")&lt;&gt;"Por comprobar")),'REFERENCIAS'!B28,"")</f>
      </c>
      <c r="C58" s="32">
        <f>IF(AND(COUNTA('REFERENCIAS'!B28:D28)&gt;0,O58&gt;0,P58=0,'REFERENCIAS'!$Q$8=1),SUMIFS('DATOS'!$P$10:$P$509,'DATOS'!$R$10:$R$509,N58),"")</f>
      </c>
      <c r="D58" s="32">
        <f>IF(AND(COUNTA('REFERENCIAS'!B28:D28)&gt;0,ISNUMBER('REFERENCIAS'!C28)),'REFERENCIAS'!C28,"")</f>
      </c>
      <c r="E58" s="32">
        <f>IF(AND(ISNUMBER(C58),ISNUMBER(D58)),C58-ROUND(D58,'REFERENCIAS'!$K$8),"")</f>
      </c>
      <c r="F58" s="26">
        <f>IF(NOT(ISNUMBER(M58)),"",IF(M58=2,"ROJO",IF(M58=1,"ÁMBAR","VERDE")))</f>
      </c>
      <c r="G58" s="26">
        <f>IF(AND(COUNTA('REFERENCIAS'!B28:D28)&gt;0,AND(LEN(TRIM('REFERENCIAS'!D28&amp;""))&gt;0,TRIM('REFERENCIAS'!D28&amp;"")&lt;&gt;"Pendiente",TRIM('REFERENCIAS'!D28&amp;"")&lt;&gt;"Por confirmar",TRIM('REFERENCIAS'!D28&amp;"")&lt;&gt;"No consta",TRIM('REFERENCIAS'!D28&amp;"")&lt;&gt;"Desconocido",TRIM('REFERENCIAS'!D28&amp;"")&lt;&gt;"Sin confirmar",TRIM('REFERENCIAS'!D28&amp;"")&lt;&gt;"Por decidir",TRIM('REFERENCIAS'!D28&amp;"")&lt;&gt;"Por comprobar")),'REFERENCIAS'!D28,"")</f>
      </c>
      <c r="H58" s="26"/>
      <c r="I58" s="26"/>
      <c r="J58" s="26"/>
      <c r="K58" s="26"/>
      <c r="L58" s="26"/>
      <c r="M58" s="29">
        <f>IFERROR(IF(NOT(COUNTA('REFERENCIAS'!B28:D28)&gt;0),"",IF(OR(NOT(AND(LEN(TRIM('REFERENCIAS'!B28&amp;""))&gt;0,TRIM('REFERENCIAS'!B28&amp;"")&lt;&gt;"Pendiente",TRIM('REFERENCIAS'!B28&amp;"")&lt;&gt;"Por confirmar",TRIM('REFERENCIAS'!B28&amp;"")&lt;&gt;"No consta",TRIM('REFERENCIAS'!B28&amp;"")&lt;&gt;"Desconocido",TRIM('REFERENCIAS'!B28&amp;"")&lt;&gt;"Sin confirmar",TRIM('REFERENCIAS'!B28&amp;"")&lt;&gt;"Por decidir",TRIM('REFERENCIAS'!B28&amp;"")&lt;&gt;"Por comprobar")),NOT(ISNUMBER('REFERENCIAS'!C28)),NOT(AND(LEN(TRIM('REFERENCIAS'!D28&amp;""))&gt;0,TRIM('REFERENCIAS'!D28&amp;"")&lt;&gt;"Pendiente",TRIM('REFERENCIAS'!D28&amp;"")&lt;&gt;"Por confirmar",TRIM('REFERENCIAS'!D28&amp;"")&lt;&gt;"No consta",TRIM('REFERENCIAS'!D28&amp;"")&lt;&gt;"Desconocido",TRIM('REFERENCIAS'!D28&amp;"")&lt;&gt;"Sin confirmar",TRIM('REFERENCIAS'!D28&amp;"")&lt;&gt;"Por decidir",TRIM('REFERENCIAS'!D28&amp;"")&lt;&gt;"Por comprobar")),Q58&lt;&gt;1,'REFERENCIAS'!$Q$8&lt;&gt;1),2,IF(O58=0,1,IF(P58&gt;0,2,IF(ABS(E58)&gt;0.00000001,2,IF(ABS('REFERENCIAS'!C28-ROUND('REFERENCIAS'!C28,'REFERENCIAS'!$K$8))&gt;0.00000001,1,0)))))),2)</f>
      </c>
      <c r="N58" s="29" t="str">
        <f>'REFERENCIAS'!R28</f>
        <v>ID:</v>
      </c>
      <c r="O58" s="29" t="n">
        <f>COUNTIFS('DATOS'!$R$10:$R$509,N58)</f>
        <v>498</v>
      </c>
      <c r="P58" s="29" t="n">
        <f>COUNTIFS('AVISOS'!$U$10:$U$509,N58,'AVISOS'!$O$10:$O$509,2)</f>
        <v>0</v>
      </c>
      <c r="Q58" s="29" t="n">
        <f>COUNTIFS('REFERENCIAS'!$R$15:$R$64,N58)</f>
        <v>49</v>
      </c>
    </row>
    <row r="59" ht="40" customHeight="1">
      <c r="B59" s="26">
        <f>IF(AND(COUNTA('REFERENCIAS'!B29:D29)&gt;0,AND(LEN(TRIM('REFERENCIAS'!B29&amp;""))&gt;0,TRIM('REFERENCIAS'!B29&amp;"")&lt;&gt;"Pendiente",TRIM('REFERENCIAS'!B29&amp;"")&lt;&gt;"Por confirmar",TRIM('REFERENCIAS'!B29&amp;"")&lt;&gt;"No consta",TRIM('REFERENCIAS'!B29&amp;"")&lt;&gt;"Desconocido",TRIM('REFERENCIAS'!B29&amp;"")&lt;&gt;"Sin confirmar",TRIM('REFERENCIAS'!B29&amp;"")&lt;&gt;"Por decidir",TRIM('REFERENCIAS'!B29&amp;"")&lt;&gt;"Por comprobar")),'REFERENCIAS'!B29,"")</f>
      </c>
      <c r="C59" s="32">
        <f>IF(AND(COUNTA('REFERENCIAS'!B29:D29)&gt;0,O59&gt;0,P59=0,'REFERENCIAS'!$Q$8=1),SUMIFS('DATOS'!$P$10:$P$509,'DATOS'!$R$10:$R$509,N59),"")</f>
      </c>
      <c r="D59" s="32">
        <f>IF(AND(COUNTA('REFERENCIAS'!B29:D29)&gt;0,ISNUMBER('REFERENCIAS'!C29)),'REFERENCIAS'!C29,"")</f>
      </c>
      <c r="E59" s="32">
        <f>IF(AND(ISNUMBER(C59),ISNUMBER(D59)),C59-ROUND(D59,'REFERENCIAS'!$K$8),"")</f>
      </c>
      <c r="F59" s="26">
        <f>IF(NOT(ISNUMBER(M59)),"",IF(M59=2,"ROJO",IF(M59=1,"ÁMBAR","VERDE")))</f>
      </c>
      <c r="G59" s="26">
        <f>IF(AND(COUNTA('REFERENCIAS'!B29:D29)&gt;0,AND(LEN(TRIM('REFERENCIAS'!D29&amp;""))&gt;0,TRIM('REFERENCIAS'!D29&amp;"")&lt;&gt;"Pendiente",TRIM('REFERENCIAS'!D29&amp;"")&lt;&gt;"Por confirmar",TRIM('REFERENCIAS'!D29&amp;"")&lt;&gt;"No consta",TRIM('REFERENCIAS'!D29&amp;"")&lt;&gt;"Desconocido",TRIM('REFERENCIAS'!D29&amp;"")&lt;&gt;"Sin confirmar",TRIM('REFERENCIAS'!D29&amp;"")&lt;&gt;"Por decidir",TRIM('REFERENCIAS'!D29&amp;"")&lt;&gt;"Por comprobar")),'REFERENCIAS'!D29,"")</f>
      </c>
      <c r="H59" s="26"/>
      <c r="I59" s="26"/>
      <c r="J59" s="26"/>
      <c r="K59" s="26"/>
      <c r="L59" s="26"/>
      <c r="M59" s="29">
        <f>IFERROR(IF(NOT(COUNTA('REFERENCIAS'!B29:D29)&gt;0),"",IF(OR(NOT(AND(LEN(TRIM('REFERENCIAS'!B29&amp;""))&gt;0,TRIM('REFERENCIAS'!B29&amp;"")&lt;&gt;"Pendiente",TRIM('REFERENCIAS'!B29&amp;"")&lt;&gt;"Por confirmar",TRIM('REFERENCIAS'!B29&amp;"")&lt;&gt;"No consta",TRIM('REFERENCIAS'!B29&amp;"")&lt;&gt;"Desconocido",TRIM('REFERENCIAS'!B29&amp;"")&lt;&gt;"Sin confirmar",TRIM('REFERENCIAS'!B29&amp;"")&lt;&gt;"Por decidir",TRIM('REFERENCIAS'!B29&amp;"")&lt;&gt;"Por comprobar")),NOT(ISNUMBER('REFERENCIAS'!C29)),NOT(AND(LEN(TRIM('REFERENCIAS'!D29&amp;""))&gt;0,TRIM('REFERENCIAS'!D29&amp;"")&lt;&gt;"Pendiente",TRIM('REFERENCIAS'!D29&amp;"")&lt;&gt;"Por confirmar",TRIM('REFERENCIAS'!D29&amp;"")&lt;&gt;"No consta",TRIM('REFERENCIAS'!D29&amp;"")&lt;&gt;"Desconocido",TRIM('REFERENCIAS'!D29&amp;"")&lt;&gt;"Sin confirmar",TRIM('REFERENCIAS'!D29&amp;"")&lt;&gt;"Por decidir",TRIM('REFERENCIAS'!D29&amp;"")&lt;&gt;"Por comprobar")),Q59&lt;&gt;1,'REFERENCIAS'!$Q$8&lt;&gt;1),2,IF(O59=0,1,IF(P59&gt;0,2,IF(ABS(E59)&gt;0.00000001,2,IF(ABS('REFERENCIAS'!C29-ROUND('REFERENCIAS'!C29,'REFERENCIAS'!$K$8))&gt;0.00000001,1,0)))))),2)</f>
      </c>
      <c r="N59" s="29" t="str">
        <f>'REFERENCIAS'!R29</f>
        <v>ID:</v>
      </c>
      <c r="O59" s="29" t="n">
        <f>COUNTIFS('DATOS'!$R$10:$R$509,N59)</f>
        <v>498</v>
      </c>
      <c r="P59" s="29" t="n">
        <f>COUNTIFS('AVISOS'!$U$10:$U$509,N59,'AVISOS'!$O$10:$O$509,2)</f>
        <v>0</v>
      </c>
      <c r="Q59" s="29" t="n">
        <f>COUNTIFS('REFERENCIAS'!$R$15:$R$64,N59)</f>
        <v>49</v>
      </c>
    </row>
    <row r="60" ht="40" customHeight="1">
      <c r="B60" s="26">
        <f>IF(AND(COUNTA('REFERENCIAS'!B30:D30)&gt;0,AND(LEN(TRIM('REFERENCIAS'!B30&amp;""))&gt;0,TRIM('REFERENCIAS'!B30&amp;"")&lt;&gt;"Pendiente",TRIM('REFERENCIAS'!B30&amp;"")&lt;&gt;"Por confirmar",TRIM('REFERENCIAS'!B30&amp;"")&lt;&gt;"No consta",TRIM('REFERENCIAS'!B30&amp;"")&lt;&gt;"Desconocido",TRIM('REFERENCIAS'!B30&amp;"")&lt;&gt;"Sin confirmar",TRIM('REFERENCIAS'!B30&amp;"")&lt;&gt;"Por decidir",TRIM('REFERENCIAS'!B30&amp;"")&lt;&gt;"Por comprobar")),'REFERENCIAS'!B30,"")</f>
      </c>
      <c r="C60" s="32">
        <f>IF(AND(COUNTA('REFERENCIAS'!B30:D30)&gt;0,O60&gt;0,P60=0,'REFERENCIAS'!$Q$8=1),SUMIFS('DATOS'!$P$10:$P$509,'DATOS'!$R$10:$R$509,N60),"")</f>
      </c>
      <c r="D60" s="32">
        <f>IF(AND(COUNTA('REFERENCIAS'!B30:D30)&gt;0,ISNUMBER('REFERENCIAS'!C30)),'REFERENCIAS'!C30,"")</f>
      </c>
      <c r="E60" s="32">
        <f>IF(AND(ISNUMBER(C60),ISNUMBER(D60)),C60-ROUND(D60,'REFERENCIAS'!$K$8),"")</f>
      </c>
      <c r="F60" s="26">
        <f>IF(NOT(ISNUMBER(M60)),"",IF(M60=2,"ROJO",IF(M60=1,"ÁMBAR","VERDE")))</f>
      </c>
      <c r="G60" s="26">
        <f>IF(AND(COUNTA('REFERENCIAS'!B30:D30)&gt;0,AND(LEN(TRIM('REFERENCIAS'!D30&amp;""))&gt;0,TRIM('REFERENCIAS'!D30&amp;"")&lt;&gt;"Pendiente",TRIM('REFERENCIAS'!D30&amp;"")&lt;&gt;"Por confirmar",TRIM('REFERENCIAS'!D30&amp;"")&lt;&gt;"No consta",TRIM('REFERENCIAS'!D30&amp;"")&lt;&gt;"Desconocido",TRIM('REFERENCIAS'!D30&amp;"")&lt;&gt;"Sin confirmar",TRIM('REFERENCIAS'!D30&amp;"")&lt;&gt;"Por decidir",TRIM('REFERENCIAS'!D30&amp;"")&lt;&gt;"Por comprobar")),'REFERENCIAS'!D30,"")</f>
      </c>
      <c r="H60" s="26"/>
      <c r="I60" s="26"/>
      <c r="J60" s="26"/>
      <c r="K60" s="26"/>
      <c r="L60" s="26"/>
      <c r="M60" s="29">
        <f>IFERROR(IF(NOT(COUNTA('REFERENCIAS'!B30:D30)&gt;0),"",IF(OR(NOT(AND(LEN(TRIM('REFERENCIAS'!B30&amp;""))&gt;0,TRIM('REFERENCIAS'!B30&amp;"")&lt;&gt;"Pendiente",TRIM('REFERENCIAS'!B30&amp;"")&lt;&gt;"Por confirmar",TRIM('REFERENCIAS'!B30&amp;"")&lt;&gt;"No consta",TRIM('REFERENCIAS'!B30&amp;"")&lt;&gt;"Desconocido",TRIM('REFERENCIAS'!B30&amp;"")&lt;&gt;"Sin confirmar",TRIM('REFERENCIAS'!B30&amp;"")&lt;&gt;"Por decidir",TRIM('REFERENCIAS'!B30&amp;"")&lt;&gt;"Por comprobar")),NOT(ISNUMBER('REFERENCIAS'!C30)),NOT(AND(LEN(TRIM('REFERENCIAS'!D30&amp;""))&gt;0,TRIM('REFERENCIAS'!D30&amp;"")&lt;&gt;"Pendiente",TRIM('REFERENCIAS'!D30&amp;"")&lt;&gt;"Por confirmar",TRIM('REFERENCIAS'!D30&amp;"")&lt;&gt;"No consta",TRIM('REFERENCIAS'!D30&amp;"")&lt;&gt;"Desconocido",TRIM('REFERENCIAS'!D30&amp;"")&lt;&gt;"Sin confirmar",TRIM('REFERENCIAS'!D30&amp;"")&lt;&gt;"Por decidir",TRIM('REFERENCIAS'!D30&amp;"")&lt;&gt;"Por comprobar")),Q60&lt;&gt;1,'REFERENCIAS'!$Q$8&lt;&gt;1),2,IF(O60=0,1,IF(P60&gt;0,2,IF(ABS(E60)&gt;0.00000001,2,IF(ABS('REFERENCIAS'!C30-ROUND('REFERENCIAS'!C30,'REFERENCIAS'!$K$8))&gt;0.00000001,1,0)))))),2)</f>
      </c>
      <c r="N60" s="29" t="str">
        <f>'REFERENCIAS'!R30</f>
        <v>ID:</v>
      </c>
      <c r="O60" s="29" t="n">
        <f>COUNTIFS('DATOS'!$R$10:$R$509,N60)</f>
        <v>498</v>
      </c>
      <c r="P60" s="29" t="n">
        <f>COUNTIFS('AVISOS'!$U$10:$U$509,N60,'AVISOS'!$O$10:$O$509,2)</f>
        <v>0</v>
      </c>
      <c r="Q60" s="29" t="n">
        <f>COUNTIFS('REFERENCIAS'!$R$15:$R$64,N60)</f>
        <v>49</v>
      </c>
    </row>
    <row r="61" ht="40" customHeight="1">
      <c r="B61" s="26">
        <f>IF(AND(COUNTA('REFERENCIAS'!B31:D31)&gt;0,AND(LEN(TRIM('REFERENCIAS'!B31&amp;""))&gt;0,TRIM('REFERENCIAS'!B31&amp;"")&lt;&gt;"Pendiente",TRIM('REFERENCIAS'!B31&amp;"")&lt;&gt;"Por confirmar",TRIM('REFERENCIAS'!B31&amp;"")&lt;&gt;"No consta",TRIM('REFERENCIAS'!B31&amp;"")&lt;&gt;"Desconocido",TRIM('REFERENCIAS'!B31&amp;"")&lt;&gt;"Sin confirmar",TRIM('REFERENCIAS'!B31&amp;"")&lt;&gt;"Por decidir",TRIM('REFERENCIAS'!B31&amp;"")&lt;&gt;"Por comprobar")),'REFERENCIAS'!B31,"")</f>
      </c>
      <c r="C61" s="32">
        <f>IF(AND(COUNTA('REFERENCIAS'!B31:D31)&gt;0,O61&gt;0,P61=0,'REFERENCIAS'!$Q$8=1),SUMIFS('DATOS'!$P$10:$P$509,'DATOS'!$R$10:$R$509,N61),"")</f>
      </c>
      <c r="D61" s="32">
        <f>IF(AND(COUNTA('REFERENCIAS'!B31:D31)&gt;0,ISNUMBER('REFERENCIAS'!C31)),'REFERENCIAS'!C31,"")</f>
      </c>
      <c r="E61" s="32">
        <f>IF(AND(ISNUMBER(C61),ISNUMBER(D61)),C61-ROUND(D61,'REFERENCIAS'!$K$8),"")</f>
      </c>
      <c r="F61" s="26">
        <f>IF(NOT(ISNUMBER(M61)),"",IF(M61=2,"ROJO",IF(M61=1,"ÁMBAR","VERDE")))</f>
      </c>
      <c r="G61" s="26">
        <f>IF(AND(COUNTA('REFERENCIAS'!B31:D31)&gt;0,AND(LEN(TRIM('REFERENCIAS'!D31&amp;""))&gt;0,TRIM('REFERENCIAS'!D31&amp;"")&lt;&gt;"Pendiente",TRIM('REFERENCIAS'!D31&amp;"")&lt;&gt;"Por confirmar",TRIM('REFERENCIAS'!D31&amp;"")&lt;&gt;"No consta",TRIM('REFERENCIAS'!D31&amp;"")&lt;&gt;"Desconocido",TRIM('REFERENCIAS'!D31&amp;"")&lt;&gt;"Sin confirmar",TRIM('REFERENCIAS'!D31&amp;"")&lt;&gt;"Por decidir",TRIM('REFERENCIAS'!D31&amp;"")&lt;&gt;"Por comprobar")),'REFERENCIAS'!D31,"")</f>
      </c>
      <c r="H61" s="26"/>
      <c r="I61" s="26"/>
      <c r="J61" s="26"/>
      <c r="K61" s="26"/>
      <c r="L61" s="26"/>
      <c r="M61" s="29">
        <f>IFERROR(IF(NOT(COUNTA('REFERENCIAS'!B31:D31)&gt;0),"",IF(OR(NOT(AND(LEN(TRIM('REFERENCIAS'!B31&amp;""))&gt;0,TRIM('REFERENCIAS'!B31&amp;"")&lt;&gt;"Pendiente",TRIM('REFERENCIAS'!B31&amp;"")&lt;&gt;"Por confirmar",TRIM('REFERENCIAS'!B31&amp;"")&lt;&gt;"No consta",TRIM('REFERENCIAS'!B31&amp;"")&lt;&gt;"Desconocido",TRIM('REFERENCIAS'!B31&amp;"")&lt;&gt;"Sin confirmar",TRIM('REFERENCIAS'!B31&amp;"")&lt;&gt;"Por decidir",TRIM('REFERENCIAS'!B31&amp;"")&lt;&gt;"Por comprobar")),NOT(ISNUMBER('REFERENCIAS'!C31)),NOT(AND(LEN(TRIM('REFERENCIAS'!D31&amp;""))&gt;0,TRIM('REFERENCIAS'!D31&amp;"")&lt;&gt;"Pendiente",TRIM('REFERENCIAS'!D31&amp;"")&lt;&gt;"Por confirmar",TRIM('REFERENCIAS'!D31&amp;"")&lt;&gt;"No consta",TRIM('REFERENCIAS'!D31&amp;"")&lt;&gt;"Desconocido",TRIM('REFERENCIAS'!D31&amp;"")&lt;&gt;"Sin confirmar",TRIM('REFERENCIAS'!D31&amp;"")&lt;&gt;"Por decidir",TRIM('REFERENCIAS'!D31&amp;"")&lt;&gt;"Por comprobar")),Q61&lt;&gt;1,'REFERENCIAS'!$Q$8&lt;&gt;1),2,IF(O61=0,1,IF(P61&gt;0,2,IF(ABS(E61)&gt;0.00000001,2,IF(ABS('REFERENCIAS'!C31-ROUND('REFERENCIAS'!C31,'REFERENCIAS'!$K$8))&gt;0.00000001,1,0)))))),2)</f>
      </c>
      <c r="N61" s="29" t="str">
        <f>'REFERENCIAS'!R31</f>
        <v>ID:</v>
      </c>
      <c r="O61" s="29" t="n">
        <f>COUNTIFS('DATOS'!$R$10:$R$509,N61)</f>
        <v>498</v>
      </c>
      <c r="P61" s="29" t="n">
        <f>COUNTIFS('AVISOS'!$U$10:$U$509,N61,'AVISOS'!$O$10:$O$509,2)</f>
        <v>0</v>
      </c>
      <c r="Q61" s="29" t="n">
        <f>COUNTIFS('REFERENCIAS'!$R$15:$R$64,N61)</f>
        <v>49</v>
      </c>
    </row>
    <row r="62" ht="40" customHeight="1">
      <c r="B62" s="26">
        <f>IF(AND(COUNTA('REFERENCIAS'!B32:D32)&gt;0,AND(LEN(TRIM('REFERENCIAS'!B32&amp;""))&gt;0,TRIM('REFERENCIAS'!B32&amp;"")&lt;&gt;"Pendiente",TRIM('REFERENCIAS'!B32&amp;"")&lt;&gt;"Por confirmar",TRIM('REFERENCIAS'!B32&amp;"")&lt;&gt;"No consta",TRIM('REFERENCIAS'!B32&amp;"")&lt;&gt;"Desconocido",TRIM('REFERENCIAS'!B32&amp;"")&lt;&gt;"Sin confirmar",TRIM('REFERENCIAS'!B32&amp;"")&lt;&gt;"Por decidir",TRIM('REFERENCIAS'!B32&amp;"")&lt;&gt;"Por comprobar")),'REFERENCIAS'!B32,"")</f>
      </c>
      <c r="C62" s="32">
        <f>IF(AND(COUNTA('REFERENCIAS'!B32:D32)&gt;0,O62&gt;0,P62=0,'REFERENCIAS'!$Q$8=1),SUMIFS('DATOS'!$P$10:$P$509,'DATOS'!$R$10:$R$509,N62),"")</f>
      </c>
      <c r="D62" s="32">
        <f>IF(AND(COUNTA('REFERENCIAS'!B32:D32)&gt;0,ISNUMBER('REFERENCIAS'!C32)),'REFERENCIAS'!C32,"")</f>
      </c>
      <c r="E62" s="32">
        <f>IF(AND(ISNUMBER(C62),ISNUMBER(D62)),C62-ROUND(D62,'REFERENCIAS'!$K$8),"")</f>
      </c>
      <c r="F62" s="26">
        <f>IF(NOT(ISNUMBER(M62)),"",IF(M62=2,"ROJO",IF(M62=1,"ÁMBAR","VERDE")))</f>
      </c>
      <c r="G62" s="26">
        <f>IF(AND(COUNTA('REFERENCIAS'!B32:D32)&gt;0,AND(LEN(TRIM('REFERENCIAS'!D32&amp;""))&gt;0,TRIM('REFERENCIAS'!D32&amp;"")&lt;&gt;"Pendiente",TRIM('REFERENCIAS'!D32&amp;"")&lt;&gt;"Por confirmar",TRIM('REFERENCIAS'!D32&amp;"")&lt;&gt;"No consta",TRIM('REFERENCIAS'!D32&amp;"")&lt;&gt;"Desconocido",TRIM('REFERENCIAS'!D32&amp;"")&lt;&gt;"Sin confirmar",TRIM('REFERENCIAS'!D32&amp;"")&lt;&gt;"Por decidir",TRIM('REFERENCIAS'!D32&amp;"")&lt;&gt;"Por comprobar")),'REFERENCIAS'!D32,"")</f>
      </c>
      <c r="H62" s="26"/>
      <c r="I62" s="26"/>
      <c r="J62" s="26"/>
      <c r="K62" s="26"/>
      <c r="L62" s="26"/>
      <c r="M62" s="29">
        <f>IFERROR(IF(NOT(COUNTA('REFERENCIAS'!B32:D32)&gt;0),"",IF(OR(NOT(AND(LEN(TRIM('REFERENCIAS'!B32&amp;""))&gt;0,TRIM('REFERENCIAS'!B32&amp;"")&lt;&gt;"Pendiente",TRIM('REFERENCIAS'!B32&amp;"")&lt;&gt;"Por confirmar",TRIM('REFERENCIAS'!B32&amp;"")&lt;&gt;"No consta",TRIM('REFERENCIAS'!B32&amp;"")&lt;&gt;"Desconocido",TRIM('REFERENCIAS'!B32&amp;"")&lt;&gt;"Sin confirmar",TRIM('REFERENCIAS'!B32&amp;"")&lt;&gt;"Por decidir",TRIM('REFERENCIAS'!B32&amp;"")&lt;&gt;"Por comprobar")),NOT(ISNUMBER('REFERENCIAS'!C32)),NOT(AND(LEN(TRIM('REFERENCIAS'!D32&amp;""))&gt;0,TRIM('REFERENCIAS'!D32&amp;"")&lt;&gt;"Pendiente",TRIM('REFERENCIAS'!D32&amp;"")&lt;&gt;"Por confirmar",TRIM('REFERENCIAS'!D32&amp;"")&lt;&gt;"No consta",TRIM('REFERENCIAS'!D32&amp;"")&lt;&gt;"Desconocido",TRIM('REFERENCIAS'!D32&amp;"")&lt;&gt;"Sin confirmar",TRIM('REFERENCIAS'!D32&amp;"")&lt;&gt;"Por decidir",TRIM('REFERENCIAS'!D32&amp;"")&lt;&gt;"Por comprobar")),Q62&lt;&gt;1,'REFERENCIAS'!$Q$8&lt;&gt;1),2,IF(O62=0,1,IF(P62&gt;0,2,IF(ABS(E62)&gt;0.00000001,2,IF(ABS('REFERENCIAS'!C32-ROUND('REFERENCIAS'!C32,'REFERENCIAS'!$K$8))&gt;0.00000001,1,0)))))),2)</f>
      </c>
      <c r="N62" s="29" t="str">
        <f>'REFERENCIAS'!R32</f>
        <v>ID:</v>
      </c>
      <c r="O62" s="29" t="n">
        <f>COUNTIFS('DATOS'!$R$10:$R$509,N62)</f>
        <v>498</v>
      </c>
      <c r="P62" s="29" t="n">
        <f>COUNTIFS('AVISOS'!$U$10:$U$509,N62,'AVISOS'!$O$10:$O$509,2)</f>
        <v>0</v>
      </c>
      <c r="Q62" s="29" t="n">
        <f>COUNTIFS('REFERENCIAS'!$R$15:$R$64,N62)</f>
        <v>49</v>
      </c>
    </row>
    <row r="63" ht="40" customHeight="1">
      <c r="B63" s="26">
        <f>IF(AND(COUNTA('REFERENCIAS'!B33:D33)&gt;0,AND(LEN(TRIM('REFERENCIAS'!B33&amp;""))&gt;0,TRIM('REFERENCIAS'!B33&amp;"")&lt;&gt;"Pendiente",TRIM('REFERENCIAS'!B33&amp;"")&lt;&gt;"Por confirmar",TRIM('REFERENCIAS'!B33&amp;"")&lt;&gt;"No consta",TRIM('REFERENCIAS'!B33&amp;"")&lt;&gt;"Desconocido",TRIM('REFERENCIAS'!B33&amp;"")&lt;&gt;"Sin confirmar",TRIM('REFERENCIAS'!B33&amp;"")&lt;&gt;"Por decidir",TRIM('REFERENCIAS'!B33&amp;"")&lt;&gt;"Por comprobar")),'REFERENCIAS'!B33,"")</f>
      </c>
      <c r="C63" s="32">
        <f>IF(AND(COUNTA('REFERENCIAS'!B33:D33)&gt;0,O63&gt;0,P63=0,'REFERENCIAS'!$Q$8=1),SUMIFS('DATOS'!$P$10:$P$509,'DATOS'!$R$10:$R$509,N63),"")</f>
      </c>
      <c r="D63" s="32">
        <f>IF(AND(COUNTA('REFERENCIAS'!B33:D33)&gt;0,ISNUMBER('REFERENCIAS'!C33)),'REFERENCIAS'!C33,"")</f>
      </c>
      <c r="E63" s="32">
        <f>IF(AND(ISNUMBER(C63),ISNUMBER(D63)),C63-ROUND(D63,'REFERENCIAS'!$K$8),"")</f>
      </c>
      <c r="F63" s="26">
        <f>IF(NOT(ISNUMBER(M63)),"",IF(M63=2,"ROJO",IF(M63=1,"ÁMBAR","VERDE")))</f>
      </c>
      <c r="G63" s="26">
        <f>IF(AND(COUNTA('REFERENCIAS'!B33:D33)&gt;0,AND(LEN(TRIM('REFERENCIAS'!D33&amp;""))&gt;0,TRIM('REFERENCIAS'!D33&amp;"")&lt;&gt;"Pendiente",TRIM('REFERENCIAS'!D33&amp;"")&lt;&gt;"Por confirmar",TRIM('REFERENCIAS'!D33&amp;"")&lt;&gt;"No consta",TRIM('REFERENCIAS'!D33&amp;"")&lt;&gt;"Desconocido",TRIM('REFERENCIAS'!D33&amp;"")&lt;&gt;"Sin confirmar",TRIM('REFERENCIAS'!D33&amp;"")&lt;&gt;"Por decidir",TRIM('REFERENCIAS'!D33&amp;"")&lt;&gt;"Por comprobar")),'REFERENCIAS'!D33,"")</f>
      </c>
      <c r="H63" s="26"/>
      <c r="I63" s="26"/>
      <c r="J63" s="26"/>
      <c r="K63" s="26"/>
      <c r="L63" s="26"/>
      <c r="M63" s="29">
        <f>IFERROR(IF(NOT(COUNTA('REFERENCIAS'!B33:D33)&gt;0),"",IF(OR(NOT(AND(LEN(TRIM('REFERENCIAS'!B33&amp;""))&gt;0,TRIM('REFERENCIAS'!B33&amp;"")&lt;&gt;"Pendiente",TRIM('REFERENCIAS'!B33&amp;"")&lt;&gt;"Por confirmar",TRIM('REFERENCIAS'!B33&amp;"")&lt;&gt;"No consta",TRIM('REFERENCIAS'!B33&amp;"")&lt;&gt;"Desconocido",TRIM('REFERENCIAS'!B33&amp;"")&lt;&gt;"Sin confirmar",TRIM('REFERENCIAS'!B33&amp;"")&lt;&gt;"Por decidir",TRIM('REFERENCIAS'!B33&amp;"")&lt;&gt;"Por comprobar")),NOT(ISNUMBER('REFERENCIAS'!C33)),NOT(AND(LEN(TRIM('REFERENCIAS'!D33&amp;""))&gt;0,TRIM('REFERENCIAS'!D33&amp;"")&lt;&gt;"Pendiente",TRIM('REFERENCIAS'!D33&amp;"")&lt;&gt;"Por confirmar",TRIM('REFERENCIAS'!D33&amp;"")&lt;&gt;"No consta",TRIM('REFERENCIAS'!D33&amp;"")&lt;&gt;"Desconocido",TRIM('REFERENCIAS'!D33&amp;"")&lt;&gt;"Sin confirmar",TRIM('REFERENCIAS'!D33&amp;"")&lt;&gt;"Por decidir",TRIM('REFERENCIAS'!D33&amp;"")&lt;&gt;"Por comprobar")),Q63&lt;&gt;1,'REFERENCIAS'!$Q$8&lt;&gt;1),2,IF(O63=0,1,IF(P63&gt;0,2,IF(ABS(E63)&gt;0.00000001,2,IF(ABS('REFERENCIAS'!C33-ROUND('REFERENCIAS'!C33,'REFERENCIAS'!$K$8))&gt;0.00000001,1,0)))))),2)</f>
      </c>
      <c r="N63" s="29" t="str">
        <f>'REFERENCIAS'!R33</f>
        <v>ID:</v>
      </c>
      <c r="O63" s="29" t="n">
        <f>COUNTIFS('DATOS'!$R$10:$R$509,N63)</f>
        <v>498</v>
      </c>
      <c r="P63" s="29" t="n">
        <f>COUNTIFS('AVISOS'!$U$10:$U$509,N63,'AVISOS'!$O$10:$O$509,2)</f>
        <v>0</v>
      </c>
      <c r="Q63" s="29" t="n">
        <f>COUNTIFS('REFERENCIAS'!$R$15:$R$64,N63)</f>
        <v>49</v>
      </c>
    </row>
    <row r="64" ht="40" customHeight="1">
      <c r="B64" s="26">
        <f>IF(AND(COUNTA('REFERENCIAS'!B34:D34)&gt;0,AND(LEN(TRIM('REFERENCIAS'!B34&amp;""))&gt;0,TRIM('REFERENCIAS'!B34&amp;"")&lt;&gt;"Pendiente",TRIM('REFERENCIAS'!B34&amp;"")&lt;&gt;"Por confirmar",TRIM('REFERENCIAS'!B34&amp;"")&lt;&gt;"No consta",TRIM('REFERENCIAS'!B34&amp;"")&lt;&gt;"Desconocido",TRIM('REFERENCIAS'!B34&amp;"")&lt;&gt;"Sin confirmar",TRIM('REFERENCIAS'!B34&amp;"")&lt;&gt;"Por decidir",TRIM('REFERENCIAS'!B34&amp;"")&lt;&gt;"Por comprobar")),'REFERENCIAS'!B34,"")</f>
      </c>
      <c r="C64" s="32">
        <f>IF(AND(COUNTA('REFERENCIAS'!B34:D34)&gt;0,O64&gt;0,P64=0,'REFERENCIAS'!$Q$8=1),SUMIFS('DATOS'!$P$10:$P$509,'DATOS'!$R$10:$R$509,N64),"")</f>
      </c>
      <c r="D64" s="32">
        <f>IF(AND(COUNTA('REFERENCIAS'!B34:D34)&gt;0,ISNUMBER('REFERENCIAS'!C34)),'REFERENCIAS'!C34,"")</f>
      </c>
      <c r="E64" s="32">
        <f>IF(AND(ISNUMBER(C64),ISNUMBER(D64)),C64-ROUND(D64,'REFERENCIAS'!$K$8),"")</f>
      </c>
      <c r="F64" s="26">
        <f>IF(NOT(ISNUMBER(M64)),"",IF(M64=2,"ROJO",IF(M64=1,"ÁMBAR","VERDE")))</f>
      </c>
      <c r="G64" s="26">
        <f>IF(AND(COUNTA('REFERENCIAS'!B34:D34)&gt;0,AND(LEN(TRIM('REFERENCIAS'!D34&amp;""))&gt;0,TRIM('REFERENCIAS'!D34&amp;"")&lt;&gt;"Pendiente",TRIM('REFERENCIAS'!D34&amp;"")&lt;&gt;"Por confirmar",TRIM('REFERENCIAS'!D34&amp;"")&lt;&gt;"No consta",TRIM('REFERENCIAS'!D34&amp;"")&lt;&gt;"Desconocido",TRIM('REFERENCIAS'!D34&amp;"")&lt;&gt;"Sin confirmar",TRIM('REFERENCIAS'!D34&amp;"")&lt;&gt;"Por decidir",TRIM('REFERENCIAS'!D34&amp;"")&lt;&gt;"Por comprobar")),'REFERENCIAS'!D34,"")</f>
      </c>
      <c r="H64" s="26"/>
      <c r="I64" s="26"/>
      <c r="J64" s="26"/>
      <c r="K64" s="26"/>
      <c r="L64" s="26"/>
      <c r="M64" s="29">
        <f>IFERROR(IF(NOT(COUNTA('REFERENCIAS'!B34:D34)&gt;0),"",IF(OR(NOT(AND(LEN(TRIM('REFERENCIAS'!B34&amp;""))&gt;0,TRIM('REFERENCIAS'!B34&amp;"")&lt;&gt;"Pendiente",TRIM('REFERENCIAS'!B34&amp;"")&lt;&gt;"Por confirmar",TRIM('REFERENCIAS'!B34&amp;"")&lt;&gt;"No consta",TRIM('REFERENCIAS'!B34&amp;"")&lt;&gt;"Desconocido",TRIM('REFERENCIAS'!B34&amp;"")&lt;&gt;"Sin confirmar",TRIM('REFERENCIAS'!B34&amp;"")&lt;&gt;"Por decidir",TRIM('REFERENCIAS'!B34&amp;"")&lt;&gt;"Por comprobar")),NOT(ISNUMBER('REFERENCIAS'!C34)),NOT(AND(LEN(TRIM('REFERENCIAS'!D34&amp;""))&gt;0,TRIM('REFERENCIAS'!D34&amp;"")&lt;&gt;"Pendiente",TRIM('REFERENCIAS'!D34&amp;"")&lt;&gt;"Por confirmar",TRIM('REFERENCIAS'!D34&amp;"")&lt;&gt;"No consta",TRIM('REFERENCIAS'!D34&amp;"")&lt;&gt;"Desconocido",TRIM('REFERENCIAS'!D34&amp;"")&lt;&gt;"Sin confirmar",TRIM('REFERENCIAS'!D34&amp;"")&lt;&gt;"Por decidir",TRIM('REFERENCIAS'!D34&amp;"")&lt;&gt;"Por comprobar")),Q64&lt;&gt;1,'REFERENCIAS'!$Q$8&lt;&gt;1),2,IF(O64=0,1,IF(P64&gt;0,2,IF(ABS(E64)&gt;0.00000001,2,IF(ABS('REFERENCIAS'!C34-ROUND('REFERENCIAS'!C34,'REFERENCIAS'!$K$8))&gt;0.00000001,1,0)))))),2)</f>
      </c>
      <c r="N64" s="29" t="str">
        <f>'REFERENCIAS'!R34</f>
        <v>ID:</v>
      </c>
      <c r="O64" s="29" t="n">
        <f>COUNTIFS('DATOS'!$R$10:$R$509,N64)</f>
        <v>498</v>
      </c>
      <c r="P64" s="29" t="n">
        <f>COUNTIFS('AVISOS'!$U$10:$U$509,N64,'AVISOS'!$O$10:$O$509,2)</f>
        <v>0</v>
      </c>
      <c r="Q64" s="29" t="n">
        <f>COUNTIFS('REFERENCIAS'!$R$15:$R$64,N64)</f>
        <v>49</v>
      </c>
    </row>
    <row r="65" ht="40" customHeight="1">
      <c r="B65" s="26">
        <f>IF(AND(COUNTA('REFERENCIAS'!B35:D35)&gt;0,AND(LEN(TRIM('REFERENCIAS'!B35&amp;""))&gt;0,TRIM('REFERENCIAS'!B35&amp;"")&lt;&gt;"Pendiente",TRIM('REFERENCIAS'!B35&amp;"")&lt;&gt;"Por confirmar",TRIM('REFERENCIAS'!B35&amp;"")&lt;&gt;"No consta",TRIM('REFERENCIAS'!B35&amp;"")&lt;&gt;"Desconocido",TRIM('REFERENCIAS'!B35&amp;"")&lt;&gt;"Sin confirmar",TRIM('REFERENCIAS'!B35&amp;"")&lt;&gt;"Por decidir",TRIM('REFERENCIAS'!B35&amp;"")&lt;&gt;"Por comprobar")),'REFERENCIAS'!B35,"")</f>
      </c>
      <c r="C65" s="32">
        <f>IF(AND(COUNTA('REFERENCIAS'!B35:D35)&gt;0,O65&gt;0,P65=0,'REFERENCIAS'!$Q$8=1),SUMIFS('DATOS'!$P$10:$P$509,'DATOS'!$R$10:$R$509,N65),"")</f>
      </c>
      <c r="D65" s="32">
        <f>IF(AND(COUNTA('REFERENCIAS'!B35:D35)&gt;0,ISNUMBER('REFERENCIAS'!C35)),'REFERENCIAS'!C35,"")</f>
      </c>
      <c r="E65" s="32">
        <f>IF(AND(ISNUMBER(C65),ISNUMBER(D65)),C65-ROUND(D65,'REFERENCIAS'!$K$8),"")</f>
      </c>
      <c r="F65" s="26">
        <f>IF(NOT(ISNUMBER(M65)),"",IF(M65=2,"ROJO",IF(M65=1,"ÁMBAR","VERDE")))</f>
      </c>
      <c r="G65" s="26">
        <f>IF(AND(COUNTA('REFERENCIAS'!B35:D35)&gt;0,AND(LEN(TRIM('REFERENCIAS'!D35&amp;""))&gt;0,TRIM('REFERENCIAS'!D35&amp;"")&lt;&gt;"Pendiente",TRIM('REFERENCIAS'!D35&amp;"")&lt;&gt;"Por confirmar",TRIM('REFERENCIAS'!D35&amp;"")&lt;&gt;"No consta",TRIM('REFERENCIAS'!D35&amp;"")&lt;&gt;"Desconocido",TRIM('REFERENCIAS'!D35&amp;"")&lt;&gt;"Sin confirmar",TRIM('REFERENCIAS'!D35&amp;"")&lt;&gt;"Por decidir",TRIM('REFERENCIAS'!D35&amp;"")&lt;&gt;"Por comprobar")),'REFERENCIAS'!D35,"")</f>
      </c>
      <c r="H65" s="26"/>
      <c r="I65" s="26"/>
      <c r="J65" s="26"/>
      <c r="K65" s="26"/>
      <c r="L65" s="26"/>
      <c r="M65" s="29">
        <f>IFERROR(IF(NOT(COUNTA('REFERENCIAS'!B35:D35)&gt;0),"",IF(OR(NOT(AND(LEN(TRIM('REFERENCIAS'!B35&amp;""))&gt;0,TRIM('REFERENCIAS'!B35&amp;"")&lt;&gt;"Pendiente",TRIM('REFERENCIAS'!B35&amp;"")&lt;&gt;"Por confirmar",TRIM('REFERENCIAS'!B35&amp;"")&lt;&gt;"No consta",TRIM('REFERENCIAS'!B35&amp;"")&lt;&gt;"Desconocido",TRIM('REFERENCIAS'!B35&amp;"")&lt;&gt;"Sin confirmar",TRIM('REFERENCIAS'!B35&amp;"")&lt;&gt;"Por decidir",TRIM('REFERENCIAS'!B35&amp;"")&lt;&gt;"Por comprobar")),NOT(ISNUMBER('REFERENCIAS'!C35)),NOT(AND(LEN(TRIM('REFERENCIAS'!D35&amp;""))&gt;0,TRIM('REFERENCIAS'!D35&amp;"")&lt;&gt;"Pendiente",TRIM('REFERENCIAS'!D35&amp;"")&lt;&gt;"Por confirmar",TRIM('REFERENCIAS'!D35&amp;"")&lt;&gt;"No consta",TRIM('REFERENCIAS'!D35&amp;"")&lt;&gt;"Desconocido",TRIM('REFERENCIAS'!D35&amp;"")&lt;&gt;"Sin confirmar",TRIM('REFERENCIAS'!D35&amp;"")&lt;&gt;"Por decidir",TRIM('REFERENCIAS'!D35&amp;"")&lt;&gt;"Por comprobar")),Q65&lt;&gt;1,'REFERENCIAS'!$Q$8&lt;&gt;1),2,IF(O65=0,1,IF(P65&gt;0,2,IF(ABS(E65)&gt;0.00000001,2,IF(ABS('REFERENCIAS'!C35-ROUND('REFERENCIAS'!C35,'REFERENCIAS'!$K$8))&gt;0.00000001,1,0)))))),2)</f>
      </c>
      <c r="N65" s="29" t="str">
        <f>'REFERENCIAS'!R35</f>
        <v>ID:</v>
      </c>
      <c r="O65" s="29" t="n">
        <f>COUNTIFS('DATOS'!$R$10:$R$509,N65)</f>
        <v>498</v>
      </c>
      <c r="P65" s="29" t="n">
        <f>COUNTIFS('AVISOS'!$U$10:$U$509,N65,'AVISOS'!$O$10:$O$509,2)</f>
        <v>0</v>
      </c>
      <c r="Q65" s="29" t="n">
        <f>COUNTIFS('REFERENCIAS'!$R$15:$R$64,N65)</f>
        <v>49</v>
      </c>
    </row>
    <row r="66" ht="40" customHeight="1">
      <c r="B66" s="26">
        <f>IF(AND(COUNTA('REFERENCIAS'!B36:D36)&gt;0,AND(LEN(TRIM('REFERENCIAS'!B36&amp;""))&gt;0,TRIM('REFERENCIAS'!B36&amp;"")&lt;&gt;"Pendiente",TRIM('REFERENCIAS'!B36&amp;"")&lt;&gt;"Por confirmar",TRIM('REFERENCIAS'!B36&amp;"")&lt;&gt;"No consta",TRIM('REFERENCIAS'!B36&amp;"")&lt;&gt;"Desconocido",TRIM('REFERENCIAS'!B36&amp;"")&lt;&gt;"Sin confirmar",TRIM('REFERENCIAS'!B36&amp;"")&lt;&gt;"Por decidir",TRIM('REFERENCIAS'!B36&amp;"")&lt;&gt;"Por comprobar")),'REFERENCIAS'!B36,"")</f>
      </c>
      <c r="C66" s="32">
        <f>IF(AND(COUNTA('REFERENCIAS'!B36:D36)&gt;0,O66&gt;0,P66=0,'REFERENCIAS'!$Q$8=1),SUMIFS('DATOS'!$P$10:$P$509,'DATOS'!$R$10:$R$509,N66),"")</f>
      </c>
      <c r="D66" s="32">
        <f>IF(AND(COUNTA('REFERENCIAS'!B36:D36)&gt;0,ISNUMBER('REFERENCIAS'!C36)),'REFERENCIAS'!C36,"")</f>
      </c>
      <c r="E66" s="32">
        <f>IF(AND(ISNUMBER(C66),ISNUMBER(D66)),C66-ROUND(D66,'REFERENCIAS'!$K$8),"")</f>
      </c>
      <c r="F66" s="26">
        <f>IF(NOT(ISNUMBER(M66)),"",IF(M66=2,"ROJO",IF(M66=1,"ÁMBAR","VERDE")))</f>
      </c>
      <c r="G66" s="26">
        <f>IF(AND(COUNTA('REFERENCIAS'!B36:D36)&gt;0,AND(LEN(TRIM('REFERENCIAS'!D36&amp;""))&gt;0,TRIM('REFERENCIAS'!D36&amp;"")&lt;&gt;"Pendiente",TRIM('REFERENCIAS'!D36&amp;"")&lt;&gt;"Por confirmar",TRIM('REFERENCIAS'!D36&amp;"")&lt;&gt;"No consta",TRIM('REFERENCIAS'!D36&amp;"")&lt;&gt;"Desconocido",TRIM('REFERENCIAS'!D36&amp;"")&lt;&gt;"Sin confirmar",TRIM('REFERENCIAS'!D36&amp;"")&lt;&gt;"Por decidir",TRIM('REFERENCIAS'!D36&amp;"")&lt;&gt;"Por comprobar")),'REFERENCIAS'!D36,"")</f>
      </c>
      <c r="H66" s="26"/>
      <c r="I66" s="26"/>
      <c r="J66" s="26"/>
      <c r="K66" s="26"/>
      <c r="L66" s="26"/>
      <c r="M66" s="29">
        <f>IFERROR(IF(NOT(COUNTA('REFERENCIAS'!B36:D36)&gt;0),"",IF(OR(NOT(AND(LEN(TRIM('REFERENCIAS'!B36&amp;""))&gt;0,TRIM('REFERENCIAS'!B36&amp;"")&lt;&gt;"Pendiente",TRIM('REFERENCIAS'!B36&amp;"")&lt;&gt;"Por confirmar",TRIM('REFERENCIAS'!B36&amp;"")&lt;&gt;"No consta",TRIM('REFERENCIAS'!B36&amp;"")&lt;&gt;"Desconocido",TRIM('REFERENCIAS'!B36&amp;"")&lt;&gt;"Sin confirmar",TRIM('REFERENCIAS'!B36&amp;"")&lt;&gt;"Por decidir",TRIM('REFERENCIAS'!B36&amp;"")&lt;&gt;"Por comprobar")),NOT(ISNUMBER('REFERENCIAS'!C36)),NOT(AND(LEN(TRIM('REFERENCIAS'!D36&amp;""))&gt;0,TRIM('REFERENCIAS'!D36&amp;"")&lt;&gt;"Pendiente",TRIM('REFERENCIAS'!D36&amp;"")&lt;&gt;"Por confirmar",TRIM('REFERENCIAS'!D36&amp;"")&lt;&gt;"No consta",TRIM('REFERENCIAS'!D36&amp;"")&lt;&gt;"Desconocido",TRIM('REFERENCIAS'!D36&amp;"")&lt;&gt;"Sin confirmar",TRIM('REFERENCIAS'!D36&amp;"")&lt;&gt;"Por decidir",TRIM('REFERENCIAS'!D36&amp;"")&lt;&gt;"Por comprobar")),Q66&lt;&gt;1,'REFERENCIAS'!$Q$8&lt;&gt;1),2,IF(O66=0,1,IF(P66&gt;0,2,IF(ABS(E66)&gt;0.00000001,2,IF(ABS('REFERENCIAS'!C36-ROUND('REFERENCIAS'!C36,'REFERENCIAS'!$K$8))&gt;0.00000001,1,0)))))),2)</f>
      </c>
      <c r="N66" s="29" t="str">
        <f>'REFERENCIAS'!R36</f>
        <v>ID:</v>
      </c>
      <c r="O66" s="29" t="n">
        <f>COUNTIFS('DATOS'!$R$10:$R$509,N66)</f>
        <v>498</v>
      </c>
      <c r="P66" s="29" t="n">
        <f>COUNTIFS('AVISOS'!$U$10:$U$509,N66,'AVISOS'!$O$10:$O$509,2)</f>
        <v>0</v>
      </c>
      <c r="Q66" s="29" t="n">
        <f>COUNTIFS('REFERENCIAS'!$R$15:$R$64,N66)</f>
        <v>49</v>
      </c>
    </row>
    <row r="67" ht="40" customHeight="1">
      <c r="B67" s="26">
        <f>IF(AND(COUNTA('REFERENCIAS'!B37:D37)&gt;0,AND(LEN(TRIM('REFERENCIAS'!B37&amp;""))&gt;0,TRIM('REFERENCIAS'!B37&amp;"")&lt;&gt;"Pendiente",TRIM('REFERENCIAS'!B37&amp;"")&lt;&gt;"Por confirmar",TRIM('REFERENCIAS'!B37&amp;"")&lt;&gt;"No consta",TRIM('REFERENCIAS'!B37&amp;"")&lt;&gt;"Desconocido",TRIM('REFERENCIAS'!B37&amp;"")&lt;&gt;"Sin confirmar",TRIM('REFERENCIAS'!B37&amp;"")&lt;&gt;"Por decidir",TRIM('REFERENCIAS'!B37&amp;"")&lt;&gt;"Por comprobar")),'REFERENCIAS'!B37,"")</f>
      </c>
      <c r="C67" s="32">
        <f>IF(AND(COUNTA('REFERENCIAS'!B37:D37)&gt;0,O67&gt;0,P67=0,'REFERENCIAS'!$Q$8=1),SUMIFS('DATOS'!$P$10:$P$509,'DATOS'!$R$10:$R$509,N67),"")</f>
      </c>
      <c r="D67" s="32">
        <f>IF(AND(COUNTA('REFERENCIAS'!B37:D37)&gt;0,ISNUMBER('REFERENCIAS'!C37)),'REFERENCIAS'!C37,"")</f>
      </c>
      <c r="E67" s="32">
        <f>IF(AND(ISNUMBER(C67),ISNUMBER(D67)),C67-ROUND(D67,'REFERENCIAS'!$K$8),"")</f>
      </c>
      <c r="F67" s="26">
        <f>IF(NOT(ISNUMBER(M67)),"",IF(M67=2,"ROJO",IF(M67=1,"ÁMBAR","VERDE")))</f>
      </c>
      <c r="G67" s="26">
        <f>IF(AND(COUNTA('REFERENCIAS'!B37:D37)&gt;0,AND(LEN(TRIM('REFERENCIAS'!D37&amp;""))&gt;0,TRIM('REFERENCIAS'!D37&amp;"")&lt;&gt;"Pendiente",TRIM('REFERENCIAS'!D37&amp;"")&lt;&gt;"Por confirmar",TRIM('REFERENCIAS'!D37&amp;"")&lt;&gt;"No consta",TRIM('REFERENCIAS'!D37&amp;"")&lt;&gt;"Desconocido",TRIM('REFERENCIAS'!D37&amp;"")&lt;&gt;"Sin confirmar",TRIM('REFERENCIAS'!D37&amp;"")&lt;&gt;"Por decidir",TRIM('REFERENCIAS'!D37&amp;"")&lt;&gt;"Por comprobar")),'REFERENCIAS'!D37,"")</f>
      </c>
      <c r="H67" s="26"/>
      <c r="I67" s="26"/>
      <c r="J67" s="26"/>
      <c r="K67" s="26"/>
      <c r="L67" s="26"/>
      <c r="M67" s="29">
        <f>IFERROR(IF(NOT(COUNTA('REFERENCIAS'!B37:D37)&gt;0),"",IF(OR(NOT(AND(LEN(TRIM('REFERENCIAS'!B37&amp;""))&gt;0,TRIM('REFERENCIAS'!B37&amp;"")&lt;&gt;"Pendiente",TRIM('REFERENCIAS'!B37&amp;"")&lt;&gt;"Por confirmar",TRIM('REFERENCIAS'!B37&amp;"")&lt;&gt;"No consta",TRIM('REFERENCIAS'!B37&amp;"")&lt;&gt;"Desconocido",TRIM('REFERENCIAS'!B37&amp;"")&lt;&gt;"Sin confirmar",TRIM('REFERENCIAS'!B37&amp;"")&lt;&gt;"Por decidir",TRIM('REFERENCIAS'!B37&amp;"")&lt;&gt;"Por comprobar")),NOT(ISNUMBER('REFERENCIAS'!C37)),NOT(AND(LEN(TRIM('REFERENCIAS'!D37&amp;""))&gt;0,TRIM('REFERENCIAS'!D37&amp;"")&lt;&gt;"Pendiente",TRIM('REFERENCIAS'!D37&amp;"")&lt;&gt;"Por confirmar",TRIM('REFERENCIAS'!D37&amp;"")&lt;&gt;"No consta",TRIM('REFERENCIAS'!D37&amp;"")&lt;&gt;"Desconocido",TRIM('REFERENCIAS'!D37&amp;"")&lt;&gt;"Sin confirmar",TRIM('REFERENCIAS'!D37&amp;"")&lt;&gt;"Por decidir",TRIM('REFERENCIAS'!D37&amp;"")&lt;&gt;"Por comprobar")),Q67&lt;&gt;1,'REFERENCIAS'!$Q$8&lt;&gt;1),2,IF(O67=0,1,IF(P67&gt;0,2,IF(ABS(E67)&gt;0.00000001,2,IF(ABS('REFERENCIAS'!C37-ROUND('REFERENCIAS'!C37,'REFERENCIAS'!$K$8))&gt;0.00000001,1,0)))))),2)</f>
      </c>
      <c r="N67" s="29" t="str">
        <f>'REFERENCIAS'!R37</f>
        <v>ID:</v>
      </c>
      <c r="O67" s="29" t="n">
        <f>COUNTIFS('DATOS'!$R$10:$R$509,N67)</f>
        <v>498</v>
      </c>
      <c r="P67" s="29" t="n">
        <f>COUNTIFS('AVISOS'!$U$10:$U$509,N67,'AVISOS'!$O$10:$O$509,2)</f>
        <v>0</v>
      </c>
      <c r="Q67" s="29" t="n">
        <f>COUNTIFS('REFERENCIAS'!$R$15:$R$64,N67)</f>
        <v>49</v>
      </c>
    </row>
    <row r="68" ht="40" customHeight="1">
      <c r="B68" s="26">
        <f>IF(AND(COUNTA('REFERENCIAS'!B38:D38)&gt;0,AND(LEN(TRIM('REFERENCIAS'!B38&amp;""))&gt;0,TRIM('REFERENCIAS'!B38&amp;"")&lt;&gt;"Pendiente",TRIM('REFERENCIAS'!B38&amp;"")&lt;&gt;"Por confirmar",TRIM('REFERENCIAS'!B38&amp;"")&lt;&gt;"No consta",TRIM('REFERENCIAS'!B38&amp;"")&lt;&gt;"Desconocido",TRIM('REFERENCIAS'!B38&amp;"")&lt;&gt;"Sin confirmar",TRIM('REFERENCIAS'!B38&amp;"")&lt;&gt;"Por decidir",TRIM('REFERENCIAS'!B38&amp;"")&lt;&gt;"Por comprobar")),'REFERENCIAS'!B38,"")</f>
      </c>
      <c r="C68" s="32">
        <f>IF(AND(COUNTA('REFERENCIAS'!B38:D38)&gt;0,O68&gt;0,P68=0,'REFERENCIAS'!$Q$8=1),SUMIFS('DATOS'!$P$10:$P$509,'DATOS'!$R$10:$R$509,N68),"")</f>
      </c>
      <c r="D68" s="32">
        <f>IF(AND(COUNTA('REFERENCIAS'!B38:D38)&gt;0,ISNUMBER('REFERENCIAS'!C38)),'REFERENCIAS'!C38,"")</f>
      </c>
      <c r="E68" s="32">
        <f>IF(AND(ISNUMBER(C68),ISNUMBER(D68)),C68-ROUND(D68,'REFERENCIAS'!$K$8),"")</f>
      </c>
      <c r="F68" s="26">
        <f>IF(NOT(ISNUMBER(M68)),"",IF(M68=2,"ROJO",IF(M68=1,"ÁMBAR","VERDE")))</f>
      </c>
      <c r="G68" s="26">
        <f>IF(AND(COUNTA('REFERENCIAS'!B38:D38)&gt;0,AND(LEN(TRIM('REFERENCIAS'!D38&amp;""))&gt;0,TRIM('REFERENCIAS'!D38&amp;"")&lt;&gt;"Pendiente",TRIM('REFERENCIAS'!D38&amp;"")&lt;&gt;"Por confirmar",TRIM('REFERENCIAS'!D38&amp;"")&lt;&gt;"No consta",TRIM('REFERENCIAS'!D38&amp;"")&lt;&gt;"Desconocido",TRIM('REFERENCIAS'!D38&amp;"")&lt;&gt;"Sin confirmar",TRIM('REFERENCIAS'!D38&amp;"")&lt;&gt;"Por decidir",TRIM('REFERENCIAS'!D38&amp;"")&lt;&gt;"Por comprobar")),'REFERENCIAS'!D38,"")</f>
      </c>
      <c r="H68" s="26"/>
      <c r="I68" s="26"/>
      <c r="J68" s="26"/>
      <c r="K68" s="26"/>
      <c r="L68" s="26"/>
      <c r="M68" s="29">
        <f>IFERROR(IF(NOT(COUNTA('REFERENCIAS'!B38:D38)&gt;0),"",IF(OR(NOT(AND(LEN(TRIM('REFERENCIAS'!B38&amp;""))&gt;0,TRIM('REFERENCIAS'!B38&amp;"")&lt;&gt;"Pendiente",TRIM('REFERENCIAS'!B38&amp;"")&lt;&gt;"Por confirmar",TRIM('REFERENCIAS'!B38&amp;"")&lt;&gt;"No consta",TRIM('REFERENCIAS'!B38&amp;"")&lt;&gt;"Desconocido",TRIM('REFERENCIAS'!B38&amp;"")&lt;&gt;"Sin confirmar",TRIM('REFERENCIAS'!B38&amp;"")&lt;&gt;"Por decidir",TRIM('REFERENCIAS'!B38&amp;"")&lt;&gt;"Por comprobar")),NOT(ISNUMBER('REFERENCIAS'!C38)),NOT(AND(LEN(TRIM('REFERENCIAS'!D38&amp;""))&gt;0,TRIM('REFERENCIAS'!D38&amp;"")&lt;&gt;"Pendiente",TRIM('REFERENCIAS'!D38&amp;"")&lt;&gt;"Por confirmar",TRIM('REFERENCIAS'!D38&amp;"")&lt;&gt;"No consta",TRIM('REFERENCIAS'!D38&amp;"")&lt;&gt;"Desconocido",TRIM('REFERENCIAS'!D38&amp;"")&lt;&gt;"Sin confirmar",TRIM('REFERENCIAS'!D38&amp;"")&lt;&gt;"Por decidir",TRIM('REFERENCIAS'!D38&amp;"")&lt;&gt;"Por comprobar")),Q68&lt;&gt;1,'REFERENCIAS'!$Q$8&lt;&gt;1),2,IF(O68=0,1,IF(P68&gt;0,2,IF(ABS(E68)&gt;0.00000001,2,IF(ABS('REFERENCIAS'!C38-ROUND('REFERENCIAS'!C38,'REFERENCIAS'!$K$8))&gt;0.00000001,1,0)))))),2)</f>
      </c>
      <c r="N68" s="29" t="str">
        <f>'REFERENCIAS'!R38</f>
        <v>ID:</v>
      </c>
      <c r="O68" s="29" t="n">
        <f>COUNTIFS('DATOS'!$R$10:$R$509,N68)</f>
        <v>498</v>
      </c>
      <c r="P68" s="29" t="n">
        <f>COUNTIFS('AVISOS'!$U$10:$U$509,N68,'AVISOS'!$O$10:$O$509,2)</f>
        <v>0</v>
      </c>
      <c r="Q68" s="29" t="n">
        <f>COUNTIFS('REFERENCIAS'!$R$15:$R$64,N68)</f>
        <v>49</v>
      </c>
    </row>
    <row r="69" ht="40" customHeight="1">
      <c r="B69" s="26">
        <f>IF(AND(COUNTA('REFERENCIAS'!B39:D39)&gt;0,AND(LEN(TRIM('REFERENCIAS'!B39&amp;""))&gt;0,TRIM('REFERENCIAS'!B39&amp;"")&lt;&gt;"Pendiente",TRIM('REFERENCIAS'!B39&amp;"")&lt;&gt;"Por confirmar",TRIM('REFERENCIAS'!B39&amp;"")&lt;&gt;"No consta",TRIM('REFERENCIAS'!B39&amp;"")&lt;&gt;"Desconocido",TRIM('REFERENCIAS'!B39&amp;"")&lt;&gt;"Sin confirmar",TRIM('REFERENCIAS'!B39&amp;"")&lt;&gt;"Por decidir",TRIM('REFERENCIAS'!B39&amp;"")&lt;&gt;"Por comprobar")),'REFERENCIAS'!B39,"")</f>
      </c>
      <c r="C69" s="32">
        <f>IF(AND(COUNTA('REFERENCIAS'!B39:D39)&gt;0,O69&gt;0,P69=0,'REFERENCIAS'!$Q$8=1),SUMIFS('DATOS'!$P$10:$P$509,'DATOS'!$R$10:$R$509,N69),"")</f>
      </c>
      <c r="D69" s="32">
        <f>IF(AND(COUNTA('REFERENCIAS'!B39:D39)&gt;0,ISNUMBER('REFERENCIAS'!C39)),'REFERENCIAS'!C39,"")</f>
      </c>
      <c r="E69" s="32">
        <f>IF(AND(ISNUMBER(C69),ISNUMBER(D69)),C69-ROUND(D69,'REFERENCIAS'!$K$8),"")</f>
      </c>
      <c r="F69" s="26">
        <f>IF(NOT(ISNUMBER(M69)),"",IF(M69=2,"ROJO",IF(M69=1,"ÁMBAR","VERDE")))</f>
      </c>
      <c r="G69" s="26">
        <f>IF(AND(COUNTA('REFERENCIAS'!B39:D39)&gt;0,AND(LEN(TRIM('REFERENCIAS'!D39&amp;""))&gt;0,TRIM('REFERENCIAS'!D39&amp;"")&lt;&gt;"Pendiente",TRIM('REFERENCIAS'!D39&amp;"")&lt;&gt;"Por confirmar",TRIM('REFERENCIAS'!D39&amp;"")&lt;&gt;"No consta",TRIM('REFERENCIAS'!D39&amp;"")&lt;&gt;"Desconocido",TRIM('REFERENCIAS'!D39&amp;"")&lt;&gt;"Sin confirmar",TRIM('REFERENCIAS'!D39&amp;"")&lt;&gt;"Por decidir",TRIM('REFERENCIAS'!D39&amp;"")&lt;&gt;"Por comprobar")),'REFERENCIAS'!D39,"")</f>
      </c>
      <c r="H69" s="26"/>
      <c r="I69" s="26"/>
      <c r="J69" s="26"/>
      <c r="K69" s="26"/>
      <c r="L69" s="26"/>
      <c r="M69" s="29">
        <f>IFERROR(IF(NOT(COUNTA('REFERENCIAS'!B39:D39)&gt;0),"",IF(OR(NOT(AND(LEN(TRIM('REFERENCIAS'!B39&amp;""))&gt;0,TRIM('REFERENCIAS'!B39&amp;"")&lt;&gt;"Pendiente",TRIM('REFERENCIAS'!B39&amp;"")&lt;&gt;"Por confirmar",TRIM('REFERENCIAS'!B39&amp;"")&lt;&gt;"No consta",TRIM('REFERENCIAS'!B39&amp;"")&lt;&gt;"Desconocido",TRIM('REFERENCIAS'!B39&amp;"")&lt;&gt;"Sin confirmar",TRIM('REFERENCIAS'!B39&amp;"")&lt;&gt;"Por decidir",TRIM('REFERENCIAS'!B39&amp;"")&lt;&gt;"Por comprobar")),NOT(ISNUMBER('REFERENCIAS'!C39)),NOT(AND(LEN(TRIM('REFERENCIAS'!D39&amp;""))&gt;0,TRIM('REFERENCIAS'!D39&amp;"")&lt;&gt;"Pendiente",TRIM('REFERENCIAS'!D39&amp;"")&lt;&gt;"Por confirmar",TRIM('REFERENCIAS'!D39&amp;"")&lt;&gt;"No consta",TRIM('REFERENCIAS'!D39&amp;"")&lt;&gt;"Desconocido",TRIM('REFERENCIAS'!D39&amp;"")&lt;&gt;"Sin confirmar",TRIM('REFERENCIAS'!D39&amp;"")&lt;&gt;"Por decidir",TRIM('REFERENCIAS'!D39&amp;"")&lt;&gt;"Por comprobar")),Q69&lt;&gt;1,'REFERENCIAS'!$Q$8&lt;&gt;1),2,IF(O69=0,1,IF(P69&gt;0,2,IF(ABS(E69)&gt;0.00000001,2,IF(ABS('REFERENCIAS'!C39-ROUND('REFERENCIAS'!C39,'REFERENCIAS'!$K$8))&gt;0.00000001,1,0)))))),2)</f>
      </c>
      <c r="N69" s="29" t="str">
        <f>'REFERENCIAS'!R39</f>
        <v>ID:</v>
      </c>
      <c r="O69" s="29" t="n">
        <f>COUNTIFS('DATOS'!$R$10:$R$509,N69)</f>
        <v>498</v>
      </c>
      <c r="P69" s="29" t="n">
        <f>COUNTIFS('AVISOS'!$U$10:$U$509,N69,'AVISOS'!$O$10:$O$509,2)</f>
        <v>0</v>
      </c>
      <c r="Q69" s="29" t="n">
        <f>COUNTIFS('REFERENCIAS'!$R$15:$R$64,N69)</f>
        <v>49</v>
      </c>
    </row>
    <row r="70" ht="40" customHeight="1">
      <c r="B70" s="26">
        <f>IF(AND(COUNTA('REFERENCIAS'!B40:D40)&gt;0,AND(LEN(TRIM('REFERENCIAS'!B40&amp;""))&gt;0,TRIM('REFERENCIAS'!B40&amp;"")&lt;&gt;"Pendiente",TRIM('REFERENCIAS'!B40&amp;"")&lt;&gt;"Por confirmar",TRIM('REFERENCIAS'!B40&amp;"")&lt;&gt;"No consta",TRIM('REFERENCIAS'!B40&amp;"")&lt;&gt;"Desconocido",TRIM('REFERENCIAS'!B40&amp;"")&lt;&gt;"Sin confirmar",TRIM('REFERENCIAS'!B40&amp;"")&lt;&gt;"Por decidir",TRIM('REFERENCIAS'!B40&amp;"")&lt;&gt;"Por comprobar")),'REFERENCIAS'!B40,"")</f>
      </c>
      <c r="C70" s="32">
        <f>IF(AND(COUNTA('REFERENCIAS'!B40:D40)&gt;0,O70&gt;0,P70=0,'REFERENCIAS'!$Q$8=1),SUMIFS('DATOS'!$P$10:$P$509,'DATOS'!$R$10:$R$509,N70),"")</f>
      </c>
      <c r="D70" s="32">
        <f>IF(AND(COUNTA('REFERENCIAS'!B40:D40)&gt;0,ISNUMBER('REFERENCIAS'!C40)),'REFERENCIAS'!C40,"")</f>
      </c>
      <c r="E70" s="32">
        <f>IF(AND(ISNUMBER(C70),ISNUMBER(D70)),C70-ROUND(D70,'REFERENCIAS'!$K$8),"")</f>
      </c>
      <c r="F70" s="26">
        <f>IF(NOT(ISNUMBER(M70)),"",IF(M70=2,"ROJO",IF(M70=1,"ÁMBAR","VERDE")))</f>
      </c>
      <c r="G70" s="26">
        <f>IF(AND(COUNTA('REFERENCIAS'!B40:D40)&gt;0,AND(LEN(TRIM('REFERENCIAS'!D40&amp;""))&gt;0,TRIM('REFERENCIAS'!D40&amp;"")&lt;&gt;"Pendiente",TRIM('REFERENCIAS'!D40&amp;"")&lt;&gt;"Por confirmar",TRIM('REFERENCIAS'!D40&amp;"")&lt;&gt;"No consta",TRIM('REFERENCIAS'!D40&amp;"")&lt;&gt;"Desconocido",TRIM('REFERENCIAS'!D40&amp;"")&lt;&gt;"Sin confirmar",TRIM('REFERENCIAS'!D40&amp;"")&lt;&gt;"Por decidir",TRIM('REFERENCIAS'!D40&amp;"")&lt;&gt;"Por comprobar")),'REFERENCIAS'!D40,"")</f>
      </c>
      <c r="H70" s="26"/>
      <c r="I70" s="26"/>
      <c r="J70" s="26"/>
      <c r="K70" s="26"/>
      <c r="L70" s="26"/>
      <c r="M70" s="29">
        <f>IFERROR(IF(NOT(COUNTA('REFERENCIAS'!B40:D40)&gt;0),"",IF(OR(NOT(AND(LEN(TRIM('REFERENCIAS'!B40&amp;""))&gt;0,TRIM('REFERENCIAS'!B40&amp;"")&lt;&gt;"Pendiente",TRIM('REFERENCIAS'!B40&amp;"")&lt;&gt;"Por confirmar",TRIM('REFERENCIAS'!B40&amp;"")&lt;&gt;"No consta",TRIM('REFERENCIAS'!B40&amp;"")&lt;&gt;"Desconocido",TRIM('REFERENCIAS'!B40&amp;"")&lt;&gt;"Sin confirmar",TRIM('REFERENCIAS'!B40&amp;"")&lt;&gt;"Por decidir",TRIM('REFERENCIAS'!B40&amp;"")&lt;&gt;"Por comprobar")),NOT(ISNUMBER('REFERENCIAS'!C40)),NOT(AND(LEN(TRIM('REFERENCIAS'!D40&amp;""))&gt;0,TRIM('REFERENCIAS'!D40&amp;"")&lt;&gt;"Pendiente",TRIM('REFERENCIAS'!D40&amp;"")&lt;&gt;"Por confirmar",TRIM('REFERENCIAS'!D40&amp;"")&lt;&gt;"No consta",TRIM('REFERENCIAS'!D40&amp;"")&lt;&gt;"Desconocido",TRIM('REFERENCIAS'!D40&amp;"")&lt;&gt;"Sin confirmar",TRIM('REFERENCIAS'!D40&amp;"")&lt;&gt;"Por decidir",TRIM('REFERENCIAS'!D40&amp;"")&lt;&gt;"Por comprobar")),Q70&lt;&gt;1,'REFERENCIAS'!$Q$8&lt;&gt;1),2,IF(O70=0,1,IF(P70&gt;0,2,IF(ABS(E70)&gt;0.00000001,2,IF(ABS('REFERENCIAS'!C40-ROUND('REFERENCIAS'!C40,'REFERENCIAS'!$K$8))&gt;0.00000001,1,0)))))),2)</f>
      </c>
      <c r="N70" s="29" t="str">
        <f>'REFERENCIAS'!R40</f>
        <v>ID:</v>
      </c>
      <c r="O70" s="29" t="n">
        <f>COUNTIFS('DATOS'!$R$10:$R$509,N70)</f>
        <v>498</v>
      </c>
      <c r="P70" s="29" t="n">
        <f>COUNTIFS('AVISOS'!$U$10:$U$509,N70,'AVISOS'!$O$10:$O$509,2)</f>
        <v>0</v>
      </c>
      <c r="Q70" s="29" t="n">
        <f>COUNTIFS('REFERENCIAS'!$R$15:$R$64,N70)</f>
        <v>49</v>
      </c>
    </row>
    <row r="71" ht="40" customHeight="1">
      <c r="B71" s="26">
        <f>IF(AND(COUNTA('REFERENCIAS'!B41:D41)&gt;0,AND(LEN(TRIM('REFERENCIAS'!B41&amp;""))&gt;0,TRIM('REFERENCIAS'!B41&amp;"")&lt;&gt;"Pendiente",TRIM('REFERENCIAS'!B41&amp;"")&lt;&gt;"Por confirmar",TRIM('REFERENCIAS'!B41&amp;"")&lt;&gt;"No consta",TRIM('REFERENCIAS'!B41&amp;"")&lt;&gt;"Desconocido",TRIM('REFERENCIAS'!B41&amp;"")&lt;&gt;"Sin confirmar",TRIM('REFERENCIAS'!B41&amp;"")&lt;&gt;"Por decidir",TRIM('REFERENCIAS'!B41&amp;"")&lt;&gt;"Por comprobar")),'REFERENCIAS'!B41,"")</f>
      </c>
      <c r="C71" s="32">
        <f>IF(AND(COUNTA('REFERENCIAS'!B41:D41)&gt;0,O71&gt;0,P71=0,'REFERENCIAS'!$Q$8=1),SUMIFS('DATOS'!$P$10:$P$509,'DATOS'!$R$10:$R$509,N71),"")</f>
      </c>
      <c r="D71" s="32">
        <f>IF(AND(COUNTA('REFERENCIAS'!B41:D41)&gt;0,ISNUMBER('REFERENCIAS'!C41)),'REFERENCIAS'!C41,"")</f>
      </c>
      <c r="E71" s="32">
        <f>IF(AND(ISNUMBER(C71),ISNUMBER(D71)),C71-ROUND(D71,'REFERENCIAS'!$K$8),"")</f>
      </c>
      <c r="F71" s="26">
        <f>IF(NOT(ISNUMBER(M71)),"",IF(M71=2,"ROJO",IF(M71=1,"ÁMBAR","VERDE")))</f>
      </c>
      <c r="G71" s="26">
        <f>IF(AND(COUNTA('REFERENCIAS'!B41:D41)&gt;0,AND(LEN(TRIM('REFERENCIAS'!D41&amp;""))&gt;0,TRIM('REFERENCIAS'!D41&amp;"")&lt;&gt;"Pendiente",TRIM('REFERENCIAS'!D41&amp;"")&lt;&gt;"Por confirmar",TRIM('REFERENCIAS'!D41&amp;"")&lt;&gt;"No consta",TRIM('REFERENCIAS'!D41&amp;"")&lt;&gt;"Desconocido",TRIM('REFERENCIAS'!D41&amp;"")&lt;&gt;"Sin confirmar",TRIM('REFERENCIAS'!D41&amp;"")&lt;&gt;"Por decidir",TRIM('REFERENCIAS'!D41&amp;"")&lt;&gt;"Por comprobar")),'REFERENCIAS'!D41,"")</f>
      </c>
      <c r="H71" s="26"/>
      <c r="I71" s="26"/>
      <c r="J71" s="26"/>
      <c r="K71" s="26"/>
      <c r="L71" s="26"/>
      <c r="M71" s="29">
        <f>IFERROR(IF(NOT(COUNTA('REFERENCIAS'!B41:D41)&gt;0),"",IF(OR(NOT(AND(LEN(TRIM('REFERENCIAS'!B41&amp;""))&gt;0,TRIM('REFERENCIAS'!B41&amp;"")&lt;&gt;"Pendiente",TRIM('REFERENCIAS'!B41&amp;"")&lt;&gt;"Por confirmar",TRIM('REFERENCIAS'!B41&amp;"")&lt;&gt;"No consta",TRIM('REFERENCIAS'!B41&amp;"")&lt;&gt;"Desconocido",TRIM('REFERENCIAS'!B41&amp;"")&lt;&gt;"Sin confirmar",TRIM('REFERENCIAS'!B41&amp;"")&lt;&gt;"Por decidir",TRIM('REFERENCIAS'!B41&amp;"")&lt;&gt;"Por comprobar")),NOT(ISNUMBER('REFERENCIAS'!C41)),NOT(AND(LEN(TRIM('REFERENCIAS'!D41&amp;""))&gt;0,TRIM('REFERENCIAS'!D41&amp;"")&lt;&gt;"Pendiente",TRIM('REFERENCIAS'!D41&amp;"")&lt;&gt;"Por confirmar",TRIM('REFERENCIAS'!D41&amp;"")&lt;&gt;"No consta",TRIM('REFERENCIAS'!D41&amp;"")&lt;&gt;"Desconocido",TRIM('REFERENCIAS'!D41&amp;"")&lt;&gt;"Sin confirmar",TRIM('REFERENCIAS'!D41&amp;"")&lt;&gt;"Por decidir",TRIM('REFERENCIAS'!D41&amp;"")&lt;&gt;"Por comprobar")),Q71&lt;&gt;1,'REFERENCIAS'!$Q$8&lt;&gt;1),2,IF(O71=0,1,IF(P71&gt;0,2,IF(ABS(E71)&gt;0.00000001,2,IF(ABS('REFERENCIAS'!C41-ROUND('REFERENCIAS'!C41,'REFERENCIAS'!$K$8))&gt;0.00000001,1,0)))))),2)</f>
      </c>
      <c r="N71" s="29" t="str">
        <f>'REFERENCIAS'!R41</f>
        <v>ID:</v>
      </c>
      <c r="O71" s="29" t="n">
        <f>COUNTIFS('DATOS'!$R$10:$R$509,N71)</f>
        <v>498</v>
      </c>
      <c r="P71" s="29" t="n">
        <f>COUNTIFS('AVISOS'!$U$10:$U$509,N71,'AVISOS'!$O$10:$O$509,2)</f>
        <v>0</v>
      </c>
      <c r="Q71" s="29" t="n">
        <f>COUNTIFS('REFERENCIAS'!$R$15:$R$64,N71)</f>
        <v>49</v>
      </c>
    </row>
    <row r="72" ht="40" customHeight="1">
      <c r="B72" s="26">
        <f>IF(AND(COUNTA('REFERENCIAS'!B42:D42)&gt;0,AND(LEN(TRIM('REFERENCIAS'!B42&amp;""))&gt;0,TRIM('REFERENCIAS'!B42&amp;"")&lt;&gt;"Pendiente",TRIM('REFERENCIAS'!B42&amp;"")&lt;&gt;"Por confirmar",TRIM('REFERENCIAS'!B42&amp;"")&lt;&gt;"No consta",TRIM('REFERENCIAS'!B42&amp;"")&lt;&gt;"Desconocido",TRIM('REFERENCIAS'!B42&amp;"")&lt;&gt;"Sin confirmar",TRIM('REFERENCIAS'!B42&amp;"")&lt;&gt;"Por decidir",TRIM('REFERENCIAS'!B42&amp;"")&lt;&gt;"Por comprobar")),'REFERENCIAS'!B42,"")</f>
      </c>
      <c r="C72" s="32">
        <f>IF(AND(COUNTA('REFERENCIAS'!B42:D42)&gt;0,O72&gt;0,P72=0,'REFERENCIAS'!$Q$8=1),SUMIFS('DATOS'!$P$10:$P$509,'DATOS'!$R$10:$R$509,N72),"")</f>
      </c>
      <c r="D72" s="32">
        <f>IF(AND(COUNTA('REFERENCIAS'!B42:D42)&gt;0,ISNUMBER('REFERENCIAS'!C42)),'REFERENCIAS'!C42,"")</f>
      </c>
      <c r="E72" s="32">
        <f>IF(AND(ISNUMBER(C72),ISNUMBER(D72)),C72-ROUND(D72,'REFERENCIAS'!$K$8),"")</f>
      </c>
      <c r="F72" s="26">
        <f>IF(NOT(ISNUMBER(M72)),"",IF(M72=2,"ROJO",IF(M72=1,"ÁMBAR","VERDE")))</f>
      </c>
      <c r="G72" s="26">
        <f>IF(AND(COUNTA('REFERENCIAS'!B42:D42)&gt;0,AND(LEN(TRIM('REFERENCIAS'!D42&amp;""))&gt;0,TRIM('REFERENCIAS'!D42&amp;"")&lt;&gt;"Pendiente",TRIM('REFERENCIAS'!D42&amp;"")&lt;&gt;"Por confirmar",TRIM('REFERENCIAS'!D42&amp;"")&lt;&gt;"No consta",TRIM('REFERENCIAS'!D42&amp;"")&lt;&gt;"Desconocido",TRIM('REFERENCIAS'!D42&amp;"")&lt;&gt;"Sin confirmar",TRIM('REFERENCIAS'!D42&amp;"")&lt;&gt;"Por decidir",TRIM('REFERENCIAS'!D42&amp;"")&lt;&gt;"Por comprobar")),'REFERENCIAS'!D42,"")</f>
      </c>
      <c r="H72" s="26"/>
      <c r="I72" s="26"/>
      <c r="J72" s="26"/>
      <c r="K72" s="26"/>
      <c r="L72" s="26"/>
      <c r="M72" s="29">
        <f>IFERROR(IF(NOT(COUNTA('REFERENCIAS'!B42:D42)&gt;0),"",IF(OR(NOT(AND(LEN(TRIM('REFERENCIAS'!B42&amp;""))&gt;0,TRIM('REFERENCIAS'!B42&amp;"")&lt;&gt;"Pendiente",TRIM('REFERENCIAS'!B42&amp;"")&lt;&gt;"Por confirmar",TRIM('REFERENCIAS'!B42&amp;"")&lt;&gt;"No consta",TRIM('REFERENCIAS'!B42&amp;"")&lt;&gt;"Desconocido",TRIM('REFERENCIAS'!B42&amp;"")&lt;&gt;"Sin confirmar",TRIM('REFERENCIAS'!B42&amp;"")&lt;&gt;"Por decidir",TRIM('REFERENCIAS'!B42&amp;"")&lt;&gt;"Por comprobar")),NOT(ISNUMBER('REFERENCIAS'!C42)),NOT(AND(LEN(TRIM('REFERENCIAS'!D42&amp;""))&gt;0,TRIM('REFERENCIAS'!D42&amp;"")&lt;&gt;"Pendiente",TRIM('REFERENCIAS'!D42&amp;"")&lt;&gt;"Por confirmar",TRIM('REFERENCIAS'!D42&amp;"")&lt;&gt;"No consta",TRIM('REFERENCIAS'!D42&amp;"")&lt;&gt;"Desconocido",TRIM('REFERENCIAS'!D42&amp;"")&lt;&gt;"Sin confirmar",TRIM('REFERENCIAS'!D42&amp;"")&lt;&gt;"Por decidir",TRIM('REFERENCIAS'!D42&amp;"")&lt;&gt;"Por comprobar")),Q72&lt;&gt;1,'REFERENCIAS'!$Q$8&lt;&gt;1),2,IF(O72=0,1,IF(P72&gt;0,2,IF(ABS(E72)&gt;0.00000001,2,IF(ABS('REFERENCIAS'!C42-ROUND('REFERENCIAS'!C42,'REFERENCIAS'!$K$8))&gt;0.00000001,1,0)))))),2)</f>
      </c>
      <c r="N72" s="29" t="str">
        <f>'REFERENCIAS'!R42</f>
        <v>ID:</v>
      </c>
      <c r="O72" s="29" t="n">
        <f>COUNTIFS('DATOS'!$R$10:$R$509,N72)</f>
        <v>498</v>
      </c>
      <c r="P72" s="29" t="n">
        <f>COUNTIFS('AVISOS'!$U$10:$U$509,N72,'AVISOS'!$O$10:$O$509,2)</f>
        <v>0</v>
      </c>
      <c r="Q72" s="29" t="n">
        <f>COUNTIFS('REFERENCIAS'!$R$15:$R$64,N72)</f>
        <v>49</v>
      </c>
    </row>
    <row r="73" ht="40" customHeight="1">
      <c r="B73" s="26">
        <f>IF(AND(COUNTA('REFERENCIAS'!B43:D43)&gt;0,AND(LEN(TRIM('REFERENCIAS'!B43&amp;""))&gt;0,TRIM('REFERENCIAS'!B43&amp;"")&lt;&gt;"Pendiente",TRIM('REFERENCIAS'!B43&amp;"")&lt;&gt;"Por confirmar",TRIM('REFERENCIAS'!B43&amp;"")&lt;&gt;"No consta",TRIM('REFERENCIAS'!B43&amp;"")&lt;&gt;"Desconocido",TRIM('REFERENCIAS'!B43&amp;"")&lt;&gt;"Sin confirmar",TRIM('REFERENCIAS'!B43&amp;"")&lt;&gt;"Por decidir",TRIM('REFERENCIAS'!B43&amp;"")&lt;&gt;"Por comprobar")),'REFERENCIAS'!B43,"")</f>
      </c>
      <c r="C73" s="32">
        <f>IF(AND(COUNTA('REFERENCIAS'!B43:D43)&gt;0,O73&gt;0,P73=0,'REFERENCIAS'!$Q$8=1),SUMIFS('DATOS'!$P$10:$P$509,'DATOS'!$R$10:$R$509,N73),"")</f>
      </c>
      <c r="D73" s="32">
        <f>IF(AND(COUNTA('REFERENCIAS'!B43:D43)&gt;0,ISNUMBER('REFERENCIAS'!C43)),'REFERENCIAS'!C43,"")</f>
      </c>
      <c r="E73" s="32">
        <f>IF(AND(ISNUMBER(C73),ISNUMBER(D73)),C73-ROUND(D73,'REFERENCIAS'!$K$8),"")</f>
      </c>
      <c r="F73" s="26">
        <f>IF(NOT(ISNUMBER(M73)),"",IF(M73=2,"ROJO",IF(M73=1,"ÁMBAR","VERDE")))</f>
      </c>
      <c r="G73" s="26">
        <f>IF(AND(COUNTA('REFERENCIAS'!B43:D43)&gt;0,AND(LEN(TRIM('REFERENCIAS'!D43&amp;""))&gt;0,TRIM('REFERENCIAS'!D43&amp;"")&lt;&gt;"Pendiente",TRIM('REFERENCIAS'!D43&amp;"")&lt;&gt;"Por confirmar",TRIM('REFERENCIAS'!D43&amp;"")&lt;&gt;"No consta",TRIM('REFERENCIAS'!D43&amp;"")&lt;&gt;"Desconocido",TRIM('REFERENCIAS'!D43&amp;"")&lt;&gt;"Sin confirmar",TRIM('REFERENCIAS'!D43&amp;"")&lt;&gt;"Por decidir",TRIM('REFERENCIAS'!D43&amp;"")&lt;&gt;"Por comprobar")),'REFERENCIAS'!D43,"")</f>
      </c>
      <c r="H73" s="26"/>
      <c r="I73" s="26"/>
      <c r="J73" s="26"/>
      <c r="K73" s="26"/>
      <c r="L73" s="26"/>
      <c r="M73" s="29">
        <f>IFERROR(IF(NOT(COUNTA('REFERENCIAS'!B43:D43)&gt;0),"",IF(OR(NOT(AND(LEN(TRIM('REFERENCIAS'!B43&amp;""))&gt;0,TRIM('REFERENCIAS'!B43&amp;"")&lt;&gt;"Pendiente",TRIM('REFERENCIAS'!B43&amp;"")&lt;&gt;"Por confirmar",TRIM('REFERENCIAS'!B43&amp;"")&lt;&gt;"No consta",TRIM('REFERENCIAS'!B43&amp;"")&lt;&gt;"Desconocido",TRIM('REFERENCIAS'!B43&amp;"")&lt;&gt;"Sin confirmar",TRIM('REFERENCIAS'!B43&amp;"")&lt;&gt;"Por decidir",TRIM('REFERENCIAS'!B43&amp;"")&lt;&gt;"Por comprobar")),NOT(ISNUMBER('REFERENCIAS'!C43)),NOT(AND(LEN(TRIM('REFERENCIAS'!D43&amp;""))&gt;0,TRIM('REFERENCIAS'!D43&amp;"")&lt;&gt;"Pendiente",TRIM('REFERENCIAS'!D43&amp;"")&lt;&gt;"Por confirmar",TRIM('REFERENCIAS'!D43&amp;"")&lt;&gt;"No consta",TRIM('REFERENCIAS'!D43&amp;"")&lt;&gt;"Desconocido",TRIM('REFERENCIAS'!D43&amp;"")&lt;&gt;"Sin confirmar",TRIM('REFERENCIAS'!D43&amp;"")&lt;&gt;"Por decidir",TRIM('REFERENCIAS'!D43&amp;"")&lt;&gt;"Por comprobar")),Q73&lt;&gt;1,'REFERENCIAS'!$Q$8&lt;&gt;1),2,IF(O73=0,1,IF(P73&gt;0,2,IF(ABS(E73)&gt;0.00000001,2,IF(ABS('REFERENCIAS'!C43-ROUND('REFERENCIAS'!C43,'REFERENCIAS'!$K$8))&gt;0.00000001,1,0)))))),2)</f>
      </c>
      <c r="N73" s="29" t="str">
        <f>'REFERENCIAS'!R43</f>
        <v>ID:</v>
      </c>
      <c r="O73" s="29" t="n">
        <f>COUNTIFS('DATOS'!$R$10:$R$509,N73)</f>
        <v>498</v>
      </c>
      <c r="P73" s="29" t="n">
        <f>COUNTIFS('AVISOS'!$U$10:$U$509,N73,'AVISOS'!$O$10:$O$509,2)</f>
        <v>0</v>
      </c>
      <c r="Q73" s="29" t="n">
        <f>COUNTIFS('REFERENCIAS'!$R$15:$R$64,N73)</f>
        <v>49</v>
      </c>
    </row>
    <row r="74" ht="40" customHeight="1">
      <c r="B74" s="26">
        <f>IF(AND(COUNTA('REFERENCIAS'!B44:D44)&gt;0,AND(LEN(TRIM('REFERENCIAS'!B44&amp;""))&gt;0,TRIM('REFERENCIAS'!B44&amp;"")&lt;&gt;"Pendiente",TRIM('REFERENCIAS'!B44&amp;"")&lt;&gt;"Por confirmar",TRIM('REFERENCIAS'!B44&amp;"")&lt;&gt;"No consta",TRIM('REFERENCIAS'!B44&amp;"")&lt;&gt;"Desconocido",TRIM('REFERENCIAS'!B44&amp;"")&lt;&gt;"Sin confirmar",TRIM('REFERENCIAS'!B44&amp;"")&lt;&gt;"Por decidir",TRIM('REFERENCIAS'!B44&amp;"")&lt;&gt;"Por comprobar")),'REFERENCIAS'!B44,"")</f>
      </c>
      <c r="C74" s="32">
        <f>IF(AND(COUNTA('REFERENCIAS'!B44:D44)&gt;0,O74&gt;0,P74=0,'REFERENCIAS'!$Q$8=1),SUMIFS('DATOS'!$P$10:$P$509,'DATOS'!$R$10:$R$509,N74),"")</f>
      </c>
      <c r="D74" s="32">
        <f>IF(AND(COUNTA('REFERENCIAS'!B44:D44)&gt;0,ISNUMBER('REFERENCIAS'!C44)),'REFERENCIAS'!C44,"")</f>
      </c>
      <c r="E74" s="32">
        <f>IF(AND(ISNUMBER(C74),ISNUMBER(D74)),C74-ROUND(D74,'REFERENCIAS'!$K$8),"")</f>
      </c>
      <c r="F74" s="26">
        <f>IF(NOT(ISNUMBER(M74)),"",IF(M74=2,"ROJO",IF(M74=1,"ÁMBAR","VERDE")))</f>
      </c>
      <c r="G74" s="26">
        <f>IF(AND(COUNTA('REFERENCIAS'!B44:D44)&gt;0,AND(LEN(TRIM('REFERENCIAS'!D44&amp;""))&gt;0,TRIM('REFERENCIAS'!D44&amp;"")&lt;&gt;"Pendiente",TRIM('REFERENCIAS'!D44&amp;"")&lt;&gt;"Por confirmar",TRIM('REFERENCIAS'!D44&amp;"")&lt;&gt;"No consta",TRIM('REFERENCIAS'!D44&amp;"")&lt;&gt;"Desconocido",TRIM('REFERENCIAS'!D44&amp;"")&lt;&gt;"Sin confirmar",TRIM('REFERENCIAS'!D44&amp;"")&lt;&gt;"Por decidir",TRIM('REFERENCIAS'!D44&amp;"")&lt;&gt;"Por comprobar")),'REFERENCIAS'!D44,"")</f>
      </c>
      <c r="H74" s="26"/>
      <c r="I74" s="26"/>
      <c r="J74" s="26"/>
      <c r="K74" s="26"/>
      <c r="L74" s="26"/>
      <c r="M74" s="29">
        <f>IFERROR(IF(NOT(COUNTA('REFERENCIAS'!B44:D44)&gt;0),"",IF(OR(NOT(AND(LEN(TRIM('REFERENCIAS'!B44&amp;""))&gt;0,TRIM('REFERENCIAS'!B44&amp;"")&lt;&gt;"Pendiente",TRIM('REFERENCIAS'!B44&amp;"")&lt;&gt;"Por confirmar",TRIM('REFERENCIAS'!B44&amp;"")&lt;&gt;"No consta",TRIM('REFERENCIAS'!B44&amp;"")&lt;&gt;"Desconocido",TRIM('REFERENCIAS'!B44&amp;"")&lt;&gt;"Sin confirmar",TRIM('REFERENCIAS'!B44&amp;"")&lt;&gt;"Por decidir",TRIM('REFERENCIAS'!B44&amp;"")&lt;&gt;"Por comprobar")),NOT(ISNUMBER('REFERENCIAS'!C44)),NOT(AND(LEN(TRIM('REFERENCIAS'!D44&amp;""))&gt;0,TRIM('REFERENCIAS'!D44&amp;"")&lt;&gt;"Pendiente",TRIM('REFERENCIAS'!D44&amp;"")&lt;&gt;"Por confirmar",TRIM('REFERENCIAS'!D44&amp;"")&lt;&gt;"No consta",TRIM('REFERENCIAS'!D44&amp;"")&lt;&gt;"Desconocido",TRIM('REFERENCIAS'!D44&amp;"")&lt;&gt;"Sin confirmar",TRIM('REFERENCIAS'!D44&amp;"")&lt;&gt;"Por decidir",TRIM('REFERENCIAS'!D44&amp;"")&lt;&gt;"Por comprobar")),Q74&lt;&gt;1,'REFERENCIAS'!$Q$8&lt;&gt;1),2,IF(O74=0,1,IF(P74&gt;0,2,IF(ABS(E74)&gt;0.00000001,2,IF(ABS('REFERENCIAS'!C44-ROUND('REFERENCIAS'!C44,'REFERENCIAS'!$K$8))&gt;0.00000001,1,0)))))),2)</f>
      </c>
      <c r="N74" s="29" t="str">
        <f>'REFERENCIAS'!R44</f>
        <v>ID:</v>
      </c>
      <c r="O74" s="29" t="n">
        <f>COUNTIFS('DATOS'!$R$10:$R$509,N74)</f>
        <v>498</v>
      </c>
      <c r="P74" s="29" t="n">
        <f>COUNTIFS('AVISOS'!$U$10:$U$509,N74,'AVISOS'!$O$10:$O$509,2)</f>
        <v>0</v>
      </c>
      <c r="Q74" s="29" t="n">
        <f>COUNTIFS('REFERENCIAS'!$R$15:$R$64,N74)</f>
        <v>49</v>
      </c>
    </row>
    <row r="75" ht="40" customHeight="1">
      <c r="B75" s="26">
        <f>IF(AND(COUNTA('REFERENCIAS'!B45:D45)&gt;0,AND(LEN(TRIM('REFERENCIAS'!B45&amp;""))&gt;0,TRIM('REFERENCIAS'!B45&amp;"")&lt;&gt;"Pendiente",TRIM('REFERENCIAS'!B45&amp;"")&lt;&gt;"Por confirmar",TRIM('REFERENCIAS'!B45&amp;"")&lt;&gt;"No consta",TRIM('REFERENCIAS'!B45&amp;"")&lt;&gt;"Desconocido",TRIM('REFERENCIAS'!B45&amp;"")&lt;&gt;"Sin confirmar",TRIM('REFERENCIAS'!B45&amp;"")&lt;&gt;"Por decidir",TRIM('REFERENCIAS'!B45&amp;"")&lt;&gt;"Por comprobar")),'REFERENCIAS'!B45,"")</f>
      </c>
      <c r="C75" s="32">
        <f>IF(AND(COUNTA('REFERENCIAS'!B45:D45)&gt;0,O75&gt;0,P75=0,'REFERENCIAS'!$Q$8=1),SUMIFS('DATOS'!$P$10:$P$509,'DATOS'!$R$10:$R$509,N75),"")</f>
      </c>
      <c r="D75" s="32">
        <f>IF(AND(COUNTA('REFERENCIAS'!B45:D45)&gt;0,ISNUMBER('REFERENCIAS'!C45)),'REFERENCIAS'!C45,"")</f>
      </c>
      <c r="E75" s="32">
        <f>IF(AND(ISNUMBER(C75),ISNUMBER(D75)),C75-ROUND(D75,'REFERENCIAS'!$K$8),"")</f>
      </c>
      <c r="F75" s="26">
        <f>IF(NOT(ISNUMBER(M75)),"",IF(M75=2,"ROJO",IF(M75=1,"ÁMBAR","VERDE")))</f>
      </c>
      <c r="G75" s="26">
        <f>IF(AND(COUNTA('REFERENCIAS'!B45:D45)&gt;0,AND(LEN(TRIM('REFERENCIAS'!D45&amp;""))&gt;0,TRIM('REFERENCIAS'!D45&amp;"")&lt;&gt;"Pendiente",TRIM('REFERENCIAS'!D45&amp;"")&lt;&gt;"Por confirmar",TRIM('REFERENCIAS'!D45&amp;"")&lt;&gt;"No consta",TRIM('REFERENCIAS'!D45&amp;"")&lt;&gt;"Desconocido",TRIM('REFERENCIAS'!D45&amp;"")&lt;&gt;"Sin confirmar",TRIM('REFERENCIAS'!D45&amp;"")&lt;&gt;"Por decidir",TRIM('REFERENCIAS'!D45&amp;"")&lt;&gt;"Por comprobar")),'REFERENCIAS'!D45,"")</f>
      </c>
      <c r="H75" s="26"/>
      <c r="I75" s="26"/>
      <c r="J75" s="26"/>
      <c r="K75" s="26"/>
      <c r="L75" s="26"/>
      <c r="M75" s="29">
        <f>IFERROR(IF(NOT(COUNTA('REFERENCIAS'!B45:D45)&gt;0),"",IF(OR(NOT(AND(LEN(TRIM('REFERENCIAS'!B45&amp;""))&gt;0,TRIM('REFERENCIAS'!B45&amp;"")&lt;&gt;"Pendiente",TRIM('REFERENCIAS'!B45&amp;"")&lt;&gt;"Por confirmar",TRIM('REFERENCIAS'!B45&amp;"")&lt;&gt;"No consta",TRIM('REFERENCIAS'!B45&amp;"")&lt;&gt;"Desconocido",TRIM('REFERENCIAS'!B45&amp;"")&lt;&gt;"Sin confirmar",TRIM('REFERENCIAS'!B45&amp;"")&lt;&gt;"Por decidir",TRIM('REFERENCIAS'!B45&amp;"")&lt;&gt;"Por comprobar")),NOT(ISNUMBER('REFERENCIAS'!C45)),NOT(AND(LEN(TRIM('REFERENCIAS'!D45&amp;""))&gt;0,TRIM('REFERENCIAS'!D45&amp;"")&lt;&gt;"Pendiente",TRIM('REFERENCIAS'!D45&amp;"")&lt;&gt;"Por confirmar",TRIM('REFERENCIAS'!D45&amp;"")&lt;&gt;"No consta",TRIM('REFERENCIAS'!D45&amp;"")&lt;&gt;"Desconocido",TRIM('REFERENCIAS'!D45&amp;"")&lt;&gt;"Sin confirmar",TRIM('REFERENCIAS'!D45&amp;"")&lt;&gt;"Por decidir",TRIM('REFERENCIAS'!D45&amp;"")&lt;&gt;"Por comprobar")),Q75&lt;&gt;1,'REFERENCIAS'!$Q$8&lt;&gt;1),2,IF(O75=0,1,IF(P75&gt;0,2,IF(ABS(E75)&gt;0.00000001,2,IF(ABS('REFERENCIAS'!C45-ROUND('REFERENCIAS'!C45,'REFERENCIAS'!$K$8))&gt;0.00000001,1,0)))))),2)</f>
      </c>
      <c r="N75" s="29" t="str">
        <f>'REFERENCIAS'!R45</f>
        <v>ID:</v>
      </c>
      <c r="O75" s="29" t="n">
        <f>COUNTIFS('DATOS'!$R$10:$R$509,N75)</f>
        <v>498</v>
      </c>
      <c r="P75" s="29" t="n">
        <f>COUNTIFS('AVISOS'!$U$10:$U$509,N75,'AVISOS'!$O$10:$O$509,2)</f>
        <v>0</v>
      </c>
      <c r="Q75" s="29" t="n">
        <f>COUNTIFS('REFERENCIAS'!$R$15:$R$64,N75)</f>
        <v>49</v>
      </c>
    </row>
    <row r="76" ht="40" customHeight="1">
      <c r="B76" s="26">
        <f>IF(AND(COUNTA('REFERENCIAS'!B46:D46)&gt;0,AND(LEN(TRIM('REFERENCIAS'!B46&amp;""))&gt;0,TRIM('REFERENCIAS'!B46&amp;"")&lt;&gt;"Pendiente",TRIM('REFERENCIAS'!B46&amp;"")&lt;&gt;"Por confirmar",TRIM('REFERENCIAS'!B46&amp;"")&lt;&gt;"No consta",TRIM('REFERENCIAS'!B46&amp;"")&lt;&gt;"Desconocido",TRIM('REFERENCIAS'!B46&amp;"")&lt;&gt;"Sin confirmar",TRIM('REFERENCIAS'!B46&amp;"")&lt;&gt;"Por decidir",TRIM('REFERENCIAS'!B46&amp;"")&lt;&gt;"Por comprobar")),'REFERENCIAS'!B46,"")</f>
      </c>
      <c r="C76" s="32">
        <f>IF(AND(COUNTA('REFERENCIAS'!B46:D46)&gt;0,O76&gt;0,P76=0,'REFERENCIAS'!$Q$8=1),SUMIFS('DATOS'!$P$10:$P$509,'DATOS'!$R$10:$R$509,N76),"")</f>
      </c>
      <c r="D76" s="32">
        <f>IF(AND(COUNTA('REFERENCIAS'!B46:D46)&gt;0,ISNUMBER('REFERENCIAS'!C46)),'REFERENCIAS'!C46,"")</f>
      </c>
      <c r="E76" s="32">
        <f>IF(AND(ISNUMBER(C76),ISNUMBER(D76)),C76-ROUND(D76,'REFERENCIAS'!$K$8),"")</f>
      </c>
      <c r="F76" s="26">
        <f>IF(NOT(ISNUMBER(M76)),"",IF(M76=2,"ROJO",IF(M76=1,"ÁMBAR","VERDE")))</f>
      </c>
      <c r="G76" s="26">
        <f>IF(AND(COUNTA('REFERENCIAS'!B46:D46)&gt;0,AND(LEN(TRIM('REFERENCIAS'!D46&amp;""))&gt;0,TRIM('REFERENCIAS'!D46&amp;"")&lt;&gt;"Pendiente",TRIM('REFERENCIAS'!D46&amp;"")&lt;&gt;"Por confirmar",TRIM('REFERENCIAS'!D46&amp;"")&lt;&gt;"No consta",TRIM('REFERENCIAS'!D46&amp;"")&lt;&gt;"Desconocido",TRIM('REFERENCIAS'!D46&amp;"")&lt;&gt;"Sin confirmar",TRIM('REFERENCIAS'!D46&amp;"")&lt;&gt;"Por decidir",TRIM('REFERENCIAS'!D46&amp;"")&lt;&gt;"Por comprobar")),'REFERENCIAS'!D46,"")</f>
      </c>
      <c r="H76" s="26"/>
      <c r="I76" s="26"/>
      <c r="J76" s="26"/>
      <c r="K76" s="26"/>
      <c r="L76" s="26"/>
      <c r="M76" s="29">
        <f>IFERROR(IF(NOT(COUNTA('REFERENCIAS'!B46:D46)&gt;0),"",IF(OR(NOT(AND(LEN(TRIM('REFERENCIAS'!B46&amp;""))&gt;0,TRIM('REFERENCIAS'!B46&amp;"")&lt;&gt;"Pendiente",TRIM('REFERENCIAS'!B46&amp;"")&lt;&gt;"Por confirmar",TRIM('REFERENCIAS'!B46&amp;"")&lt;&gt;"No consta",TRIM('REFERENCIAS'!B46&amp;"")&lt;&gt;"Desconocido",TRIM('REFERENCIAS'!B46&amp;"")&lt;&gt;"Sin confirmar",TRIM('REFERENCIAS'!B46&amp;"")&lt;&gt;"Por decidir",TRIM('REFERENCIAS'!B46&amp;"")&lt;&gt;"Por comprobar")),NOT(ISNUMBER('REFERENCIAS'!C46)),NOT(AND(LEN(TRIM('REFERENCIAS'!D46&amp;""))&gt;0,TRIM('REFERENCIAS'!D46&amp;"")&lt;&gt;"Pendiente",TRIM('REFERENCIAS'!D46&amp;"")&lt;&gt;"Por confirmar",TRIM('REFERENCIAS'!D46&amp;"")&lt;&gt;"No consta",TRIM('REFERENCIAS'!D46&amp;"")&lt;&gt;"Desconocido",TRIM('REFERENCIAS'!D46&amp;"")&lt;&gt;"Sin confirmar",TRIM('REFERENCIAS'!D46&amp;"")&lt;&gt;"Por decidir",TRIM('REFERENCIAS'!D46&amp;"")&lt;&gt;"Por comprobar")),Q76&lt;&gt;1,'REFERENCIAS'!$Q$8&lt;&gt;1),2,IF(O76=0,1,IF(P76&gt;0,2,IF(ABS(E76)&gt;0.00000001,2,IF(ABS('REFERENCIAS'!C46-ROUND('REFERENCIAS'!C46,'REFERENCIAS'!$K$8))&gt;0.00000001,1,0)))))),2)</f>
      </c>
      <c r="N76" s="29" t="str">
        <f>'REFERENCIAS'!R46</f>
        <v>ID:</v>
      </c>
      <c r="O76" s="29" t="n">
        <f>COUNTIFS('DATOS'!$R$10:$R$509,N76)</f>
        <v>498</v>
      </c>
      <c r="P76" s="29" t="n">
        <f>COUNTIFS('AVISOS'!$U$10:$U$509,N76,'AVISOS'!$O$10:$O$509,2)</f>
        <v>0</v>
      </c>
      <c r="Q76" s="29" t="n">
        <f>COUNTIFS('REFERENCIAS'!$R$15:$R$64,N76)</f>
        <v>49</v>
      </c>
    </row>
    <row r="77" ht="40" customHeight="1">
      <c r="B77" s="26">
        <f>IF(AND(COUNTA('REFERENCIAS'!B47:D47)&gt;0,AND(LEN(TRIM('REFERENCIAS'!B47&amp;""))&gt;0,TRIM('REFERENCIAS'!B47&amp;"")&lt;&gt;"Pendiente",TRIM('REFERENCIAS'!B47&amp;"")&lt;&gt;"Por confirmar",TRIM('REFERENCIAS'!B47&amp;"")&lt;&gt;"No consta",TRIM('REFERENCIAS'!B47&amp;"")&lt;&gt;"Desconocido",TRIM('REFERENCIAS'!B47&amp;"")&lt;&gt;"Sin confirmar",TRIM('REFERENCIAS'!B47&amp;"")&lt;&gt;"Por decidir",TRIM('REFERENCIAS'!B47&amp;"")&lt;&gt;"Por comprobar")),'REFERENCIAS'!B47,"")</f>
      </c>
      <c r="C77" s="32">
        <f>IF(AND(COUNTA('REFERENCIAS'!B47:D47)&gt;0,O77&gt;0,P77=0,'REFERENCIAS'!$Q$8=1),SUMIFS('DATOS'!$P$10:$P$509,'DATOS'!$R$10:$R$509,N77),"")</f>
      </c>
      <c r="D77" s="32">
        <f>IF(AND(COUNTA('REFERENCIAS'!B47:D47)&gt;0,ISNUMBER('REFERENCIAS'!C47)),'REFERENCIAS'!C47,"")</f>
      </c>
      <c r="E77" s="32">
        <f>IF(AND(ISNUMBER(C77),ISNUMBER(D77)),C77-ROUND(D77,'REFERENCIAS'!$K$8),"")</f>
      </c>
      <c r="F77" s="26">
        <f>IF(NOT(ISNUMBER(M77)),"",IF(M77=2,"ROJO",IF(M77=1,"ÁMBAR","VERDE")))</f>
      </c>
      <c r="G77" s="26">
        <f>IF(AND(COUNTA('REFERENCIAS'!B47:D47)&gt;0,AND(LEN(TRIM('REFERENCIAS'!D47&amp;""))&gt;0,TRIM('REFERENCIAS'!D47&amp;"")&lt;&gt;"Pendiente",TRIM('REFERENCIAS'!D47&amp;"")&lt;&gt;"Por confirmar",TRIM('REFERENCIAS'!D47&amp;"")&lt;&gt;"No consta",TRIM('REFERENCIAS'!D47&amp;"")&lt;&gt;"Desconocido",TRIM('REFERENCIAS'!D47&amp;"")&lt;&gt;"Sin confirmar",TRIM('REFERENCIAS'!D47&amp;"")&lt;&gt;"Por decidir",TRIM('REFERENCIAS'!D47&amp;"")&lt;&gt;"Por comprobar")),'REFERENCIAS'!D47,"")</f>
      </c>
      <c r="H77" s="26"/>
      <c r="I77" s="26"/>
      <c r="J77" s="26"/>
      <c r="K77" s="26"/>
      <c r="L77" s="26"/>
      <c r="M77" s="29">
        <f>IFERROR(IF(NOT(COUNTA('REFERENCIAS'!B47:D47)&gt;0),"",IF(OR(NOT(AND(LEN(TRIM('REFERENCIAS'!B47&amp;""))&gt;0,TRIM('REFERENCIAS'!B47&amp;"")&lt;&gt;"Pendiente",TRIM('REFERENCIAS'!B47&amp;"")&lt;&gt;"Por confirmar",TRIM('REFERENCIAS'!B47&amp;"")&lt;&gt;"No consta",TRIM('REFERENCIAS'!B47&amp;"")&lt;&gt;"Desconocido",TRIM('REFERENCIAS'!B47&amp;"")&lt;&gt;"Sin confirmar",TRIM('REFERENCIAS'!B47&amp;"")&lt;&gt;"Por decidir",TRIM('REFERENCIAS'!B47&amp;"")&lt;&gt;"Por comprobar")),NOT(ISNUMBER('REFERENCIAS'!C47)),NOT(AND(LEN(TRIM('REFERENCIAS'!D47&amp;""))&gt;0,TRIM('REFERENCIAS'!D47&amp;"")&lt;&gt;"Pendiente",TRIM('REFERENCIAS'!D47&amp;"")&lt;&gt;"Por confirmar",TRIM('REFERENCIAS'!D47&amp;"")&lt;&gt;"No consta",TRIM('REFERENCIAS'!D47&amp;"")&lt;&gt;"Desconocido",TRIM('REFERENCIAS'!D47&amp;"")&lt;&gt;"Sin confirmar",TRIM('REFERENCIAS'!D47&amp;"")&lt;&gt;"Por decidir",TRIM('REFERENCIAS'!D47&amp;"")&lt;&gt;"Por comprobar")),Q77&lt;&gt;1,'REFERENCIAS'!$Q$8&lt;&gt;1),2,IF(O77=0,1,IF(P77&gt;0,2,IF(ABS(E77)&gt;0.00000001,2,IF(ABS('REFERENCIAS'!C47-ROUND('REFERENCIAS'!C47,'REFERENCIAS'!$K$8))&gt;0.00000001,1,0)))))),2)</f>
      </c>
      <c r="N77" s="29" t="str">
        <f>'REFERENCIAS'!R47</f>
        <v>ID:</v>
      </c>
      <c r="O77" s="29" t="n">
        <f>COUNTIFS('DATOS'!$R$10:$R$509,N77)</f>
        <v>498</v>
      </c>
      <c r="P77" s="29" t="n">
        <f>COUNTIFS('AVISOS'!$U$10:$U$509,N77,'AVISOS'!$O$10:$O$509,2)</f>
        <v>0</v>
      </c>
      <c r="Q77" s="29" t="n">
        <f>COUNTIFS('REFERENCIAS'!$R$15:$R$64,N77)</f>
        <v>49</v>
      </c>
    </row>
    <row r="78" ht="40" customHeight="1">
      <c r="B78" s="26">
        <f>IF(AND(COUNTA('REFERENCIAS'!B48:D48)&gt;0,AND(LEN(TRIM('REFERENCIAS'!B48&amp;""))&gt;0,TRIM('REFERENCIAS'!B48&amp;"")&lt;&gt;"Pendiente",TRIM('REFERENCIAS'!B48&amp;"")&lt;&gt;"Por confirmar",TRIM('REFERENCIAS'!B48&amp;"")&lt;&gt;"No consta",TRIM('REFERENCIAS'!B48&amp;"")&lt;&gt;"Desconocido",TRIM('REFERENCIAS'!B48&amp;"")&lt;&gt;"Sin confirmar",TRIM('REFERENCIAS'!B48&amp;"")&lt;&gt;"Por decidir",TRIM('REFERENCIAS'!B48&amp;"")&lt;&gt;"Por comprobar")),'REFERENCIAS'!B48,"")</f>
      </c>
      <c r="C78" s="32">
        <f>IF(AND(COUNTA('REFERENCIAS'!B48:D48)&gt;0,O78&gt;0,P78=0,'REFERENCIAS'!$Q$8=1),SUMIFS('DATOS'!$P$10:$P$509,'DATOS'!$R$10:$R$509,N78),"")</f>
      </c>
      <c r="D78" s="32">
        <f>IF(AND(COUNTA('REFERENCIAS'!B48:D48)&gt;0,ISNUMBER('REFERENCIAS'!C48)),'REFERENCIAS'!C48,"")</f>
      </c>
      <c r="E78" s="32">
        <f>IF(AND(ISNUMBER(C78),ISNUMBER(D78)),C78-ROUND(D78,'REFERENCIAS'!$K$8),"")</f>
      </c>
      <c r="F78" s="26">
        <f>IF(NOT(ISNUMBER(M78)),"",IF(M78=2,"ROJO",IF(M78=1,"ÁMBAR","VERDE")))</f>
      </c>
      <c r="G78" s="26">
        <f>IF(AND(COUNTA('REFERENCIAS'!B48:D48)&gt;0,AND(LEN(TRIM('REFERENCIAS'!D48&amp;""))&gt;0,TRIM('REFERENCIAS'!D48&amp;"")&lt;&gt;"Pendiente",TRIM('REFERENCIAS'!D48&amp;"")&lt;&gt;"Por confirmar",TRIM('REFERENCIAS'!D48&amp;"")&lt;&gt;"No consta",TRIM('REFERENCIAS'!D48&amp;"")&lt;&gt;"Desconocido",TRIM('REFERENCIAS'!D48&amp;"")&lt;&gt;"Sin confirmar",TRIM('REFERENCIAS'!D48&amp;"")&lt;&gt;"Por decidir",TRIM('REFERENCIAS'!D48&amp;"")&lt;&gt;"Por comprobar")),'REFERENCIAS'!D48,"")</f>
      </c>
      <c r="H78" s="26"/>
      <c r="I78" s="26"/>
      <c r="J78" s="26"/>
      <c r="K78" s="26"/>
      <c r="L78" s="26"/>
      <c r="M78" s="29">
        <f>IFERROR(IF(NOT(COUNTA('REFERENCIAS'!B48:D48)&gt;0),"",IF(OR(NOT(AND(LEN(TRIM('REFERENCIAS'!B48&amp;""))&gt;0,TRIM('REFERENCIAS'!B48&amp;"")&lt;&gt;"Pendiente",TRIM('REFERENCIAS'!B48&amp;"")&lt;&gt;"Por confirmar",TRIM('REFERENCIAS'!B48&amp;"")&lt;&gt;"No consta",TRIM('REFERENCIAS'!B48&amp;"")&lt;&gt;"Desconocido",TRIM('REFERENCIAS'!B48&amp;"")&lt;&gt;"Sin confirmar",TRIM('REFERENCIAS'!B48&amp;"")&lt;&gt;"Por decidir",TRIM('REFERENCIAS'!B48&amp;"")&lt;&gt;"Por comprobar")),NOT(ISNUMBER('REFERENCIAS'!C48)),NOT(AND(LEN(TRIM('REFERENCIAS'!D48&amp;""))&gt;0,TRIM('REFERENCIAS'!D48&amp;"")&lt;&gt;"Pendiente",TRIM('REFERENCIAS'!D48&amp;"")&lt;&gt;"Por confirmar",TRIM('REFERENCIAS'!D48&amp;"")&lt;&gt;"No consta",TRIM('REFERENCIAS'!D48&amp;"")&lt;&gt;"Desconocido",TRIM('REFERENCIAS'!D48&amp;"")&lt;&gt;"Sin confirmar",TRIM('REFERENCIAS'!D48&amp;"")&lt;&gt;"Por decidir",TRIM('REFERENCIAS'!D48&amp;"")&lt;&gt;"Por comprobar")),Q78&lt;&gt;1,'REFERENCIAS'!$Q$8&lt;&gt;1),2,IF(O78=0,1,IF(P78&gt;0,2,IF(ABS(E78)&gt;0.00000001,2,IF(ABS('REFERENCIAS'!C48-ROUND('REFERENCIAS'!C48,'REFERENCIAS'!$K$8))&gt;0.00000001,1,0)))))),2)</f>
      </c>
      <c r="N78" s="29" t="str">
        <f>'REFERENCIAS'!R48</f>
        <v>ID:</v>
      </c>
      <c r="O78" s="29" t="n">
        <f>COUNTIFS('DATOS'!$R$10:$R$509,N78)</f>
        <v>498</v>
      </c>
      <c r="P78" s="29" t="n">
        <f>COUNTIFS('AVISOS'!$U$10:$U$509,N78,'AVISOS'!$O$10:$O$509,2)</f>
        <v>0</v>
      </c>
      <c r="Q78" s="29" t="n">
        <f>COUNTIFS('REFERENCIAS'!$R$15:$R$64,N78)</f>
        <v>49</v>
      </c>
    </row>
    <row r="79" ht="40" customHeight="1">
      <c r="B79" s="26">
        <f>IF(AND(COUNTA('REFERENCIAS'!B49:D49)&gt;0,AND(LEN(TRIM('REFERENCIAS'!B49&amp;""))&gt;0,TRIM('REFERENCIAS'!B49&amp;"")&lt;&gt;"Pendiente",TRIM('REFERENCIAS'!B49&amp;"")&lt;&gt;"Por confirmar",TRIM('REFERENCIAS'!B49&amp;"")&lt;&gt;"No consta",TRIM('REFERENCIAS'!B49&amp;"")&lt;&gt;"Desconocido",TRIM('REFERENCIAS'!B49&amp;"")&lt;&gt;"Sin confirmar",TRIM('REFERENCIAS'!B49&amp;"")&lt;&gt;"Por decidir",TRIM('REFERENCIAS'!B49&amp;"")&lt;&gt;"Por comprobar")),'REFERENCIAS'!B49,"")</f>
      </c>
      <c r="C79" s="32">
        <f>IF(AND(COUNTA('REFERENCIAS'!B49:D49)&gt;0,O79&gt;0,P79=0,'REFERENCIAS'!$Q$8=1),SUMIFS('DATOS'!$P$10:$P$509,'DATOS'!$R$10:$R$509,N79),"")</f>
      </c>
      <c r="D79" s="32">
        <f>IF(AND(COUNTA('REFERENCIAS'!B49:D49)&gt;0,ISNUMBER('REFERENCIAS'!C49)),'REFERENCIAS'!C49,"")</f>
      </c>
      <c r="E79" s="32">
        <f>IF(AND(ISNUMBER(C79),ISNUMBER(D79)),C79-ROUND(D79,'REFERENCIAS'!$K$8),"")</f>
      </c>
      <c r="F79" s="26">
        <f>IF(NOT(ISNUMBER(M79)),"",IF(M79=2,"ROJO",IF(M79=1,"ÁMBAR","VERDE")))</f>
      </c>
      <c r="G79" s="26">
        <f>IF(AND(COUNTA('REFERENCIAS'!B49:D49)&gt;0,AND(LEN(TRIM('REFERENCIAS'!D49&amp;""))&gt;0,TRIM('REFERENCIAS'!D49&amp;"")&lt;&gt;"Pendiente",TRIM('REFERENCIAS'!D49&amp;"")&lt;&gt;"Por confirmar",TRIM('REFERENCIAS'!D49&amp;"")&lt;&gt;"No consta",TRIM('REFERENCIAS'!D49&amp;"")&lt;&gt;"Desconocido",TRIM('REFERENCIAS'!D49&amp;"")&lt;&gt;"Sin confirmar",TRIM('REFERENCIAS'!D49&amp;"")&lt;&gt;"Por decidir",TRIM('REFERENCIAS'!D49&amp;"")&lt;&gt;"Por comprobar")),'REFERENCIAS'!D49,"")</f>
      </c>
      <c r="H79" s="26"/>
      <c r="I79" s="26"/>
      <c r="J79" s="26"/>
      <c r="K79" s="26"/>
      <c r="L79" s="26"/>
      <c r="M79" s="29">
        <f>IFERROR(IF(NOT(COUNTA('REFERENCIAS'!B49:D49)&gt;0),"",IF(OR(NOT(AND(LEN(TRIM('REFERENCIAS'!B49&amp;""))&gt;0,TRIM('REFERENCIAS'!B49&amp;"")&lt;&gt;"Pendiente",TRIM('REFERENCIAS'!B49&amp;"")&lt;&gt;"Por confirmar",TRIM('REFERENCIAS'!B49&amp;"")&lt;&gt;"No consta",TRIM('REFERENCIAS'!B49&amp;"")&lt;&gt;"Desconocido",TRIM('REFERENCIAS'!B49&amp;"")&lt;&gt;"Sin confirmar",TRIM('REFERENCIAS'!B49&amp;"")&lt;&gt;"Por decidir",TRIM('REFERENCIAS'!B49&amp;"")&lt;&gt;"Por comprobar")),NOT(ISNUMBER('REFERENCIAS'!C49)),NOT(AND(LEN(TRIM('REFERENCIAS'!D49&amp;""))&gt;0,TRIM('REFERENCIAS'!D49&amp;"")&lt;&gt;"Pendiente",TRIM('REFERENCIAS'!D49&amp;"")&lt;&gt;"Por confirmar",TRIM('REFERENCIAS'!D49&amp;"")&lt;&gt;"No consta",TRIM('REFERENCIAS'!D49&amp;"")&lt;&gt;"Desconocido",TRIM('REFERENCIAS'!D49&amp;"")&lt;&gt;"Sin confirmar",TRIM('REFERENCIAS'!D49&amp;"")&lt;&gt;"Por decidir",TRIM('REFERENCIAS'!D49&amp;"")&lt;&gt;"Por comprobar")),Q79&lt;&gt;1,'REFERENCIAS'!$Q$8&lt;&gt;1),2,IF(O79=0,1,IF(P79&gt;0,2,IF(ABS(E79)&gt;0.00000001,2,IF(ABS('REFERENCIAS'!C49-ROUND('REFERENCIAS'!C49,'REFERENCIAS'!$K$8))&gt;0.00000001,1,0)))))),2)</f>
      </c>
      <c r="N79" s="29" t="str">
        <f>'REFERENCIAS'!R49</f>
        <v>ID:</v>
      </c>
      <c r="O79" s="29" t="n">
        <f>COUNTIFS('DATOS'!$R$10:$R$509,N79)</f>
        <v>498</v>
      </c>
      <c r="P79" s="29" t="n">
        <f>COUNTIFS('AVISOS'!$U$10:$U$509,N79,'AVISOS'!$O$10:$O$509,2)</f>
        <v>0</v>
      </c>
      <c r="Q79" s="29" t="n">
        <f>COUNTIFS('REFERENCIAS'!$R$15:$R$64,N79)</f>
        <v>49</v>
      </c>
    </row>
    <row r="80" ht="40" customHeight="1">
      <c r="B80" s="26">
        <f>IF(AND(COUNTA('REFERENCIAS'!B50:D50)&gt;0,AND(LEN(TRIM('REFERENCIAS'!B50&amp;""))&gt;0,TRIM('REFERENCIAS'!B50&amp;"")&lt;&gt;"Pendiente",TRIM('REFERENCIAS'!B50&amp;"")&lt;&gt;"Por confirmar",TRIM('REFERENCIAS'!B50&amp;"")&lt;&gt;"No consta",TRIM('REFERENCIAS'!B50&amp;"")&lt;&gt;"Desconocido",TRIM('REFERENCIAS'!B50&amp;"")&lt;&gt;"Sin confirmar",TRIM('REFERENCIAS'!B50&amp;"")&lt;&gt;"Por decidir",TRIM('REFERENCIAS'!B50&amp;"")&lt;&gt;"Por comprobar")),'REFERENCIAS'!B50,"")</f>
      </c>
      <c r="C80" s="32">
        <f>IF(AND(COUNTA('REFERENCIAS'!B50:D50)&gt;0,O80&gt;0,P80=0,'REFERENCIAS'!$Q$8=1),SUMIFS('DATOS'!$P$10:$P$509,'DATOS'!$R$10:$R$509,N80),"")</f>
      </c>
      <c r="D80" s="32">
        <f>IF(AND(COUNTA('REFERENCIAS'!B50:D50)&gt;0,ISNUMBER('REFERENCIAS'!C50)),'REFERENCIAS'!C50,"")</f>
      </c>
      <c r="E80" s="32">
        <f>IF(AND(ISNUMBER(C80),ISNUMBER(D80)),C80-ROUND(D80,'REFERENCIAS'!$K$8),"")</f>
      </c>
      <c r="F80" s="26">
        <f>IF(NOT(ISNUMBER(M80)),"",IF(M80=2,"ROJO",IF(M80=1,"ÁMBAR","VERDE")))</f>
      </c>
      <c r="G80" s="26">
        <f>IF(AND(COUNTA('REFERENCIAS'!B50:D50)&gt;0,AND(LEN(TRIM('REFERENCIAS'!D50&amp;""))&gt;0,TRIM('REFERENCIAS'!D50&amp;"")&lt;&gt;"Pendiente",TRIM('REFERENCIAS'!D50&amp;"")&lt;&gt;"Por confirmar",TRIM('REFERENCIAS'!D50&amp;"")&lt;&gt;"No consta",TRIM('REFERENCIAS'!D50&amp;"")&lt;&gt;"Desconocido",TRIM('REFERENCIAS'!D50&amp;"")&lt;&gt;"Sin confirmar",TRIM('REFERENCIAS'!D50&amp;"")&lt;&gt;"Por decidir",TRIM('REFERENCIAS'!D50&amp;"")&lt;&gt;"Por comprobar")),'REFERENCIAS'!D50,"")</f>
      </c>
      <c r="H80" s="26"/>
      <c r="I80" s="26"/>
      <c r="J80" s="26"/>
      <c r="K80" s="26"/>
      <c r="L80" s="26"/>
      <c r="M80" s="29">
        <f>IFERROR(IF(NOT(COUNTA('REFERENCIAS'!B50:D50)&gt;0),"",IF(OR(NOT(AND(LEN(TRIM('REFERENCIAS'!B50&amp;""))&gt;0,TRIM('REFERENCIAS'!B50&amp;"")&lt;&gt;"Pendiente",TRIM('REFERENCIAS'!B50&amp;"")&lt;&gt;"Por confirmar",TRIM('REFERENCIAS'!B50&amp;"")&lt;&gt;"No consta",TRIM('REFERENCIAS'!B50&amp;"")&lt;&gt;"Desconocido",TRIM('REFERENCIAS'!B50&amp;"")&lt;&gt;"Sin confirmar",TRIM('REFERENCIAS'!B50&amp;"")&lt;&gt;"Por decidir",TRIM('REFERENCIAS'!B50&amp;"")&lt;&gt;"Por comprobar")),NOT(ISNUMBER('REFERENCIAS'!C50)),NOT(AND(LEN(TRIM('REFERENCIAS'!D50&amp;""))&gt;0,TRIM('REFERENCIAS'!D50&amp;"")&lt;&gt;"Pendiente",TRIM('REFERENCIAS'!D50&amp;"")&lt;&gt;"Por confirmar",TRIM('REFERENCIAS'!D50&amp;"")&lt;&gt;"No consta",TRIM('REFERENCIAS'!D50&amp;"")&lt;&gt;"Desconocido",TRIM('REFERENCIAS'!D50&amp;"")&lt;&gt;"Sin confirmar",TRIM('REFERENCIAS'!D50&amp;"")&lt;&gt;"Por decidir",TRIM('REFERENCIAS'!D50&amp;"")&lt;&gt;"Por comprobar")),Q80&lt;&gt;1,'REFERENCIAS'!$Q$8&lt;&gt;1),2,IF(O80=0,1,IF(P80&gt;0,2,IF(ABS(E80)&gt;0.00000001,2,IF(ABS('REFERENCIAS'!C50-ROUND('REFERENCIAS'!C50,'REFERENCIAS'!$K$8))&gt;0.00000001,1,0)))))),2)</f>
      </c>
      <c r="N80" s="29" t="str">
        <f>'REFERENCIAS'!R50</f>
        <v>ID:</v>
      </c>
      <c r="O80" s="29" t="n">
        <f>COUNTIFS('DATOS'!$R$10:$R$509,N80)</f>
        <v>498</v>
      </c>
      <c r="P80" s="29" t="n">
        <f>COUNTIFS('AVISOS'!$U$10:$U$509,N80,'AVISOS'!$O$10:$O$509,2)</f>
        <v>0</v>
      </c>
      <c r="Q80" s="29" t="n">
        <f>COUNTIFS('REFERENCIAS'!$R$15:$R$64,N80)</f>
        <v>49</v>
      </c>
    </row>
    <row r="81" ht="40" customHeight="1">
      <c r="B81" s="26">
        <f>IF(AND(COUNTA('REFERENCIAS'!B51:D51)&gt;0,AND(LEN(TRIM('REFERENCIAS'!B51&amp;""))&gt;0,TRIM('REFERENCIAS'!B51&amp;"")&lt;&gt;"Pendiente",TRIM('REFERENCIAS'!B51&amp;"")&lt;&gt;"Por confirmar",TRIM('REFERENCIAS'!B51&amp;"")&lt;&gt;"No consta",TRIM('REFERENCIAS'!B51&amp;"")&lt;&gt;"Desconocido",TRIM('REFERENCIAS'!B51&amp;"")&lt;&gt;"Sin confirmar",TRIM('REFERENCIAS'!B51&amp;"")&lt;&gt;"Por decidir",TRIM('REFERENCIAS'!B51&amp;"")&lt;&gt;"Por comprobar")),'REFERENCIAS'!B51,"")</f>
      </c>
      <c r="C81" s="32">
        <f>IF(AND(COUNTA('REFERENCIAS'!B51:D51)&gt;0,O81&gt;0,P81=0,'REFERENCIAS'!$Q$8=1),SUMIFS('DATOS'!$P$10:$P$509,'DATOS'!$R$10:$R$509,N81),"")</f>
      </c>
      <c r="D81" s="32">
        <f>IF(AND(COUNTA('REFERENCIAS'!B51:D51)&gt;0,ISNUMBER('REFERENCIAS'!C51)),'REFERENCIAS'!C51,"")</f>
      </c>
      <c r="E81" s="32">
        <f>IF(AND(ISNUMBER(C81),ISNUMBER(D81)),C81-ROUND(D81,'REFERENCIAS'!$K$8),"")</f>
      </c>
      <c r="F81" s="26">
        <f>IF(NOT(ISNUMBER(M81)),"",IF(M81=2,"ROJO",IF(M81=1,"ÁMBAR","VERDE")))</f>
      </c>
      <c r="G81" s="26">
        <f>IF(AND(COUNTA('REFERENCIAS'!B51:D51)&gt;0,AND(LEN(TRIM('REFERENCIAS'!D51&amp;""))&gt;0,TRIM('REFERENCIAS'!D51&amp;"")&lt;&gt;"Pendiente",TRIM('REFERENCIAS'!D51&amp;"")&lt;&gt;"Por confirmar",TRIM('REFERENCIAS'!D51&amp;"")&lt;&gt;"No consta",TRIM('REFERENCIAS'!D51&amp;"")&lt;&gt;"Desconocido",TRIM('REFERENCIAS'!D51&amp;"")&lt;&gt;"Sin confirmar",TRIM('REFERENCIAS'!D51&amp;"")&lt;&gt;"Por decidir",TRIM('REFERENCIAS'!D51&amp;"")&lt;&gt;"Por comprobar")),'REFERENCIAS'!D51,"")</f>
      </c>
      <c r="H81" s="26"/>
      <c r="I81" s="26"/>
      <c r="J81" s="26"/>
      <c r="K81" s="26"/>
      <c r="L81" s="26"/>
      <c r="M81" s="29">
        <f>IFERROR(IF(NOT(COUNTA('REFERENCIAS'!B51:D51)&gt;0),"",IF(OR(NOT(AND(LEN(TRIM('REFERENCIAS'!B51&amp;""))&gt;0,TRIM('REFERENCIAS'!B51&amp;"")&lt;&gt;"Pendiente",TRIM('REFERENCIAS'!B51&amp;"")&lt;&gt;"Por confirmar",TRIM('REFERENCIAS'!B51&amp;"")&lt;&gt;"No consta",TRIM('REFERENCIAS'!B51&amp;"")&lt;&gt;"Desconocido",TRIM('REFERENCIAS'!B51&amp;"")&lt;&gt;"Sin confirmar",TRIM('REFERENCIAS'!B51&amp;"")&lt;&gt;"Por decidir",TRIM('REFERENCIAS'!B51&amp;"")&lt;&gt;"Por comprobar")),NOT(ISNUMBER('REFERENCIAS'!C51)),NOT(AND(LEN(TRIM('REFERENCIAS'!D51&amp;""))&gt;0,TRIM('REFERENCIAS'!D51&amp;"")&lt;&gt;"Pendiente",TRIM('REFERENCIAS'!D51&amp;"")&lt;&gt;"Por confirmar",TRIM('REFERENCIAS'!D51&amp;"")&lt;&gt;"No consta",TRIM('REFERENCIAS'!D51&amp;"")&lt;&gt;"Desconocido",TRIM('REFERENCIAS'!D51&amp;"")&lt;&gt;"Sin confirmar",TRIM('REFERENCIAS'!D51&amp;"")&lt;&gt;"Por decidir",TRIM('REFERENCIAS'!D51&amp;"")&lt;&gt;"Por comprobar")),Q81&lt;&gt;1,'REFERENCIAS'!$Q$8&lt;&gt;1),2,IF(O81=0,1,IF(P81&gt;0,2,IF(ABS(E81)&gt;0.00000001,2,IF(ABS('REFERENCIAS'!C51-ROUND('REFERENCIAS'!C51,'REFERENCIAS'!$K$8))&gt;0.00000001,1,0)))))),2)</f>
      </c>
      <c r="N81" s="29" t="str">
        <f>'REFERENCIAS'!R51</f>
        <v>ID:</v>
      </c>
      <c r="O81" s="29" t="n">
        <f>COUNTIFS('DATOS'!$R$10:$R$509,N81)</f>
        <v>498</v>
      </c>
      <c r="P81" s="29" t="n">
        <f>COUNTIFS('AVISOS'!$U$10:$U$509,N81,'AVISOS'!$O$10:$O$509,2)</f>
        <v>0</v>
      </c>
      <c r="Q81" s="29" t="n">
        <f>COUNTIFS('REFERENCIAS'!$R$15:$R$64,N81)</f>
        <v>49</v>
      </c>
    </row>
    <row r="82" ht="40" customHeight="1">
      <c r="B82" s="26">
        <f>IF(AND(COUNTA('REFERENCIAS'!B52:D52)&gt;0,AND(LEN(TRIM('REFERENCIAS'!B52&amp;""))&gt;0,TRIM('REFERENCIAS'!B52&amp;"")&lt;&gt;"Pendiente",TRIM('REFERENCIAS'!B52&amp;"")&lt;&gt;"Por confirmar",TRIM('REFERENCIAS'!B52&amp;"")&lt;&gt;"No consta",TRIM('REFERENCIAS'!B52&amp;"")&lt;&gt;"Desconocido",TRIM('REFERENCIAS'!B52&amp;"")&lt;&gt;"Sin confirmar",TRIM('REFERENCIAS'!B52&amp;"")&lt;&gt;"Por decidir",TRIM('REFERENCIAS'!B52&amp;"")&lt;&gt;"Por comprobar")),'REFERENCIAS'!B52,"")</f>
      </c>
      <c r="C82" s="32">
        <f>IF(AND(COUNTA('REFERENCIAS'!B52:D52)&gt;0,O82&gt;0,P82=0,'REFERENCIAS'!$Q$8=1),SUMIFS('DATOS'!$P$10:$P$509,'DATOS'!$R$10:$R$509,N82),"")</f>
      </c>
      <c r="D82" s="32">
        <f>IF(AND(COUNTA('REFERENCIAS'!B52:D52)&gt;0,ISNUMBER('REFERENCIAS'!C52)),'REFERENCIAS'!C52,"")</f>
      </c>
      <c r="E82" s="32">
        <f>IF(AND(ISNUMBER(C82),ISNUMBER(D82)),C82-ROUND(D82,'REFERENCIAS'!$K$8),"")</f>
      </c>
      <c r="F82" s="26">
        <f>IF(NOT(ISNUMBER(M82)),"",IF(M82=2,"ROJO",IF(M82=1,"ÁMBAR","VERDE")))</f>
      </c>
      <c r="G82" s="26">
        <f>IF(AND(COUNTA('REFERENCIAS'!B52:D52)&gt;0,AND(LEN(TRIM('REFERENCIAS'!D52&amp;""))&gt;0,TRIM('REFERENCIAS'!D52&amp;"")&lt;&gt;"Pendiente",TRIM('REFERENCIAS'!D52&amp;"")&lt;&gt;"Por confirmar",TRIM('REFERENCIAS'!D52&amp;"")&lt;&gt;"No consta",TRIM('REFERENCIAS'!D52&amp;"")&lt;&gt;"Desconocido",TRIM('REFERENCIAS'!D52&amp;"")&lt;&gt;"Sin confirmar",TRIM('REFERENCIAS'!D52&amp;"")&lt;&gt;"Por decidir",TRIM('REFERENCIAS'!D52&amp;"")&lt;&gt;"Por comprobar")),'REFERENCIAS'!D52,"")</f>
      </c>
      <c r="H82" s="26"/>
      <c r="I82" s="26"/>
      <c r="J82" s="26"/>
      <c r="K82" s="26"/>
      <c r="L82" s="26"/>
      <c r="M82" s="29">
        <f>IFERROR(IF(NOT(COUNTA('REFERENCIAS'!B52:D52)&gt;0),"",IF(OR(NOT(AND(LEN(TRIM('REFERENCIAS'!B52&amp;""))&gt;0,TRIM('REFERENCIAS'!B52&amp;"")&lt;&gt;"Pendiente",TRIM('REFERENCIAS'!B52&amp;"")&lt;&gt;"Por confirmar",TRIM('REFERENCIAS'!B52&amp;"")&lt;&gt;"No consta",TRIM('REFERENCIAS'!B52&amp;"")&lt;&gt;"Desconocido",TRIM('REFERENCIAS'!B52&amp;"")&lt;&gt;"Sin confirmar",TRIM('REFERENCIAS'!B52&amp;"")&lt;&gt;"Por decidir",TRIM('REFERENCIAS'!B52&amp;"")&lt;&gt;"Por comprobar")),NOT(ISNUMBER('REFERENCIAS'!C52)),NOT(AND(LEN(TRIM('REFERENCIAS'!D52&amp;""))&gt;0,TRIM('REFERENCIAS'!D52&amp;"")&lt;&gt;"Pendiente",TRIM('REFERENCIAS'!D52&amp;"")&lt;&gt;"Por confirmar",TRIM('REFERENCIAS'!D52&amp;"")&lt;&gt;"No consta",TRIM('REFERENCIAS'!D52&amp;"")&lt;&gt;"Desconocido",TRIM('REFERENCIAS'!D52&amp;"")&lt;&gt;"Sin confirmar",TRIM('REFERENCIAS'!D52&amp;"")&lt;&gt;"Por decidir",TRIM('REFERENCIAS'!D52&amp;"")&lt;&gt;"Por comprobar")),Q82&lt;&gt;1,'REFERENCIAS'!$Q$8&lt;&gt;1),2,IF(O82=0,1,IF(P82&gt;0,2,IF(ABS(E82)&gt;0.00000001,2,IF(ABS('REFERENCIAS'!C52-ROUND('REFERENCIAS'!C52,'REFERENCIAS'!$K$8))&gt;0.00000001,1,0)))))),2)</f>
      </c>
      <c r="N82" s="29" t="str">
        <f>'REFERENCIAS'!R52</f>
        <v>ID:</v>
      </c>
      <c r="O82" s="29" t="n">
        <f>COUNTIFS('DATOS'!$R$10:$R$509,N82)</f>
        <v>498</v>
      </c>
      <c r="P82" s="29" t="n">
        <f>COUNTIFS('AVISOS'!$U$10:$U$509,N82,'AVISOS'!$O$10:$O$509,2)</f>
        <v>0</v>
      </c>
      <c r="Q82" s="29" t="n">
        <f>COUNTIFS('REFERENCIAS'!$R$15:$R$64,N82)</f>
        <v>49</v>
      </c>
    </row>
    <row r="83" ht="40" customHeight="1">
      <c r="B83" s="26">
        <f>IF(AND(COUNTA('REFERENCIAS'!B53:D53)&gt;0,AND(LEN(TRIM('REFERENCIAS'!B53&amp;""))&gt;0,TRIM('REFERENCIAS'!B53&amp;"")&lt;&gt;"Pendiente",TRIM('REFERENCIAS'!B53&amp;"")&lt;&gt;"Por confirmar",TRIM('REFERENCIAS'!B53&amp;"")&lt;&gt;"No consta",TRIM('REFERENCIAS'!B53&amp;"")&lt;&gt;"Desconocido",TRIM('REFERENCIAS'!B53&amp;"")&lt;&gt;"Sin confirmar",TRIM('REFERENCIAS'!B53&amp;"")&lt;&gt;"Por decidir",TRIM('REFERENCIAS'!B53&amp;"")&lt;&gt;"Por comprobar")),'REFERENCIAS'!B53,"")</f>
      </c>
      <c r="C83" s="32">
        <f>IF(AND(COUNTA('REFERENCIAS'!B53:D53)&gt;0,O83&gt;0,P83=0,'REFERENCIAS'!$Q$8=1),SUMIFS('DATOS'!$P$10:$P$509,'DATOS'!$R$10:$R$509,N83),"")</f>
      </c>
      <c r="D83" s="32">
        <f>IF(AND(COUNTA('REFERENCIAS'!B53:D53)&gt;0,ISNUMBER('REFERENCIAS'!C53)),'REFERENCIAS'!C53,"")</f>
      </c>
      <c r="E83" s="32">
        <f>IF(AND(ISNUMBER(C83),ISNUMBER(D83)),C83-ROUND(D83,'REFERENCIAS'!$K$8),"")</f>
      </c>
      <c r="F83" s="26">
        <f>IF(NOT(ISNUMBER(M83)),"",IF(M83=2,"ROJO",IF(M83=1,"ÁMBAR","VERDE")))</f>
      </c>
      <c r="G83" s="26">
        <f>IF(AND(COUNTA('REFERENCIAS'!B53:D53)&gt;0,AND(LEN(TRIM('REFERENCIAS'!D53&amp;""))&gt;0,TRIM('REFERENCIAS'!D53&amp;"")&lt;&gt;"Pendiente",TRIM('REFERENCIAS'!D53&amp;"")&lt;&gt;"Por confirmar",TRIM('REFERENCIAS'!D53&amp;"")&lt;&gt;"No consta",TRIM('REFERENCIAS'!D53&amp;"")&lt;&gt;"Desconocido",TRIM('REFERENCIAS'!D53&amp;"")&lt;&gt;"Sin confirmar",TRIM('REFERENCIAS'!D53&amp;"")&lt;&gt;"Por decidir",TRIM('REFERENCIAS'!D53&amp;"")&lt;&gt;"Por comprobar")),'REFERENCIAS'!D53,"")</f>
      </c>
      <c r="H83" s="26"/>
      <c r="I83" s="26"/>
      <c r="J83" s="26"/>
      <c r="K83" s="26"/>
      <c r="L83" s="26"/>
      <c r="M83" s="29">
        <f>IFERROR(IF(NOT(COUNTA('REFERENCIAS'!B53:D53)&gt;0),"",IF(OR(NOT(AND(LEN(TRIM('REFERENCIAS'!B53&amp;""))&gt;0,TRIM('REFERENCIAS'!B53&amp;"")&lt;&gt;"Pendiente",TRIM('REFERENCIAS'!B53&amp;"")&lt;&gt;"Por confirmar",TRIM('REFERENCIAS'!B53&amp;"")&lt;&gt;"No consta",TRIM('REFERENCIAS'!B53&amp;"")&lt;&gt;"Desconocido",TRIM('REFERENCIAS'!B53&amp;"")&lt;&gt;"Sin confirmar",TRIM('REFERENCIAS'!B53&amp;"")&lt;&gt;"Por decidir",TRIM('REFERENCIAS'!B53&amp;"")&lt;&gt;"Por comprobar")),NOT(ISNUMBER('REFERENCIAS'!C53)),NOT(AND(LEN(TRIM('REFERENCIAS'!D53&amp;""))&gt;0,TRIM('REFERENCIAS'!D53&amp;"")&lt;&gt;"Pendiente",TRIM('REFERENCIAS'!D53&amp;"")&lt;&gt;"Por confirmar",TRIM('REFERENCIAS'!D53&amp;"")&lt;&gt;"No consta",TRIM('REFERENCIAS'!D53&amp;"")&lt;&gt;"Desconocido",TRIM('REFERENCIAS'!D53&amp;"")&lt;&gt;"Sin confirmar",TRIM('REFERENCIAS'!D53&amp;"")&lt;&gt;"Por decidir",TRIM('REFERENCIAS'!D53&amp;"")&lt;&gt;"Por comprobar")),Q83&lt;&gt;1,'REFERENCIAS'!$Q$8&lt;&gt;1),2,IF(O83=0,1,IF(P83&gt;0,2,IF(ABS(E83)&gt;0.00000001,2,IF(ABS('REFERENCIAS'!C53-ROUND('REFERENCIAS'!C53,'REFERENCIAS'!$K$8))&gt;0.00000001,1,0)))))),2)</f>
      </c>
      <c r="N83" s="29" t="str">
        <f>'REFERENCIAS'!R53</f>
        <v>ID:</v>
      </c>
      <c r="O83" s="29" t="n">
        <f>COUNTIFS('DATOS'!$R$10:$R$509,N83)</f>
        <v>498</v>
      </c>
      <c r="P83" s="29" t="n">
        <f>COUNTIFS('AVISOS'!$U$10:$U$509,N83,'AVISOS'!$O$10:$O$509,2)</f>
        <v>0</v>
      </c>
      <c r="Q83" s="29" t="n">
        <f>COUNTIFS('REFERENCIAS'!$R$15:$R$64,N83)</f>
        <v>49</v>
      </c>
    </row>
    <row r="84" ht="40" customHeight="1">
      <c r="B84" s="26">
        <f>IF(AND(COUNTA('REFERENCIAS'!B54:D54)&gt;0,AND(LEN(TRIM('REFERENCIAS'!B54&amp;""))&gt;0,TRIM('REFERENCIAS'!B54&amp;"")&lt;&gt;"Pendiente",TRIM('REFERENCIAS'!B54&amp;"")&lt;&gt;"Por confirmar",TRIM('REFERENCIAS'!B54&amp;"")&lt;&gt;"No consta",TRIM('REFERENCIAS'!B54&amp;"")&lt;&gt;"Desconocido",TRIM('REFERENCIAS'!B54&amp;"")&lt;&gt;"Sin confirmar",TRIM('REFERENCIAS'!B54&amp;"")&lt;&gt;"Por decidir",TRIM('REFERENCIAS'!B54&amp;"")&lt;&gt;"Por comprobar")),'REFERENCIAS'!B54,"")</f>
      </c>
      <c r="C84" s="32">
        <f>IF(AND(COUNTA('REFERENCIAS'!B54:D54)&gt;0,O84&gt;0,P84=0,'REFERENCIAS'!$Q$8=1),SUMIFS('DATOS'!$P$10:$P$509,'DATOS'!$R$10:$R$509,N84),"")</f>
      </c>
      <c r="D84" s="32">
        <f>IF(AND(COUNTA('REFERENCIAS'!B54:D54)&gt;0,ISNUMBER('REFERENCIAS'!C54)),'REFERENCIAS'!C54,"")</f>
      </c>
      <c r="E84" s="32">
        <f>IF(AND(ISNUMBER(C84),ISNUMBER(D84)),C84-ROUND(D84,'REFERENCIAS'!$K$8),"")</f>
      </c>
      <c r="F84" s="26">
        <f>IF(NOT(ISNUMBER(M84)),"",IF(M84=2,"ROJO",IF(M84=1,"ÁMBAR","VERDE")))</f>
      </c>
      <c r="G84" s="26">
        <f>IF(AND(COUNTA('REFERENCIAS'!B54:D54)&gt;0,AND(LEN(TRIM('REFERENCIAS'!D54&amp;""))&gt;0,TRIM('REFERENCIAS'!D54&amp;"")&lt;&gt;"Pendiente",TRIM('REFERENCIAS'!D54&amp;"")&lt;&gt;"Por confirmar",TRIM('REFERENCIAS'!D54&amp;"")&lt;&gt;"No consta",TRIM('REFERENCIAS'!D54&amp;"")&lt;&gt;"Desconocido",TRIM('REFERENCIAS'!D54&amp;"")&lt;&gt;"Sin confirmar",TRIM('REFERENCIAS'!D54&amp;"")&lt;&gt;"Por decidir",TRIM('REFERENCIAS'!D54&amp;"")&lt;&gt;"Por comprobar")),'REFERENCIAS'!D54,"")</f>
      </c>
      <c r="H84" s="26"/>
      <c r="I84" s="26"/>
      <c r="J84" s="26"/>
      <c r="K84" s="26"/>
      <c r="L84" s="26"/>
      <c r="M84" s="29">
        <f>IFERROR(IF(NOT(COUNTA('REFERENCIAS'!B54:D54)&gt;0),"",IF(OR(NOT(AND(LEN(TRIM('REFERENCIAS'!B54&amp;""))&gt;0,TRIM('REFERENCIAS'!B54&amp;"")&lt;&gt;"Pendiente",TRIM('REFERENCIAS'!B54&amp;"")&lt;&gt;"Por confirmar",TRIM('REFERENCIAS'!B54&amp;"")&lt;&gt;"No consta",TRIM('REFERENCIAS'!B54&amp;"")&lt;&gt;"Desconocido",TRIM('REFERENCIAS'!B54&amp;"")&lt;&gt;"Sin confirmar",TRIM('REFERENCIAS'!B54&amp;"")&lt;&gt;"Por decidir",TRIM('REFERENCIAS'!B54&amp;"")&lt;&gt;"Por comprobar")),NOT(ISNUMBER('REFERENCIAS'!C54)),NOT(AND(LEN(TRIM('REFERENCIAS'!D54&amp;""))&gt;0,TRIM('REFERENCIAS'!D54&amp;"")&lt;&gt;"Pendiente",TRIM('REFERENCIAS'!D54&amp;"")&lt;&gt;"Por confirmar",TRIM('REFERENCIAS'!D54&amp;"")&lt;&gt;"No consta",TRIM('REFERENCIAS'!D54&amp;"")&lt;&gt;"Desconocido",TRIM('REFERENCIAS'!D54&amp;"")&lt;&gt;"Sin confirmar",TRIM('REFERENCIAS'!D54&amp;"")&lt;&gt;"Por decidir",TRIM('REFERENCIAS'!D54&amp;"")&lt;&gt;"Por comprobar")),Q84&lt;&gt;1,'REFERENCIAS'!$Q$8&lt;&gt;1),2,IF(O84=0,1,IF(P84&gt;0,2,IF(ABS(E84)&gt;0.00000001,2,IF(ABS('REFERENCIAS'!C54-ROUND('REFERENCIAS'!C54,'REFERENCIAS'!$K$8))&gt;0.00000001,1,0)))))),2)</f>
      </c>
      <c r="N84" s="29" t="str">
        <f>'REFERENCIAS'!R54</f>
        <v>ID:</v>
      </c>
      <c r="O84" s="29" t="n">
        <f>COUNTIFS('DATOS'!$R$10:$R$509,N84)</f>
        <v>498</v>
      </c>
      <c r="P84" s="29" t="n">
        <f>COUNTIFS('AVISOS'!$U$10:$U$509,N84,'AVISOS'!$O$10:$O$509,2)</f>
        <v>0</v>
      </c>
      <c r="Q84" s="29" t="n">
        <f>COUNTIFS('REFERENCIAS'!$R$15:$R$64,N84)</f>
        <v>49</v>
      </c>
    </row>
    <row r="85" ht="40" customHeight="1">
      <c r="B85" s="26">
        <f>IF(AND(COUNTA('REFERENCIAS'!B55:D55)&gt;0,AND(LEN(TRIM('REFERENCIAS'!B55&amp;""))&gt;0,TRIM('REFERENCIAS'!B55&amp;"")&lt;&gt;"Pendiente",TRIM('REFERENCIAS'!B55&amp;"")&lt;&gt;"Por confirmar",TRIM('REFERENCIAS'!B55&amp;"")&lt;&gt;"No consta",TRIM('REFERENCIAS'!B55&amp;"")&lt;&gt;"Desconocido",TRIM('REFERENCIAS'!B55&amp;"")&lt;&gt;"Sin confirmar",TRIM('REFERENCIAS'!B55&amp;"")&lt;&gt;"Por decidir",TRIM('REFERENCIAS'!B55&amp;"")&lt;&gt;"Por comprobar")),'REFERENCIAS'!B55,"")</f>
      </c>
      <c r="C85" s="32">
        <f>IF(AND(COUNTA('REFERENCIAS'!B55:D55)&gt;0,O85&gt;0,P85=0,'REFERENCIAS'!$Q$8=1),SUMIFS('DATOS'!$P$10:$P$509,'DATOS'!$R$10:$R$509,N85),"")</f>
      </c>
      <c r="D85" s="32">
        <f>IF(AND(COUNTA('REFERENCIAS'!B55:D55)&gt;0,ISNUMBER('REFERENCIAS'!C55)),'REFERENCIAS'!C55,"")</f>
      </c>
      <c r="E85" s="32">
        <f>IF(AND(ISNUMBER(C85),ISNUMBER(D85)),C85-ROUND(D85,'REFERENCIAS'!$K$8),"")</f>
      </c>
      <c r="F85" s="26">
        <f>IF(NOT(ISNUMBER(M85)),"",IF(M85=2,"ROJO",IF(M85=1,"ÁMBAR","VERDE")))</f>
      </c>
      <c r="G85" s="26">
        <f>IF(AND(COUNTA('REFERENCIAS'!B55:D55)&gt;0,AND(LEN(TRIM('REFERENCIAS'!D55&amp;""))&gt;0,TRIM('REFERENCIAS'!D55&amp;"")&lt;&gt;"Pendiente",TRIM('REFERENCIAS'!D55&amp;"")&lt;&gt;"Por confirmar",TRIM('REFERENCIAS'!D55&amp;"")&lt;&gt;"No consta",TRIM('REFERENCIAS'!D55&amp;"")&lt;&gt;"Desconocido",TRIM('REFERENCIAS'!D55&amp;"")&lt;&gt;"Sin confirmar",TRIM('REFERENCIAS'!D55&amp;"")&lt;&gt;"Por decidir",TRIM('REFERENCIAS'!D55&amp;"")&lt;&gt;"Por comprobar")),'REFERENCIAS'!D55,"")</f>
      </c>
      <c r="H85" s="26"/>
      <c r="I85" s="26"/>
      <c r="J85" s="26"/>
      <c r="K85" s="26"/>
      <c r="L85" s="26"/>
      <c r="M85" s="29">
        <f>IFERROR(IF(NOT(COUNTA('REFERENCIAS'!B55:D55)&gt;0),"",IF(OR(NOT(AND(LEN(TRIM('REFERENCIAS'!B55&amp;""))&gt;0,TRIM('REFERENCIAS'!B55&amp;"")&lt;&gt;"Pendiente",TRIM('REFERENCIAS'!B55&amp;"")&lt;&gt;"Por confirmar",TRIM('REFERENCIAS'!B55&amp;"")&lt;&gt;"No consta",TRIM('REFERENCIAS'!B55&amp;"")&lt;&gt;"Desconocido",TRIM('REFERENCIAS'!B55&amp;"")&lt;&gt;"Sin confirmar",TRIM('REFERENCIAS'!B55&amp;"")&lt;&gt;"Por decidir",TRIM('REFERENCIAS'!B55&amp;"")&lt;&gt;"Por comprobar")),NOT(ISNUMBER('REFERENCIAS'!C55)),NOT(AND(LEN(TRIM('REFERENCIAS'!D55&amp;""))&gt;0,TRIM('REFERENCIAS'!D55&amp;"")&lt;&gt;"Pendiente",TRIM('REFERENCIAS'!D55&amp;"")&lt;&gt;"Por confirmar",TRIM('REFERENCIAS'!D55&amp;"")&lt;&gt;"No consta",TRIM('REFERENCIAS'!D55&amp;"")&lt;&gt;"Desconocido",TRIM('REFERENCIAS'!D55&amp;"")&lt;&gt;"Sin confirmar",TRIM('REFERENCIAS'!D55&amp;"")&lt;&gt;"Por decidir",TRIM('REFERENCIAS'!D55&amp;"")&lt;&gt;"Por comprobar")),Q85&lt;&gt;1,'REFERENCIAS'!$Q$8&lt;&gt;1),2,IF(O85=0,1,IF(P85&gt;0,2,IF(ABS(E85)&gt;0.00000001,2,IF(ABS('REFERENCIAS'!C55-ROUND('REFERENCIAS'!C55,'REFERENCIAS'!$K$8))&gt;0.00000001,1,0)))))),2)</f>
      </c>
      <c r="N85" s="29" t="str">
        <f>'REFERENCIAS'!R55</f>
        <v>ID:</v>
      </c>
      <c r="O85" s="29" t="n">
        <f>COUNTIFS('DATOS'!$R$10:$R$509,N85)</f>
        <v>498</v>
      </c>
      <c r="P85" s="29" t="n">
        <f>COUNTIFS('AVISOS'!$U$10:$U$509,N85,'AVISOS'!$O$10:$O$509,2)</f>
        <v>0</v>
      </c>
      <c r="Q85" s="29" t="n">
        <f>COUNTIFS('REFERENCIAS'!$R$15:$R$64,N85)</f>
        <v>49</v>
      </c>
    </row>
    <row r="86" ht="40" customHeight="1">
      <c r="B86" s="26">
        <f>IF(AND(COUNTA('REFERENCIAS'!B56:D56)&gt;0,AND(LEN(TRIM('REFERENCIAS'!B56&amp;""))&gt;0,TRIM('REFERENCIAS'!B56&amp;"")&lt;&gt;"Pendiente",TRIM('REFERENCIAS'!B56&amp;"")&lt;&gt;"Por confirmar",TRIM('REFERENCIAS'!B56&amp;"")&lt;&gt;"No consta",TRIM('REFERENCIAS'!B56&amp;"")&lt;&gt;"Desconocido",TRIM('REFERENCIAS'!B56&amp;"")&lt;&gt;"Sin confirmar",TRIM('REFERENCIAS'!B56&amp;"")&lt;&gt;"Por decidir",TRIM('REFERENCIAS'!B56&amp;"")&lt;&gt;"Por comprobar")),'REFERENCIAS'!B56,"")</f>
      </c>
      <c r="C86" s="32">
        <f>IF(AND(COUNTA('REFERENCIAS'!B56:D56)&gt;0,O86&gt;0,P86=0,'REFERENCIAS'!$Q$8=1),SUMIFS('DATOS'!$P$10:$P$509,'DATOS'!$R$10:$R$509,N86),"")</f>
      </c>
      <c r="D86" s="32">
        <f>IF(AND(COUNTA('REFERENCIAS'!B56:D56)&gt;0,ISNUMBER('REFERENCIAS'!C56)),'REFERENCIAS'!C56,"")</f>
      </c>
      <c r="E86" s="32">
        <f>IF(AND(ISNUMBER(C86),ISNUMBER(D86)),C86-ROUND(D86,'REFERENCIAS'!$K$8),"")</f>
      </c>
      <c r="F86" s="26">
        <f>IF(NOT(ISNUMBER(M86)),"",IF(M86=2,"ROJO",IF(M86=1,"ÁMBAR","VERDE")))</f>
      </c>
      <c r="G86" s="26">
        <f>IF(AND(COUNTA('REFERENCIAS'!B56:D56)&gt;0,AND(LEN(TRIM('REFERENCIAS'!D56&amp;""))&gt;0,TRIM('REFERENCIAS'!D56&amp;"")&lt;&gt;"Pendiente",TRIM('REFERENCIAS'!D56&amp;"")&lt;&gt;"Por confirmar",TRIM('REFERENCIAS'!D56&amp;"")&lt;&gt;"No consta",TRIM('REFERENCIAS'!D56&amp;"")&lt;&gt;"Desconocido",TRIM('REFERENCIAS'!D56&amp;"")&lt;&gt;"Sin confirmar",TRIM('REFERENCIAS'!D56&amp;"")&lt;&gt;"Por decidir",TRIM('REFERENCIAS'!D56&amp;"")&lt;&gt;"Por comprobar")),'REFERENCIAS'!D56,"")</f>
      </c>
      <c r="H86" s="26"/>
      <c r="I86" s="26"/>
      <c r="J86" s="26"/>
      <c r="K86" s="26"/>
      <c r="L86" s="26"/>
      <c r="M86" s="29">
        <f>IFERROR(IF(NOT(COUNTA('REFERENCIAS'!B56:D56)&gt;0),"",IF(OR(NOT(AND(LEN(TRIM('REFERENCIAS'!B56&amp;""))&gt;0,TRIM('REFERENCIAS'!B56&amp;"")&lt;&gt;"Pendiente",TRIM('REFERENCIAS'!B56&amp;"")&lt;&gt;"Por confirmar",TRIM('REFERENCIAS'!B56&amp;"")&lt;&gt;"No consta",TRIM('REFERENCIAS'!B56&amp;"")&lt;&gt;"Desconocido",TRIM('REFERENCIAS'!B56&amp;"")&lt;&gt;"Sin confirmar",TRIM('REFERENCIAS'!B56&amp;"")&lt;&gt;"Por decidir",TRIM('REFERENCIAS'!B56&amp;"")&lt;&gt;"Por comprobar")),NOT(ISNUMBER('REFERENCIAS'!C56)),NOT(AND(LEN(TRIM('REFERENCIAS'!D56&amp;""))&gt;0,TRIM('REFERENCIAS'!D56&amp;"")&lt;&gt;"Pendiente",TRIM('REFERENCIAS'!D56&amp;"")&lt;&gt;"Por confirmar",TRIM('REFERENCIAS'!D56&amp;"")&lt;&gt;"No consta",TRIM('REFERENCIAS'!D56&amp;"")&lt;&gt;"Desconocido",TRIM('REFERENCIAS'!D56&amp;"")&lt;&gt;"Sin confirmar",TRIM('REFERENCIAS'!D56&amp;"")&lt;&gt;"Por decidir",TRIM('REFERENCIAS'!D56&amp;"")&lt;&gt;"Por comprobar")),Q86&lt;&gt;1,'REFERENCIAS'!$Q$8&lt;&gt;1),2,IF(O86=0,1,IF(P86&gt;0,2,IF(ABS(E86)&gt;0.00000001,2,IF(ABS('REFERENCIAS'!C56-ROUND('REFERENCIAS'!C56,'REFERENCIAS'!$K$8))&gt;0.00000001,1,0)))))),2)</f>
      </c>
      <c r="N86" s="29" t="str">
        <f>'REFERENCIAS'!R56</f>
        <v>ID:</v>
      </c>
      <c r="O86" s="29" t="n">
        <f>COUNTIFS('DATOS'!$R$10:$R$509,N86)</f>
        <v>498</v>
      </c>
      <c r="P86" s="29" t="n">
        <f>COUNTIFS('AVISOS'!$U$10:$U$509,N86,'AVISOS'!$O$10:$O$509,2)</f>
        <v>0</v>
      </c>
      <c r="Q86" s="29" t="n">
        <f>COUNTIFS('REFERENCIAS'!$R$15:$R$64,N86)</f>
        <v>49</v>
      </c>
    </row>
    <row r="87" ht="40" customHeight="1">
      <c r="B87" s="26">
        <f>IF(AND(COUNTA('REFERENCIAS'!B57:D57)&gt;0,AND(LEN(TRIM('REFERENCIAS'!B57&amp;""))&gt;0,TRIM('REFERENCIAS'!B57&amp;"")&lt;&gt;"Pendiente",TRIM('REFERENCIAS'!B57&amp;"")&lt;&gt;"Por confirmar",TRIM('REFERENCIAS'!B57&amp;"")&lt;&gt;"No consta",TRIM('REFERENCIAS'!B57&amp;"")&lt;&gt;"Desconocido",TRIM('REFERENCIAS'!B57&amp;"")&lt;&gt;"Sin confirmar",TRIM('REFERENCIAS'!B57&amp;"")&lt;&gt;"Por decidir",TRIM('REFERENCIAS'!B57&amp;"")&lt;&gt;"Por comprobar")),'REFERENCIAS'!B57,"")</f>
      </c>
      <c r="C87" s="32">
        <f>IF(AND(COUNTA('REFERENCIAS'!B57:D57)&gt;0,O87&gt;0,P87=0,'REFERENCIAS'!$Q$8=1),SUMIFS('DATOS'!$P$10:$P$509,'DATOS'!$R$10:$R$509,N87),"")</f>
      </c>
      <c r="D87" s="32">
        <f>IF(AND(COUNTA('REFERENCIAS'!B57:D57)&gt;0,ISNUMBER('REFERENCIAS'!C57)),'REFERENCIAS'!C57,"")</f>
      </c>
      <c r="E87" s="32">
        <f>IF(AND(ISNUMBER(C87),ISNUMBER(D87)),C87-ROUND(D87,'REFERENCIAS'!$K$8),"")</f>
      </c>
      <c r="F87" s="26">
        <f>IF(NOT(ISNUMBER(M87)),"",IF(M87=2,"ROJO",IF(M87=1,"ÁMBAR","VERDE")))</f>
      </c>
      <c r="G87" s="26">
        <f>IF(AND(COUNTA('REFERENCIAS'!B57:D57)&gt;0,AND(LEN(TRIM('REFERENCIAS'!D57&amp;""))&gt;0,TRIM('REFERENCIAS'!D57&amp;"")&lt;&gt;"Pendiente",TRIM('REFERENCIAS'!D57&amp;"")&lt;&gt;"Por confirmar",TRIM('REFERENCIAS'!D57&amp;"")&lt;&gt;"No consta",TRIM('REFERENCIAS'!D57&amp;"")&lt;&gt;"Desconocido",TRIM('REFERENCIAS'!D57&amp;"")&lt;&gt;"Sin confirmar",TRIM('REFERENCIAS'!D57&amp;"")&lt;&gt;"Por decidir",TRIM('REFERENCIAS'!D57&amp;"")&lt;&gt;"Por comprobar")),'REFERENCIAS'!D57,"")</f>
      </c>
      <c r="H87" s="26"/>
      <c r="I87" s="26"/>
      <c r="J87" s="26"/>
      <c r="K87" s="26"/>
      <c r="L87" s="26"/>
      <c r="M87" s="29">
        <f>IFERROR(IF(NOT(COUNTA('REFERENCIAS'!B57:D57)&gt;0),"",IF(OR(NOT(AND(LEN(TRIM('REFERENCIAS'!B57&amp;""))&gt;0,TRIM('REFERENCIAS'!B57&amp;"")&lt;&gt;"Pendiente",TRIM('REFERENCIAS'!B57&amp;"")&lt;&gt;"Por confirmar",TRIM('REFERENCIAS'!B57&amp;"")&lt;&gt;"No consta",TRIM('REFERENCIAS'!B57&amp;"")&lt;&gt;"Desconocido",TRIM('REFERENCIAS'!B57&amp;"")&lt;&gt;"Sin confirmar",TRIM('REFERENCIAS'!B57&amp;"")&lt;&gt;"Por decidir",TRIM('REFERENCIAS'!B57&amp;"")&lt;&gt;"Por comprobar")),NOT(ISNUMBER('REFERENCIAS'!C57)),NOT(AND(LEN(TRIM('REFERENCIAS'!D57&amp;""))&gt;0,TRIM('REFERENCIAS'!D57&amp;"")&lt;&gt;"Pendiente",TRIM('REFERENCIAS'!D57&amp;"")&lt;&gt;"Por confirmar",TRIM('REFERENCIAS'!D57&amp;"")&lt;&gt;"No consta",TRIM('REFERENCIAS'!D57&amp;"")&lt;&gt;"Desconocido",TRIM('REFERENCIAS'!D57&amp;"")&lt;&gt;"Sin confirmar",TRIM('REFERENCIAS'!D57&amp;"")&lt;&gt;"Por decidir",TRIM('REFERENCIAS'!D57&amp;"")&lt;&gt;"Por comprobar")),Q87&lt;&gt;1,'REFERENCIAS'!$Q$8&lt;&gt;1),2,IF(O87=0,1,IF(P87&gt;0,2,IF(ABS(E87)&gt;0.00000001,2,IF(ABS('REFERENCIAS'!C57-ROUND('REFERENCIAS'!C57,'REFERENCIAS'!$K$8))&gt;0.00000001,1,0)))))),2)</f>
      </c>
      <c r="N87" s="29" t="str">
        <f>'REFERENCIAS'!R57</f>
        <v>ID:</v>
      </c>
      <c r="O87" s="29" t="n">
        <f>COUNTIFS('DATOS'!$R$10:$R$509,N87)</f>
        <v>498</v>
      </c>
      <c r="P87" s="29" t="n">
        <f>COUNTIFS('AVISOS'!$U$10:$U$509,N87,'AVISOS'!$O$10:$O$509,2)</f>
        <v>0</v>
      </c>
      <c r="Q87" s="29" t="n">
        <f>COUNTIFS('REFERENCIAS'!$R$15:$R$64,N87)</f>
        <v>49</v>
      </c>
    </row>
    <row r="88" ht="40" customHeight="1">
      <c r="B88" s="26">
        <f>IF(AND(COUNTA('REFERENCIAS'!B58:D58)&gt;0,AND(LEN(TRIM('REFERENCIAS'!B58&amp;""))&gt;0,TRIM('REFERENCIAS'!B58&amp;"")&lt;&gt;"Pendiente",TRIM('REFERENCIAS'!B58&amp;"")&lt;&gt;"Por confirmar",TRIM('REFERENCIAS'!B58&amp;"")&lt;&gt;"No consta",TRIM('REFERENCIAS'!B58&amp;"")&lt;&gt;"Desconocido",TRIM('REFERENCIAS'!B58&amp;"")&lt;&gt;"Sin confirmar",TRIM('REFERENCIAS'!B58&amp;"")&lt;&gt;"Por decidir",TRIM('REFERENCIAS'!B58&amp;"")&lt;&gt;"Por comprobar")),'REFERENCIAS'!B58,"")</f>
      </c>
      <c r="C88" s="32">
        <f>IF(AND(COUNTA('REFERENCIAS'!B58:D58)&gt;0,O88&gt;0,P88=0,'REFERENCIAS'!$Q$8=1),SUMIFS('DATOS'!$P$10:$P$509,'DATOS'!$R$10:$R$509,N88),"")</f>
      </c>
      <c r="D88" s="32">
        <f>IF(AND(COUNTA('REFERENCIAS'!B58:D58)&gt;0,ISNUMBER('REFERENCIAS'!C58)),'REFERENCIAS'!C58,"")</f>
      </c>
      <c r="E88" s="32">
        <f>IF(AND(ISNUMBER(C88),ISNUMBER(D88)),C88-ROUND(D88,'REFERENCIAS'!$K$8),"")</f>
      </c>
      <c r="F88" s="26">
        <f>IF(NOT(ISNUMBER(M88)),"",IF(M88=2,"ROJO",IF(M88=1,"ÁMBAR","VERDE")))</f>
      </c>
      <c r="G88" s="26">
        <f>IF(AND(COUNTA('REFERENCIAS'!B58:D58)&gt;0,AND(LEN(TRIM('REFERENCIAS'!D58&amp;""))&gt;0,TRIM('REFERENCIAS'!D58&amp;"")&lt;&gt;"Pendiente",TRIM('REFERENCIAS'!D58&amp;"")&lt;&gt;"Por confirmar",TRIM('REFERENCIAS'!D58&amp;"")&lt;&gt;"No consta",TRIM('REFERENCIAS'!D58&amp;"")&lt;&gt;"Desconocido",TRIM('REFERENCIAS'!D58&amp;"")&lt;&gt;"Sin confirmar",TRIM('REFERENCIAS'!D58&amp;"")&lt;&gt;"Por decidir",TRIM('REFERENCIAS'!D58&amp;"")&lt;&gt;"Por comprobar")),'REFERENCIAS'!D58,"")</f>
      </c>
      <c r="H88" s="26"/>
      <c r="I88" s="26"/>
      <c r="J88" s="26"/>
      <c r="K88" s="26"/>
      <c r="L88" s="26"/>
      <c r="M88" s="29">
        <f>IFERROR(IF(NOT(COUNTA('REFERENCIAS'!B58:D58)&gt;0),"",IF(OR(NOT(AND(LEN(TRIM('REFERENCIAS'!B58&amp;""))&gt;0,TRIM('REFERENCIAS'!B58&amp;"")&lt;&gt;"Pendiente",TRIM('REFERENCIAS'!B58&amp;"")&lt;&gt;"Por confirmar",TRIM('REFERENCIAS'!B58&amp;"")&lt;&gt;"No consta",TRIM('REFERENCIAS'!B58&amp;"")&lt;&gt;"Desconocido",TRIM('REFERENCIAS'!B58&amp;"")&lt;&gt;"Sin confirmar",TRIM('REFERENCIAS'!B58&amp;"")&lt;&gt;"Por decidir",TRIM('REFERENCIAS'!B58&amp;"")&lt;&gt;"Por comprobar")),NOT(ISNUMBER('REFERENCIAS'!C58)),NOT(AND(LEN(TRIM('REFERENCIAS'!D58&amp;""))&gt;0,TRIM('REFERENCIAS'!D58&amp;"")&lt;&gt;"Pendiente",TRIM('REFERENCIAS'!D58&amp;"")&lt;&gt;"Por confirmar",TRIM('REFERENCIAS'!D58&amp;"")&lt;&gt;"No consta",TRIM('REFERENCIAS'!D58&amp;"")&lt;&gt;"Desconocido",TRIM('REFERENCIAS'!D58&amp;"")&lt;&gt;"Sin confirmar",TRIM('REFERENCIAS'!D58&amp;"")&lt;&gt;"Por decidir",TRIM('REFERENCIAS'!D58&amp;"")&lt;&gt;"Por comprobar")),Q88&lt;&gt;1,'REFERENCIAS'!$Q$8&lt;&gt;1),2,IF(O88=0,1,IF(P88&gt;0,2,IF(ABS(E88)&gt;0.00000001,2,IF(ABS('REFERENCIAS'!C58-ROUND('REFERENCIAS'!C58,'REFERENCIAS'!$K$8))&gt;0.00000001,1,0)))))),2)</f>
      </c>
      <c r="N88" s="29" t="str">
        <f>'REFERENCIAS'!R58</f>
        <v>ID:</v>
      </c>
      <c r="O88" s="29" t="n">
        <f>COUNTIFS('DATOS'!$R$10:$R$509,N88)</f>
        <v>498</v>
      </c>
      <c r="P88" s="29" t="n">
        <f>COUNTIFS('AVISOS'!$U$10:$U$509,N88,'AVISOS'!$O$10:$O$509,2)</f>
        <v>0</v>
      </c>
      <c r="Q88" s="29" t="n">
        <f>COUNTIFS('REFERENCIAS'!$R$15:$R$64,N88)</f>
        <v>49</v>
      </c>
    </row>
    <row r="89" ht="40" customHeight="1">
      <c r="B89" s="26">
        <f>IF(AND(COUNTA('REFERENCIAS'!B59:D59)&gt;0,AND(LEN(TRIM('REFERENCIAS'!B59&amp;""))&gt;0,TRIM('REFERENCIAS'!B59&amp;"")&lt;&gt;"Pendiente",TRIM('REFERENCIAS'!B59&amp;"")&lt;&gt;"Por confirmar",TRIM('REFERENCIAS'!B59&amp;"")&lt;&gt;"No consta",TRIM('REFERENCIAS'!B59&amp;"")&lt;&gt;"Desconocido",TRIM('REFERENCIAS'!B59&amp;"")&lt;&gt;"Sin confirmar",TRIM('REFERENCIAS'!B59&amp;"")&lt;&gt;"Por decidir",TRIM('REFERENCIAS'!B59&amp;"")&lt;&gt;"Por comprobar")),'REFERENCIAS'!B59,"")</f>
      </c>
      <c r="C89" s="32">
        <f>IF(AND(COUNTA('REFERENCIAS'!B59:D59)&gt;0,O89&gt;0,P89=0,'REFERENCIAS'!$Q$8=1),SUMIFS('DATOS'!$P$10:$P$509,'DATOS'!$R$10:$R$509,N89),"")</f>
      </c>
      <c r="D89" s="32">
        <f>IF(AND(COUNTA('REFERENCIAS'!B59:D59)&gt;0,ISNUMBER('REFERENCIAS'!C59)),'REFERENCIAS'!C59,"")</f>
      </c>
      <c r="E89" s="32">
        <f>IF(AND(ISNUMBER(C89),ISNUMBER(D89)),C89-ROUND(D89,'REFERENCIAS'!$K$8),"")</f>
      </c>
      <c r="F89" s="26">
        <f>IF(NOT(ISNUMBER(M89)),"",IF(M89=2,"ROJO",IF(M89=1,"ÁMBAR","VERDE")))</f>
      </c>
      <c r="G89" s="26">
        <f>IF(AND(COUNTA('REFERENCIAS'!B59:D59)&gt;0,AND(LEN(TRIM('REFERENCIAS'!D59&amp;""))&gt;0,TRIM('REFERENCIAS'!D59&amp;"")&lt;&gt;"Pendiente",TRIM('REFERENCIAS'!D59&amp;"")&lt;&gt;"Por confirmar",TRIM('REFERENCIAS'!D59&amp;"")&lt;&gt;"No consta",TRIM('REFERENCIAS'!D59&amp;"")&lt;&gt;"Desconocido",TRIM('REFERENCIAS'!D59&amp;"")&lt;&gt;"Sin confirmar",TRIM('REFERENCIAS'!D59&amp;"")&lt;&gt;"Por decidir",TRIM('REFERENCIAS'!D59&amp;"")&lt;&gt;"Por comprobar")),'REFERENCIAS'!D59,"")</f>
      </c>
      <c r="H89" s="26"/>
      <c r="I89" s="26"/>
      <c r="J89" s="26"/>
      <c r="K89" s="26"/>
      <c r="L89" s="26"/>
      <c r="M89" s="29">
        <f>IFERROR(IF(NOT(COUNTA('REFERENCIAS'!B59:D59)&gt;0),"",IF(OR(NOT(AND(LEN(TRIM('REFERENCIAS'!B59&amp;""))&gt;0,TRIM('REFERENCIAS'!B59&amp;"")&lt;&gt;"Pendiente",TRIM('REFERENCIAS'!B59&amp;"")&lt;&gt;"Por confirmar",TRIM('REFERENCIAS'!B59&amp;"")&lt;&gt;"No consta",TRIM('REFERENCIAS'!B59&amp;"")&lt;&gt;"Desconocido",TRIM('REFERENCIAS'!B59&amp;"")&lt;&gt;"Sin confirmar",TRIM('REFERENCIAS'!B59&amp;"")&lt;&gt;"Por decidir",TRIM('REFERENCIAS'!B59&amp;"")&lt;&gt;"Por comprobar")),NOT(ISNUMBER('REFERENCIAS'!C59)),NOT(AND(LEN(TRIM('REFERENCIAS'!D59&amp;""))&gt;0,TRIM('REFERENCIAS'!D59&amp;"")&lt;&gt;"Pendiente",TRIM('REFERENCIAS'!D59&amp;"")&lt;&gt;"Por confirmar",TRIM('REFERENCIAS'!D59&amp;"")&lt;&gt;"No consta",TRIM('REFERENCIAS'!D59&amp;"")&lt;&gt;"Desconocido",TRIM('REFERENCIAS'!D59&amp;"")&lt;&gt;"Sin confirmar",TRIM('REFERENCIAS'!D59&amp;"")&lt;&gt;"Por decidir",TRIM('REFERENCIAS'!D59&amp;"")&lt;&gt;"Por comprobar")),Q89&lt;&gt;1,'REFERENCIAS'!$Q$8&lt;&gt;1),2,IF(O89=0,1,IF(P89&gt;0,2,IF(ABS(E89)&gt;0.00000001,2,IF(ABS('REFERENCIAS'!C59-ROUND('REFERENCIAS'!C59,'REFERENCIAS'!$K$8))&gt;0.00000001,1,0)))))),2)</f>
      </c>
      <c r="N89" s="29" t="str">
        <f>'REFERENCIAS'!R59</f>
        <v>ID:</v>
      </c>
      <c r="O89" s="29" t="n">
        <f>COUNTIFS('DATOS'!$R$10:$R$509,N89)</f>
        <v>498</v>
      </c>
      <c r="P89" s="29" t="n">
        <f>COUNTIFS('AVISOS'!$U$10:$U$509,N89,'AVISOS'!$O$10:$O$509,2)</f>
        <v>0</v>
      </c>
      <c r="Q89" s="29" t="n">
        <f>COUNTIFS('REFERENCIAS'!$R$15:$R$64,N89)</f>
        <v>49</v>
      </c>
    </row>
    <row r="90" ht="40" customHeight="1">
      <c r="B90" s="26">
        <f>IF(AND(COUNTA('REFERENCIAS'!B60:D60)&gt;0,AND(LEN(TRIM('REFERENCIAS'!B60&amp;""))&gt;0,TRIM('REFERENCIAS'!B60&amp;"")&lt;&gt;"Pendiente",TRIM('REFERENCIAS'!B60&amp;"")&lt;&gt;"Por confirmar",TRIM('REFERENCIAS'!B60&amp;"")&lt;&gt;"No consta",TRIM('REFERENCIAS'!B60&amp;"")&lt;&gt;"Desconocido",TRIM('REFERENCIAS'!B60&amp;"")&lt;&gt;"Sin confirmar",TRIM('REFERENCIAS'!B60&amp;"")&lt;&gt;"Por decidir",TRIM('REFERENCIAS'!B60&amp;"")&lt;&gt;"Por comprobar")),'REFERENCIAS'!B60,"")</f>
      </c>
      <c r="C90" s="32">
        <f>IF(AND(COUNTA('REFERENCIAS'!B60:D60)&gt;0,O90&gt;0,P90=0,'REFERENCIAS'!$Q$8=1),SUMIFS('DATOS'!$P$10:$P$509,'DATOS'!$R$10:$R$509,N90),"")</f>
      </c>
      <c r="D90" s="32">
        <f>IF(AND(COUNTA('REFERENCIAS'!B60:D60)&gt;0,ISNUMBER('REFERENCIAS'!C60)),'REFERENCIAS'!C60,"")</f>
      </c>
      <c r="E90" s="32">
        <f>IF(AND(ISNUMBER(C90),ISNUMBER(D90)),C90-ROUND(D90,'REFERENCIAS'!$K$8),"")</f>
      </c>
      <c r="F90" s="26">
        <f>IF(NOT(ISNUMBER(M90)),"",IF(M90=2,"ROJO",IF(M90=1,"ÁMBAR","VERDE")))</f>
      </c>
      <c r="G90" s="26">
        <f>IF(AND(COUNTA('REFERENCIAS'!B60:D60)&gt;0,AND(LEN(TRIM('REFERENCIAS'!D60&amp;""))&gt;0,TRIM('REFERENCIAS'!D60&amp;"")&lt;&gt;"Pendiente",TRIM('REFERENCIAS'!D60&amp;"")&lt;&gt;"Por confirmar",TRIM('REFERENCIAS'!D60&amp;"")&lt;&gt;"No consta",TRIM('REFERENCIAS'!D60&amp;"")&lt;&gt;"Desconocido",TRIM('REFERENCIAS'!D60&amp;"")&lt;&gt;"Sin confirmar",TRIM('REFERENCIAS'!D60&amp;"")&lt;&gt;"Por decidir",TRIM('REFERENCIAS'!D60&amp;"")&lt;&gt;"Por comprobar")),'REFERENCIAS'!D60,"")</f>
      </c>
      <c r="H90" s="26"/>
      <c r="I90" s="26"/>
      <c r="J90" s="26"/>
      <c r="K90" s="26"/>
      <c r="L90" s="26"/>
      <c r="M90" s="29">
        <f>IFERROR(IF(NOT(COUNTA('REFERENCIAS'!B60:D60)&gt;0),"",IF(OR(NOT(AND(LEN(TRIM('REFERENCIAS'!B60&amp;""))&gt;0,TRIM('REFERENCIAS'!B60&amp;"")&lt;&gt;"Pendiente",TRIM('REFERENCIAS'!B60&amp;"")&lt;&gt;"Por confirmar",TRIM('REFERENCIAS'!B60&amp;"")&lt;&gt;"No consta",TRIM('REFERENCIAS'!B60&amp;"")&lt;&gt;"Desconocido",TRIM('REFERENCIAS'!B60&amp;"")&lt;&gt;"Sin confirmar",TRIM('REFERENCIAS'!B60&amp;"")&lt;&gt;"Por decidir",TRIM('REFERENCIAS'!B60&amp;"")&lt;&gt;"Por comprobar")),NOT(ISNUMBER('REFERENCIAS'!C60)),NOT(AND(LEN(TRIM('REFERENCIAS'!D60&amp;""))&gt;0,TRIM('REFERENCIAS'!D60&amp;"")&lt;&gt;"Pendiente",TRIM('REFERENCIAS'!D60&amp;"")&lt;&gt;"Por confirmar",TRIM('REFERENCIAS'!D60&amp;"")&lt;&gt;"No consta",TRIM('REFERENCIAS'!D60&amp;"")&lt;&gt;"Desconocido",TRIM('REFERENCIAS'!D60&amp;"")&lt;&gt;"Sin confirmar",TRIM('REFERENCIAS'!D60&amp;"")&lt;&gt;"Por decidir",TRIM('REFERENCIAS'!D60&amp;"")&lt;&gt;"Por comprobar")),Q90&lt;&gt;1,'REFERENCIAS'!$Q$8&lt;&gt;1),2,IF(O90=0,1,IF(P90&gt;0,2,IF(ABS(E90)&gt;0.00000001,2,IF(ABS('REFERENCIAS'!C60-ROUND('REFERENCIAS'!C60,'REFERENCIAS'!$K$8))&gt;0.00000001,1,0)))))),2)</f>
      </c>
      <c r="N90" s="29" t="str">
        <f>'REFERENCIAS'!R60</f>
        <v>ID:</v>
      </c>
      <c r="O90" s="29" t="n">
        <f>COUNTIFS('DATOS'!$R$10:$R$509,N90)</f>
        <v>498</v>
      </c>
      <c r="P90" s="29" t="n">
        <f>COUNTIFS('AVISOS'!$U$10:$U$509,N90,'AVISOS'!$O$10:$O$509,2)</f>
        <v>0</v>
      </c>
      <c r="Q90" s="29" t="n">
        <f>COUNTIFS('REFERENCIAS'!$R$15:$R$64,N90)</f>
        <v>49</v>
      </c>
    </row>
    <row r="91" ht="40" customHeight="1">
      <c r="B91" s="26">
        <f>IF(AND(COUNTA('REFERENCIAS'!B61:D61)&gt;0,AND(LEN(TRIM('REFERENCIAS'!B61&amp;""))&gt;0,TRIM('REFERENCIAS'!B61&amp;"")&lt;&gt;"Pendiente",TRIM('REFERENCIAS'!B61&amp;"")&lt;&gt;"Por confirmar",TRIM('REFERENCIAS'!B61&amp;"")&lt;&gt;"No consta",TRIM('REFERENCIAS'!B61&amp;"")&lt;&gt;"Desconocido",TRIM('REFERENCIAS'!B61&amp;"")&lt;&gt;"Sin confirmar",TRIM('REFERENCIAS'!B61&amp;"")&lt;&gt;"Por decidir",TRIM('REFERENCIAS'!B61&amp;"")&lt;&gt;"Por comprobar")),'REFERENCIAS'!B61,"")</f>
      </c>
      <c r="C91" s="32">
        <f>IF(AND(COUNTA('REFERENCIAS'!B61:D61)&gt;0,O91&gt;0,P91=0,'REFERENCIAS'!$Q$8=1),SUMIFS('DATOS'!$P$10:$P$509,'DATOS'!$R$10:$R$509,N91),"")</f>
      </c>
      <c r="D91" s="32">
        <f>IF(AND(COUNTA('REFERENCIAS'!B61:D61)&gt;0,ISNUMBER('REFERENCIAS'!C61)),'REFERENCIAS'!C61,"")</f>
      </c>
      <c r="E91" s="32">
        <f>IF(AND(ISNUMBER(C91),ISNUMBER(D91)),C91-ROUND(D91,'REFERENCIAS'!$K$8),"")</f>
      </c>
      <c r="F91" s="26">
        <f>IF(NOT(ISNUMBER(M91)),"",IF(M91=2,"ROJO",IF(M91=1,"ÁMBAR","VERDE")))</f>
      </c>
      <c r="G91" s="26">
        <f>IF(AND(COUNTA('REFERENCIAS'!B61:D61)&gt;0,AND(LEN(TRIM('REFERENCIAS'!D61&amp;""))&gt;0,TRIM('REFERENCIAS'!D61&amp;"")&lt;&gt;"Pendiente",TRIM('REFERENCIAS'!D61&amp;"")&lt;&gt;"Por confirmar",TRIM('REFERENCIAS'!D61&amp;"")&lt;&gt;"No consta",TRIM('REFERENCIAS'!D61&amp;"")&lt;&gt;"Desconocido",TRIM('REFERENCIAS'!D61&amp;"")&lt;&gt;"Sin confirmar",TRIM('REFERENCIAS'!D61&amp;"")&lt;&gt;"Por decidir",TRIM('REFERENCIAS'!D61&amp;"")&lt;&gt;"Por comprobar")),'REFERENCIAS'!D61,"")</f>
      </c>
      <c r="H91" s="26"/>
      <c r="I91" s="26"/>
      <c r="J91" s="26"/>
      <c r="K91" s="26"/>
      <c r="L91" s="26"/>
      <c r="M91" s="29">
        <f>IFERROR(IF(NOT(COUNTA('REFERENCIAS'!B61:D61)&gt;0),"",IF(OR(NOT(AND(LEN(TRIM('REFERENCIAS'!B61&amp;""))&gt;0,TRIM('REFERENCIAS'!B61&amp;"")&lt;&gt;"Pendiente",TRIM('REFERENCIAS'!B61&amp;"")&lt;&gt;"Por confirmar",TRIM('REFERENCIAS'!B61&amp;"")&lt;&gt;"No consta",TRIM('REFERENCIAS'!B61&amp;"")&lt;&gt;"Desconocido",TRIM('REFERENCIAS'!B61&amp;"")&lt;&gt;"Sin confirmar",TRIM('REFERENCIAS'!B61&amp;"")&lt;&gt;"Por decidir",TRIM('REFERENCIAS'!B61&amp;"")&lt;&gt;"Por comprobar")),NOT(ISNUMBER('REFERENCIAS'!C61)),NOT(AND(LEN(TRIM('REFERENCIAS'!D61&amp;""))&gt;0,TRIM('REFERENCIAS'!D61&amp;"")&lt;&gt;"Pendiente",TRIM('REFERENCIAS'!D61&amp;"")&lt;&gt;"Por confirmar",TRIM('REFERENCIAS'!D61&amp;"")&lt;&gt;"No consta",TRIM('REFERENCIAS'!D61&amp;"")&lt;&gt;"Desconocido",TRIM('REFERENCIAS'!D61&amp;"")&lt;&gt;"Sin confirmar",TRIM('REFERENCIAS'!D61&amp;"")&lt;&gt;"Por decidir",TRIM('REFERENCIAS'!D61&amp;"")&lt;&gt;"Por comprobar")),Q91&lt;&gt;1,'REFERENCIAS'!$Q$8&lt;&gt;1),2,IF(O91=0,1,IF(P91&gt;0,2,IF(ABS(E91)&gt;0.00000001,2,IF(ABS('REFERENCIAS'!C61-ROUND('REFERENCIAS'!C61,'REFERENCIAS'!$K$8))&gt;0.00000001,1,0)))))),2)</f>
      </c>
      <c r="N91" s="29" t="str">
        <f>'REFERENCIAS'!R61</f>
        <v>ID:</v>
      </c>
      <c r="O91" s="29" t="n">
        <f>COUNTIFS('DATOS'!$R$10:$R$509,N91)</f>
        <v>498</v>
      </c>
      <c r="P91" s="29" t="n">
        <f>COUNTIFS('AVISOS'!$U$10:$U$509,N91,'AVISOS'!$O$10:$O$509,2)</f>
        <v>0</v>
      </c>
      <c r="Q91" s="29" t="n">
        <f>COUNTIFS('REFERENCIAS'!$R$15:$R$64,N91)</f>
        <v>49</v>
      </c>
    </row>
    <row r="92" ht="40" customHeight="1">
      <c r="B92" s="26">
        <f>IF(AND(COUNTA('REFERENCIAS'!B62:D62)&gt;0,AND(LEN(TRIM('REFERENCIAS'!B62&amp;""))&gt;0,TRIM('REFERENCIAS'!B62&amp;"")&lt;&gt;"Pendiente",TRIM('REFERENCIAS'!B62&amp;"")&lt;&gt;"Por confirmar",TRIM('REFERENCIAS'!B62&amp;"")&lt;&gt;"No consta",TRIM('REFERENCIAS'!B62&amp;"")&lt;&gt;"Desconocido",TRIM('REFERENCIAS'!B62&amp;"")&lt;&gt;"Sin confirmar",TRIM('REFERENCIAS'!B62&amp;"")&lt;&gt;"Por decidir",TRIM('REFERENCIAS'!B62&amp;"")&lt;&gt;"Por comprobar")),'REFERENCIAS'!B62,"")</f>
      </c>
      <c r="C92" s="32">
        <f>IF(AND(COUNTA('REFERENCIAS'!B62:D62)&gt;0,O92&gt;0,P92=0,'REFERENCIAS'!$Q$8=1),SUMIFS('DATOS'!$P$10:$P$509,'DATOS'!$R$10:$R$509,N92),"")</f>
      </c>
      <c r="D92" s="32">
        <f>IF(AND(COUNTA('REFERENCIAS'!B62:D62)&gt;0,ISNUMBER('REFERENCIAS'!C62)),'REFERENCIAS'!C62,"")</f>
      </c>
      <c r="E92" s="32">
        <f>IF(AND(ISNUMBER(C92),ISNUMBER(D92)),C92-ROUND(D92,'REFERENCIAS'!$K$8),"")</f>
      </c>
      <c r="F92" s="26">
        <f>IF(NOT(ISNUMBER(M92)),"",IF(M92=2,"ROJO",IF(M92=1,"ÁMBAR","VERDE")))</f>
      </c>
      <c r="G92" s="26">
        <f>IF(AND(COUNTA('REFERENCIAS'!B62:D62)&gt;0,AND(LEN(TRIM('REFERENCIAS'!D62&amp;""))&gt;0,TRIM('REFERENCIAS'!D62&amp;"")&lt;&gt;"Pendiente",TRIM('REFERENCIAS'!D62&amp;"")&lt;&gt;"Por confirmar",TRIM('REFERENCIAS'!D62&amp;"")&lt;&gt;"No consta",TRIM('REFERENCIAS'!D62&amp;"")&lt;&gt;"Desconocido",TRIM('REFERENCIAS'!D62&amp;"")&lt;&gt;"Sin confirmar",TRIM('REFERENCIAS'!D62&amp;"")&lt;&gt;"Por decidir",TRIM('REFERENCIAS'!D62&amp;"")&lt;&gt;"Por comprobar")),'REFERENCIAS'!D62,"")</f>
      </c>
      <c r="H92" s="26"/>
      <c r="I92" s="26"/>
      <c r="J92" s="26"/>
      <c r="K92" s="26"/>
      <c r="L92" s="26"/>
      <c r="M92" s="29">
        <f>IFERROR(IF(NOT(COUNTA('REFERENCIAS'!B62:D62)&gt;0),"",IF(OR(NOT(AND(LEN(TRIM('REFERENCIAS'!B62&amp;""))&gt;0,TRIM('REFERENCIAS'!B62&amp;"")&lt;&gt;"Pendiente",TRIM('REFERENCIAS'!B62&amp;"")&lt;&gt;"Por confirmar",TRIM('REFERENCIAS'!B62&amp;"")&lt;&gt;"No consta",TRIM('REFERENCIAS'!B62&amp;"")&lt;&gt;"Desconocido",TRIM('REFERENCIAS'!B62&amp;"")&lt;&gt;"Sin confirmar",TRIM('REFERENCIAS'!B62&amp;"")&lt;&gt;"Por decidir",TRIM('REFERENCIAS'!B62&amp;"")&lt;&gt;"Por comprobar")),NOT(ISNUMBER('REFERENCIAS'!C62)),NOT(AND(LEN(TRIM('REFERENCIAS'!D62&amp;""))&gt;0,TRIM('REFERENCIAS'!D62&amp;"")&lt;&gt;"Pendiente",TRIM('REFERENCIAS'!D62&amp;"")&lt;&gt;"Por confirmar",TRIM('REFERENCIAS'!D62&amp;"")&lt;&gt;"No consta",TRIM('REFERENCIAS'!D62&amp;"")&lt;&gt;"Desconocido",TRIM('REFERENCIAS'!D62&amp;"")&lt;&gt;"Sin confirmar",TRIM('REFERENCIAS'!D62&amp;"")&lt;&gt;"Por decidir",TRIM('REFERENCIAS'!D62&amp;"")&lt;&gt;"Por comprobar")),Q92&lt;&gt;1,'REFERENCIAS'!$Q$8&lt;&gt;1),2,IF(O92=0,1,IF(P92&gt;0,2,IF(ABS(E92)&gt;0.00000001,2,IF(ABS('REFERENCIAS'!C62-ROUND('REFERENCIAS'!C62,'REFERENCIAS'!$K$8))&gt;0.00000001,1,0)))))),2)</f>
      </c>
      <c r="N92" s="29" t="str">
        <f>'REFERENCIAS'!R62</f>
        <v>ID:</v>
      </c>
      <c r="O92" s="29" t="n">
        <f>COUNTIFS('DATOS'!$R$10:$R$509,N92)</f>
        <v>498</v>
      </c>
      <c r="P92" s="29" t="n">
        <f>COUNTIFS('AVISOS'!$U$10:$U$509,N92,'AVISOS'!$O$10:$O$509,2)</f>
        <v>0</v>
      </c>
      <c r="Q92" s="29" t="n">
        <f>COUNTIFS('REFERENCIAS'!$R$15:$R$64,N92)</f>
        <v>49</v>
      </c>
    </row>
    <row r="93" ht="40" customHeight="1">
      <c r="B93" s="26">
        <f>IF(AND(COUNTA('REFERENCIAS'!B63:D63)&gt;0,AND(LEN(TRIM('REFERENCIAS'!B63&amp;""))&gt;0,TRIM('REFERENCIAS'!B63&amp;"")&lt;&gt;"Pendiente",TRIM('REFERENCIAS'!B63&amp;"")&lt;&gt;"Por confirmar",TRIM('REFERENCIAS'!B63&amp;"")&lt;&gt;"No consta",TRIM('REFERENCIAS'!B63&amp;"")&lt;&gt;"Desconocido",TRIM('REFERENCIAS'!B63&amp;"")&lt;&gt;"Sin confirmar",TRIM('REFERENCIAS'!B63&amp;"")&lt;&gt;"Por decidir",TRIM('REFERENCIAS'!B63&amp;"")&lt;&gt;"Por comprobar")),'REFERENCIAS'!B63,"")</f>
      </c>
      <c r="C93" s="32">
        <f>IF(AND(COUNTA('REFERENCIAS'!B63:D63)&gt;0,O93&gt;0,P93=0,'REFERENCIAS'!$Q$8=1),SUMIFS('DATOS'!$P$10:$P$509,'DATOS'!$R$10:$R$509,N93),"")</f>
      </c>
      <c r="D93" s="32">
        <f>IF(AND(COUNTA('REFERENCIAS'!B63:D63)&gt;0,ISNUMBER('REFERENCIAS'!C63)),'REFERENCIAS'!C63,"")</f>
      </c>
      <c r="E93" s="32">
        <f>IF(AND(ISNUMBER(C93),ISNUMBER(D93)),C93-ROUND(D93,'REFERENCIAS'!$K$8),"")</f>
      </c>
      <c r="F93" s="26">
        <f>IF(NOT(ISNUMBER(M93)),"",IF(M93=2,"ROJO",IF(M93=1,"ÁMBAR","VERDE")))</f>
      </c>
      <c r="G93" s="26">
        <f>IF(AND(COUNTA('REFERENCIAS'!B63:D63)&gt;0,AND(LEN(TRIM('REFERENCIAS'!D63&amp;""))&gt;0,TRIM('REFERENCIAS'!D63&amp;"")&lt;&gt;"Pendiente",TRIM('REFERENCIAS'!D63&amp;"")&lt;&gt;"Por confirmar",TRIM('REFERENCIAS'!D63&amp;"")&lt;&gt;"No consta",TRIM('REFERENCIAS'!D63&amp;"")&lt;&gt;"Desconocido",TRIM('REFERENCIAS'!D63&amp;"")&lt;&gt;"Sin confirmar",TRIM('REFERENCIAS'!D63&amp;"")&lt;&gt;"Por decidir",TRIM('REFERENCIAS'!D63&amp;"")&lt;&gt;"Por comprobar")),'REFERENCIAS'!D63,"")</f>
      </c>
      <c r="H93" s="26"/>
      <c r="I93" s="26"/>
      <c r="J93" s="26"/>
      <c r="K93" s="26"/>
      <c r="L93" s="26"/>
      <c r="M93" s="29">
        <f>IFERROR(IF(NOT(COUNTA('REFERENCIAS'!B63:D63)&gt;0),"",IF(OR(NOT(AND(LEN(TRIM('REFERENCIAS'!B63&amp;""))&gt;0,TRIM('REFERENCIAS'!B63&amp;"")&lt;&gt;"Pendiente",TRIM('REFERENCIAS'!B63&amp;"")&lt;&gt;"Por confirmar",TRIM('REFERENCIAS'!B63&amp;"")&lt;&gt;"No consta",TRIM('REFERENCIAS'!B63&amp;"")&lt;&gt;"Desconocido",TRIM('REFERENCIAS'!B63&amp;"")&lt;&gt;"Sin confirmar",TRIM('REFERENCIAS'!B63&amp;"")&lt;&gt;"Por decidir",TRIM('REFERENCIAS'!B63&amp;"")&lt;&gt;"Por comprobar")),NOT(ISNUMBER('REFERENCIAS'!C63)),NOT(AND(LEN(TRIM('REFERENCIAS'!D63&amp;""))&gt;0,TRIM('REFERENCIAS'!D63&amp;"")&lt;&gt;"Pendiente",TRIM('REFERENCIAS'!D63&amp;"")&lt;&gt;"Por confirmar",TRIM('REFERENCIAS'!D63&amp;"")&lt;&gt;"No consta",TRIM('REFERENCIAS'!D63&amp;"")&lt;&gt;"Desconocido",TRIM('REFERENCIAS'!D63&amp;"")&lt;&gt;"Sin confirmar",TRIM('REFERENCIAS'!D63&amp;"")&lt;&gt;"Por decidir",TRIM('REFERENCIAS'!D63&amp;"")&lt;&gt;"Por comprobar")),Q93&lt;&gt;1,'REFERENCIAS'!$Q$8&lt;&gt;1),2,IF(O93=0,1,IF(P93&gt;0,2,IF(ABS(E93)&gt;0.00000001,2,IF(ABS('REFERENCIAS'!C63-ROUND('REFERENCIAS'!C63,'REFERENCIAS'!$K$8))&gt;0.00000001,1,0)))))),2)</f>
      </c>
      <c r="N93" s="29" t="str">
        <f>'REFERENCIAS'!R63</f>
        <v>ID:</v>
      </c>
      <c r="O93" s="29" t="n">
        <f>COUNTIFS('DATOS'!$R$10:$R$509,N93)</f>
        <v>498</v>
      </c>
      <c r="P93" s="29" t="n">
        <f>COUNTIFS('AVISOS'!$U$10:$U$509,N93,'AVISOS'!$O$10:$O$509,2)</f>
        <v>0</v>
      </c>
      <c r="Q93" s="29" t="n">
        <f>COUNTIFS('REFERENCIAS'!$R$15:$R$64,N93)</f>
        <v>49</v>
      </c>
    </row>
    <row r="94" ht="40" customHeight="1">
      <c r="B94" s="26">
        <f>IF(AND(COUNTA('REFERENCIAS'!B64:D64)&gt;0,AND(LEN(TRIM('REFERENCIAS'!B64&amp;""))&gt;0,TRIM('REFERENCIAS'!B64&amp;"")&lt;&gt;"Pendiente",TRIM('REFERENCIAS'!B64&amp;"")&lt;&gt;"Por confirmar",TRIM('REFERENCIAS'!B64&amp;"")&lt;&gt;"No consta",TRIM('REFERENCIAS'!B64&amp;"")&lt;&gt;"Desconocido",TRIM('REFERENCIAS'!B64&amp;"")&lt;&gt;"Sin confirmar",TRIM('REFERENCIAS'!B64&amp;"")&lt;&gt;"Por decidir",TRIM('REFERENCIAS'!B64&amp;"")&lt;&gt;"Por comprobar")),'REFERENCIAS'!B64,"")</f>
      </c>
      <c r="C94" s="32">
        <f>IF(AND(COUNTA('REFERENCIAS'!B64:D64)&gt;0,O94&gt;0,P94=0,'REFERENCIAS'!$Q$8=1),SUMIFS('DATOS'!$P$10:$P$509,'DATOS'!$R$10:$R$509,N94),"")</f>
      </c>
      <c r="D94" s="32">
        <f>IF(AND(COUNTA('REFERENCIAS'!B64:D64)&gt;0,ISNUMBER('REFERENCIAS'!C64)),'REFERENCIAS'!C64,"")</f>
      </c>
      <c r="E94" s="32">
        <f>IF(AND(ISNUMBER(C94),ISNUMBER(D94)),C94-ROUND(D94,'REFERENCIAS'!$K$8),"")</f>
      </c>
      <c r="F94" s="26">
        <f>IF(NOT(ISNUMBER(M94)),"",IF(M94=2,"ROJO",IF(M94=1,"ÁMBAR","VERDE")))</f>
      </c>
      <c r="G94" s="26">
        <f>IF(AND(COUNTA('REFERENCIAS'!B64:D64)&gt;0,AND(LEN(TRIM('REFERENCIAS'!D64&amp;""))&gt;0,TRIM('REFERENCIAS'!D64&amp;"")&lt;&gt;"Pendiente",TRIM('REFERENCIAS'!D64&amp;"")&lt;&gt;"Por confirmar",TRIM('REFERENCIAS'!D64&amp;"")&lt;&gt;"No consta",TRIM('REFERENCIAS'!D64&amp;"")&lt;&gt;"Desconocido",TRIM('REFERENCIAS'!D64&amp;"")&lt;&gt;"Sin confirmar",TRIM('REFERENCIAS'!D64&amp;"")&lt;&gt;"Por decidir",TRIM('REFERENCIAS'!D64&amp;"")&lt;&gt;"Por comprobar")),'REFERENCIAS'!D64,"")</f>
      </c>
      <c r="H94" s="26"/>
      <c r="I94" s="26"/>
      <c r="J94" s="26"/>
      <c r="K94" s="26"/>
      <c r="L94" s="26"/>
      <c r="M94" s="29">
        <f>IFERROR(IF(NOT(COUNTA('REFERENCIAS'!B64:D64)&gt;0),"",IF(OR(NOT(AND(LEN(TRIM('REFERENCIAS'!B64&amp;""))&gt;0,TRIM('REFERENCIAS'!B64&amp;"")&lt;&gt;"Pendiente",TRIM('REFERENCIAS'!B64&amp;"")&lt;&gt;"Por confirmar",TRIM('REFERENCIAS'!B64&amp;"")&lt;&gt;"No consta",TRIM('REFERENCIAS'!B64&amp;"")&lt;&gt;"Desconocido",TRIM('REFERENCIAS'!B64&amp;"")&lt;&gt;"Sin confirmar",TRIM('REFERENCIAS'!B64&amp;"")&lt;&gt;"Por decidir",TRIM('REFERENCIAS'!B64&amp;"")&lt;&gt;"Por comprobar")),NOT(ISNUMBER('REFERENCIAS'!C64)),NOT(AND(LEN(TRIM('REFERENCIAS'!D64&amp;""))&gt;0,TRIM('REFERENCIAS'!D64&amp;"")&lt;&gt;"Pendiente",TRIM('REFERENCIAS'!D64&amp;"")&lt;&gt;"Por confirmar",TRIM('REFERENCIAS'!D64&amp;"")&lt;&gt;"No consta",TRIM('REFERENCIAS'!D64&amp;"")&lt;&gt;"Desconocido",TRIM('REFERENCIAS'!D64&amp;"")&lt;&gt;"Sin confirmar",TRIM('REFERENCIAS'!D64&amp;"")&lt;&gt;"Por decidir",TRIM('REFERENCIAS'!D64&amp;"")&lt;&gt;"Por comprobar")),Q94&lt;&gt;1,'REFERENCIAS'!$Q$8&lt;&gt;1),2,IF(O94=0,1,IF(P94&gt;0,2,IF(ABS(E94)&gt;0.00000001,2,IF(ABS('REFERENCIAS'!C64-ROUND('REFERENCIAS'!C64,'REFERENCIAS'!$K$8))&gt;0.00000001,1,0)))))),2)</f>
      </c>
      <c r="N94" s="29" t="str">
        <f>'REFERENCIAS'!R64</f>
        <v>ID:</v>
      </c>
      <c r="O94" s="29" t="n">
        <f>COUNTIFS('DATOS'!$R$10:$R$509,N94)</f>
        <v>498</v>
      </c>
      <c r="P94" s="29" t="n">
        <f>COUNTIFS('AVISOS'!$U$10:$U$509,N94,'AVISOS'!$O$10:$O$509,2)</f>
        <v>0</v>
      </c>
      <c r="Q94" s="29" t="n">
        <f>COUNTIFS('REFERENCIAS'!$R$15:$R$64,N94)</f>
        <v>49</v>
      </c>
    </row>
    <row r="95" ht="23" customHeight="1">
      <c r="B95" s="23"/>
      <c r="C95" s="23"/>
      <c r="D95" s="23"/>
      <c r="E95" s="23"/>
      <c r="F95" s="23"/>
      <c r="G95" s="23"/>
      <c r="H95" s="23"/>
      <c r="I95" s="23"/>
      <c r="J95" s="23"/>
      <c r="K95" s="23"/>
      <c r="L95" s="23"/>
    </row>
    <row r="96" ht="23" customHeight="1">
      <c r="B96" s="23"/>
      <c r="C96" s="23"/>
      <c r="D96" s="23"/>
      <c r="E96" s="23"/>
      <c r="F96" s="23"/>
      <c r="G96" s="23"/>
      <c r="H96" s="23"/>
      <c r="I96" s="23"/>
      <c r="J96" s="23"/>
      <c r="K96" s="23"/>
      <c r="L96" s="23"/>
    </row>
    <row r="97" ht="23" customHeight="1">
      <c r="B97" s="23"/>
      <c r="C97" s="23"/>
      <c r="D97" s="23"/>
      <c r="E97" s="23"/>
      <c r="F97" s="23"/>
      <c r="G97" s="23"/>
      <c r="H97" s="23"/>
      <c r="I97" s="23"/>
      <c r="J97" s="23"/>
      <c r="K97" s="23"/>
      <c r="L97" s="23"/>
    </row>
    <row r="98" ht="25" customHeight="1">
      <c r="B98" s="33" t="str">
        <v>Cuitó Digital · cuitodigital.com</v>
      </c>
      <c r="C98" s="33"/>
      <c r="D98" s="33"/>
      <c r="E98" s="33"/>
      <c r="F98" s="33"/>
      <c r="G98" s="33"/>
      <c r="H98" s="33"/>
      <c r="I98" s="33"/>
      <c r="J98" s="33"/>
      <c r="K98" s="33"/>
      <c r="L98" s="33"/>
    </row>
    <row r="99" ht="23" customHeight="1">
      <c r="B99" s="23"/>
      <c r="C99" s="23"/>
      <c r="D99" s="23"/>
      <c r="E99" s="23"/>
      <c r="F99" s="23"/>
      <c r="G99" s="23"/>
      <c r="H99" s="23"/>
      <c r="I99" s="23"/>
      <c r="J99" s="23"/>
      <c r="K99" s="23"/>
      <c r="L99" s="23"/>
    </row>
  </sheetData>
  <sheetProtection sheet="1" objects="1" scenarios="1" formatCells="1" formatColumns="0" formatRows="0" insertColumns="1" insertRows="1" deleteColumns="1" deleteRows="1" sort="1" autoFilter="1" selectLockedCells="0" selectUnlockedCells="0"/>
  <mergeCells>
    <mergeCell ref="B2:K3"/>
    <mergeCell ref="B5:L5"/>
    <mergeCell ref="F6:L6"/>
    <mergeCell ref="F7:L7"/>
    <mergeCell ref="F8:L8"/>
    <mergeCell ref="F9:L9"/>
    <mergeCell ref="F10:L10"/>
    <mergeCell ref="F11:L11"/>
    <mergeCell ref="F12:L12"/>
    <mergeCell ref="F13:L13"/>
    <mergeCell ref="B16:L17"/>
    <mergeCell ref="C20:G20"/>
    <mergeCell ref="I20:L20"/>
    <mergeCell ref="C21:G21"/>
    <mergeCell ref="I21:L21"/>
    <mergeCell ref="C22:G22"/>
    <mergeCell ref="I22:L22"/>
    <mergeCell ref="C23:G23"/>
    <mergeCell ref="I23:L23"/>
    <mergeCell ref="C24:G24"/>
    <mergeCell ref="I24:L24"/>
    <mergeCell ref="C25:G25"/>
    <mergeCell ref="I25:L25"/>
    <mergeCell ref="C26:G26"/>
    <mergeCell ref="I26:L26"/>
    <mergeCell ref="C27:G27"/>
    <mergeCell ref="I27:L27"/>
    <mergeCell ref="C28:G28"/>
    <mergeCell ref="I28:L28"/>
    <mergeCell ref="B31:L32"/>
    <mergeCell ref="B35:F35"/>
    <mergeCell ref="H35:K35"/>
    <mergeCell ref="B38:L39"/>
    <mergeCell ref="G44:L44"/>
    <mergeCell ref="G45:L45"/>
    <mergeCell ref="G46:L46"/>
    <mergeCell ref="G47:L47"/>
    <mergeCell ref="G48:L48"/>
    <mergeCell ref="G49:L49"/>
    <mergeCell ref="G50:L50"/>
    <mergeCell ref="G51:L51"/>
    <mergeCell ref="G52:L52"/>
    <mergeCell ref="G53:L53"/>
    <mergeCell ref="G54:L54"/>
    <mergeCell ref="G55:L55"/>
    <mergeCell ref="G56:L56"/>
    <mergeCell ref="G57:L57"/>
    <mergeCell ref="G58:L58"/>
    <mergeCell ref="G59:L59"/>
    <mergeCell ref="G60:L60"/>
    <mergeCell ref="G61:L61"/>
    <mergeCell ref="G62:L62"/>
    <mergeCell ref="G63:L63"/>
    <mergeCell ref="G64:L64"/>
    <mergeCell ref="G65:L65"/>
    <mergeCell ref="G66:L66"/>
    <mergeCell ref="G67:L67"/>
    <mergeCell ref="G68:L68"/>
    <mergeCell ref="G69:L69"/>
    <mergeCell ref="G70:L70"/>
    <mergeCell ref="G71:L71"/>
    <mergeCell ref="G72:L72"/>
    <mergeCell ref="G73:L73"/>
    <mergeCell ref="G74:L74"/>
    <mergeCell ref="G75:L75"/>
    <mergeCell ref="G76:L76"/>
    <mergeCell ref="G77:L77"/>
    <mergeCell ref="G78:L78"/>
    <mergeCell ref="G79:L79"/>
    <mergeCell ref="G80:L80"/>
    <mergeCell ref="G81:L81"/>
    <mergeCell ref="G82:L82"/>
    <mergeCell ref="G83:L83"/>
    <mergeCell ref="G84:L84"/>
    <mergeCell ref="G85:L85"/>
    <mergeCell ref="G86:L86"/>
    <mergeCell ref="G87:L87"/>
    <mergeCell ref="G88:L88"/>
    <mergeCell ref="G89:L89"/>
    <mergeCell ref="G90:L90"/>
    <mergeCell ref="G91:L91"/>
    <mergeCell ref="G92:L92"/>
    <mergeCell ref="G93:L93"/>
    <mergeCell ref="G94:L94"/>
    <mergeCell ref="B98:L98"/>
  </mergeCells>
  <conditionalFormatting sqref="E7:E13">
    <cfRule type="expression" dxfId="18" priority="1">
      <formula>AND(ISNUMBER($M7),$M7=0)</formula>
    </cfRule>
    <cfRule type="expression" dxfId="19" priority="2">
      <formula>AND(ISNUMBER($M7),$M7=1)</formula>
    </cfRule>
    <cfRule type="expression" dxfId="20" priority="3">
      <formula>AND(ISNUMBER($M7),$M7=2)</formula>
    </cfRule>
  </conditionalFormatting>
  <conditionalFormatting sqref="H21:H21">
    <cfRule type="expression" dxfId="21" priority="4">
      <formula>AND(ISNUMBER($M21),$M21=0)</formula>
    </cfRule>
    <cfRule type="expression" dxfId="22" priority="5">
      <formula>AND(ISNUMBER($M21),$M21=1)</formula>
    </cfRule>
    <cfRule type="expression" dxfId="23" priority="6">
      <formula>AND(ISNUMBER($M21),$M21=2)</formula>
    </cfRule>
  </conditionalFormatting>
  <conditionalFormatting sqref="H22:H22">
    <cfRule type="expression" dxfId="24" priority="7">
      <formula>AND(ISNUMBER($M22),$M22=0)</formula>
    </cfRule>
    <cfRule type="expression" dxfId="25" priority="8">
      <formula>AND(ISNUMBER($M22),$M22=1)</formula>
    </cfRule>
    <cfRule type="expression" dxfId="26" priority="9">
      <formula>AND(ISNUMBER($M22),$M22=2)</formula>
    </cfRule>
  </conditionalFormatting>
  <conditionalFormatting sqref="H23:H23">
    <cfRule type="expression" dxfId="27" priority="10">
      <formula>AND(ISNUMBER($M23),$M23=0)</formula>
    </cfRule>
    <cfRule type="expression" dxfId="28" priority="11">
      <formula>AND(ISNUMBER($M23),$M23=1)</formula>
    </cfRule>
    <cfRule type="expression" dxfId="29" priority="12">
      <formula>AND(ISNUMBER($M23),$M23=2)</formula>
    </cfRule>
  </conditionalFormatting>
  <conditionalFormatting sqref="H24:H24">
    <cfRule type="expression" dxfId="30" priority="13">
      <formula>AND(ISNUMBER($M24),$M24=0)</formula>
    </cfRule>
    <cfRule type="expression" dxfId="31" priority="14">
      <formula>AND(ISNUMBER($M24),$M24=1)</formula>
    </cfRule>
    <cfRule type="expression" dxfId="32" priority="15">
      <formula>AND(ISNUMBER($M24),$M24=2)</formula>
    </cfRule>
  </conditionalFormatting>
  <conditionalFormatting sqref="H25:H25">
    <cfRule type="expression" dxfId="33" priority="16">
      <formula>AND(ISNUMBER($M25),$M25=0)</formula>
    </cfRule>
    <cfRule type="expression" dxfId="34" priority="17">
      <formula>AND(ISNUMBER($M25),$M25=1)</formula>
    </cfRule>
    <cfRule type="expression" dxfId="35" priority="18">
      <formula>AND(ISNUMBER($M25),$M25=2)</formula>
    </cfRule>
  </conditionalFormatting>
  <conditionalFormatting sqref="H26:H26">
    <cfRule type="expression" dxfId="36" priority="19">
      <formula>AND(ISNUMBER($M26),$M26=0)</formula>
    </cfRule>
    <cfRule type="expression" dxfId="37" priority="20">
      <formula>AND(ISNUMBER($M26),$M26=1)</formula>
    </cfRule>
    <cfRule type="expression" dxfId="38" priority="21">
      <formula>AND(ISNUMBER($M26),$M26=2)</formula>
    </cfRule>
  </conditionalFormatting>
  <conditionalFormatting sqref="H27:H27">
    <cfRule type="expression" dxfId="39" priority="22">
      <formula>AND(ISNUMBER($M27),$M27=0)</formula>
    </cfRule>
    <cfRule type="expression" dxfId="40" priority="23">
      <formula>AND(ISNUMBER($M27),$M27=1)</formula>
    </cfRule>
    <cfRule type="expression" dxfId="41" priority="24">
      <formula>AND(ISNUMBER($M27),$M27=2)</formula>
    </cfRule>
  </conditionalFormatting>
  <conditionalFormatting sqref="H28:H28">
    <cfRule type="expression" dxfId="42" priority="25">
      <formula>AND(ISNUMBER($M28),$M28=0)</formula>
    </cfRule>
    <cfRule type="expression" dxfId="43" priority="26">
      <formula>AND(ISNUMBER($M28),$M28=1)</formula>
    </cfRule>
    <cfRule type="expression" dxfId="44" priority="27">
      <formula>AND(ISNUMBER($M28),$M28=2)</formula>
    </cfRule>
  </conditionalFormatting>
  <conditionalFormatting sqref="F45:F94">
    <cfRule type="expression" dxfId="45" priority="28">
      <formula>AND(ISNUMBER($M45),$M45=0)</formula>
    </cfRule>
    <cfRule type="expression" dxfId="46" priority="29">
      <formula>AND(ISNUMBER($M45),$M45=1)</formula>
    </cfRule>
    <cfRule type="expression" dxfId="47" priority="30">
      <formula>AND(ISNUMBER($M45),$M45=2)</formula>
    </cfRule>
  </conditionalFormatting>
  <dataValidations count="1">
    <dataValidation type="list" sqref="H21:H28" showErrorMessage="1" errorStyle="stop" allowBlank="1" errorTitle="Revisamos el dato" error="Elegimos una opción válida. Un dato pendiente no es cero.">
      <formula1>"Pendiente,Comprobado,Corregir,No aplica"</formula1>
    </dataValidation>
  </dataValidations>
  <pageMargins left=".25" right=".25" top=".35" bottom=".35" header=".15" footer=".15"/>
  <pageSetup paperSize="9" orientation="landscape" fitToWidth="1" fitToHeight="0"/>
  <headerFooter>
    <oddFooter>&amp;LCuitó Digital · cuitodigital.com&amp;R&amp;P</oddFooter>
  </headerFooter>
  <drawing r:id="Rf13f5502b03d4dc8"/>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0">
      <pane ySplit="9" topLeftCell="A10" activePane="bottomLeft" state="frozen"/>
    </sheetView>
  </sheetViews>
  <sheetFormatPr defaultRowHeight="15"/>
  <cols>
    <col min="1" max="1" width="3" hidden="0" customWidth="1"/>
    <col min="2" max="2" width="14" hidden="0" customWidth="1"/>
    <col min="3" max="3" width="14" hidden="0" customWidth="1"/>
    <col min="4" max="4" width="49" hidden="0" customWidth="1"/>
    <col min="5" max="5" width="49" hidden="0" customWidth="1"/>
    <col min="6" max="6" width="10" hidden="0" customWidth="1"/>
    <col min="7" max="7" width="17" hidden="0" customWidth="1"/>
    <col min="8" max="8" width="19" hidden="0" customWidth="1"/>
    <col min="9" max="9" width="19" hidden="0" customWidth="1"/>
    <col min="10" max="10" width="19" hidden="0" customWidth="1"/>
    <col min="11" max="11" width="25" hidden="0" customWidth="1"/>
    <col min="12" max="12" width="40" hidden="0" customWidth="1"/>
    <col min="13" max="13" width="19" hidden="0" customWidth="1"/>
    <col min="14" max="14" width="35" hidden="0" customWidth="1"/>
    <col min="15" max="15" width="20" hidden="0" customWidth="1"/>
    <col min="16" max="16" width="23" hidden="0" customWidth="1"/>
    <col min="17" max="17" hidden="1"/>
    <col min="18" max="18" hidden="1"/>
    <col min="19" max="19" hidden="1"/>
  </cols>
  <sheetData>
    <row r="1" ht="23" customHeight="1">
      <c r="B1" s="23"/>
      <c r="C1" s="23"/>
      <c r="D1" s="23"/>
      <c r="E1" s="23"/>
      <c r="F1" s="23"/>
      <c r="G1" s="23"/>
      <c r="H1" s="23"/>
      <c r="I1" s="23"/>
      <c r="J1" s="23"/>
      <c r="K1" s="23"/>
      <c r="L1" s="23"/>
      <c r="M1" s="23"/>
      <c r="N1" s="23"/>
      <c r="O1" s="23"/>
      <c r="P1" s="23"/>
    </row>
    <row r="2" ht="25" customHeight="1">
      <c r="B2" s="24" t="str">
        <v>Partidas de la entrega, sin subtotales</v>
      </c>
      <c r="C2" s="24"/>
      <c r="D2" s="24"/>
      <c r="E2" s="24"/>
      <c r="F2" s="24"/>
      <c r="G2" s="24"/>
      <c r="H2" s="24"/>
      <c r="I2" s="24"/>
      <c r="J2" s="24"/>
      <c r="K2" s="24"/>
      <c r="L2" s="24"/>
      <c r="M2" s="24"/>
      <c r="N2" s="24"/>
      <c r="O2" s="24"/>
      <c r="P2" s="23"/>
    </row>
    <row r="3" ht="25" customHeight="1">
      <c r="B3" s="24"/>
      <c r="C3" s="24"/>
      <c r="D3" s="24"/>
      <c r="E3" s="24"/>
      <c r="F3" s="24"/>
      <c r="G3" s="24"/>
      <c r="H3" s="24"/>
      <c r="I3" s="24"/>
      <c r="J3" s="24"/>
      <c r="K3" s="24"/>
      <c r="L3" s="24"/>
      <c r="M3" s="24"/>
      <c r="N3" s="24"/>
      <c r="O3" s="24"/>
      <c r="P3" s="23"/>
    </row>
    <row r="4" ht="23" customHeight="1">
      <c r="B4" s="25"/>
      <c r="C4" s="25"/>
      <c r="D4" s="25"/>
      <c r="E4" s="25"/>
      <c r="F4" s="25"/>
      <c r="G4" s="25"/>
      <c r="H4" s="25"/>
      <c r="I4" s="25"/>
      <c r="J4" s="25"/>
      <c r="K4" s="25"/>
      <c r="L4" s="25"/>
      <c r="M4" s="25"/>
      <c r="N4" s="25"/>
      <c r="O4" s="25"/>
      <c r="P4" s="25"/>
    </row>
    <row r="5" ht="23" customHeight="1">
      <c r="B5" s="26" t="str">
        <v>2 · Introducimos las partidas. El amarillo es editable. No borramos fórmulas ni ordenamos columnas sueltas. Ajustamos las alturas si un texto largo no cabe; la revisión no lee archivos automáticamente.</v>
      </c>
      <c r="C5" s="26"/>
      <c r="D5" s="26"/>
      <c r="E5" s="26"/>
      <c r="F5" s="26"/>
      <c r="G5" s="26"/>
      <c r="H5" s="26"/>
      <c r="I5" s="26"/>
      <c r="J5" s="26"/>
      <c r="K5" s="26"/>
      <c r="L5" s="26"/>
      <c r="M5" s="26"/>
      <c r="N5" s="26"/>
      <c r="O5" s="26"/>
      <c r="P5" s="26"/>
    </row>
    <row r="6" ht="23" customHeight="1">
      <c r="B6" s="26"/>
      <c r="C6" s="26"/>
      <c r="D6" s="26"/>
      <c r="E6" s="26"/>
      <c r="F6" s="26"/>
      <c r="G6" s="26"/>
      <c r="H6" s="26"/>
      <c r="I6" s="26"/>
      <c r="J6" s="26"/>
      <c r="K6" s="26"/>
      <c r="L6" s="26"/>
      <c r="M6" s="26"/>
      <c r="N6" s="26"/>
      <c r="O6" s="26"/>
      <c r="P6" s="26"/>
    </row>
    <row r="7" ht="23" customHeight="1">
      <c r="B7" s="23"/>
      <c r="C7" s="23"/>
      <c r="D7" s="23"/>
      <c r="E7" s="23"/>
      <c r="F7" s="23"/>
      <c r="G7" s="23"/>
      <c r="H7" s="23"/>
      <c r="I7" s="23"/>
      <c r="J7" s="23"/>
      <c r="K7" s="23"/>
      <c r="L7" s="23"/>
      <c r="M7" s="23"/>
      <c r="N7" s="23"/>
      <c r="O7" s="23"/>
      <c r="P7" s="23"/>
    </row>
    <row r="8" ht="23" customHeight="1">
      <c r="B8" s="23"/>
      <c r="C8" s="23"/>
      <c r="D8" s="23"/>
      <c r="E8" s="23"/>
      <c r="F8" s="23"/>
      <c r="G8" s="23"/>
      <c r="H8" s="23"/>
      <c r="I8" s="23"/>
      <c r="J8" s="23"/>
      <c r="K8" s="23"/>
      <c r="L8" s="23"/>
      <c r="M8" s="23"/>
      <c r="N8" s="23"/>
      <c r="O8" s="23"/>
      <c r="P8" s="23"/>
    </row>
    <row r="9" ht="42" customHeight="1">
      <c r="B9" s="27" t="str">
        <v>Capítulo</v>
      </c>
      <c r="C9" s="27" t="str">
        <v>Código</v>
      </c>
      <c r="D9" s="27" t="str">
        <v>Descripción completa de origen</v>
      </c>
      <c r="E9" s="27" t="str">
        <v>Descripción en entrega</v>
      </c>
      <c r="F9" s="27" t="str">
        <v>Ud</v>
      </c>
      <c r="G9" s="27" t="str">
        <v>Cantidad original</v>
      </c>
      <c r="H9" s="27" t="str">
        <v>Precio detalle</v>
      </c>
      <c r="I9" s="27" t="str">
        <v>Precio otra vista</v>
      </c>
      <c r="J9" s="27" t="str">
        <v>Importe entregado</v>
      </c>
      <c r="K9" s="27" t="str">
        <v>Estado del cero</v>
      </c>
      <c r="L9" s="27" t="str">
        <v>Motivo y referencia de cero o abono</v>
      </c>
      <c r="M9" s="27" t="str">
        <v>Descripción comprobada</v>
      </c>
      <c r="N9" s="27" t="str">
        <v>Documento y localizador</v>
      </c>
      <c r="O9" s="27" t="str">
        <v>Otra vista</v>
      </c>
      <c r="P9" s="27" t="str">
        <v>Importe a la precisión declarada</v>
      </c>
    </row>
    <row r="10" ht="75" customHeight="1">
      <c r="B10" s="31" t="str">
        <v>EJ-01</v>
      </c>
      <c r="C10" s="31" t="str">
        <v>E-01</v>
      </c>
      <c r="D10" s="31" t="str">
        <v>Ejemplo aproximado · replanteo</v>
      </c>
      <c r="E10" s="31" t="str">
        <v>Ejemplo aproximado · replanteo</v>
      </c>
      <c r="F10" s="31" t="str">
        <v>pa</v>
      </c>
      <c r="G10" s="34" t="n">
        <v>1</v>
      </c>
      <c r="H10" s="34" t="n">
        <v>1000</v>
      </c>
      <c r="I10" s="34" t="n">
        <v>1000</v>
      </c>
      <c r="J10" s="34" t="n">
        <v>1000</v>
      </c>
      <c r="K10" s="31"/>
      <c r="L10" s="31"/>
      <c r="M10" s="31"/>
      <c r="N10" s="31" t="str">
        <v>Ejemplo · documento y partida</v>
      </c>
      <c r="O10" s="31" t="str">
        <v>Comparamos</v>
      </c>
      <c r="P10" s="35" t="n">
        <f>IF(AND(ISNUMBER(J10),'REFERENCIAS'!$Q$8=1),ROUND(J10,'REFERENCIAS'!$K$8),"")</f>
        <v>1000</v>
      </c>
      <c r="R10" s="29" t="str">
        <f>"ID:"&amp;SUBSTITUTE(SUBSTITUTE(SUBSTITUTE(SUBSTITUTE(UPPER(TRIM(B10&amp;"")),"!","!E"),"*","!A"),"?","!B"),"~","!C")</f>
        <v>ID:EJ-01</v>
      </c>
      <c r="S10" s="29" t="str">
        <f>"ID:"&amp;SUBSTITUTE(SUBSTITUTE(SUBSTITUTE(SUBSTITUTE(UPPER(TRIM(C10&amp;"")),"!","!E"),"*","!A"),"?","!B"),"~","!C")</f>
        <v>ID:E-01</v>
      </c>
    </row>
    <row r="11" ht="75" customHeight="1">
      <c r="B11" s="31" t="str">
        <v>EJ-01</v>
      </c>
      <c r="C11" s="31" t="str">
        <v>E-02</v>
      </c>
      <c r="D11" s="31" t="str">
        <v>Ejemplo aproximado · conexión de acometidas</v>
      </c>
      <c r="E11" s="31" t="str">
        <v>Ejemplo aproximado · conexión de acometidas</v>
      </c>
      <c r="F11" s="31" t="str">
        <v>pa</v>
      </c>
      <c r="G11" s="34" t="n">
        <v>1</v>
      </c>
      <c r="H11" s="34" t="n">
        <v>2800</v>
      </c>
      <c r="I11" s="34" t="n">
        <v>2800</v>
      </c>
      <c r="J11" s="34" t="n">
        <v>2800</v>
      </c>
      <c r="K11" s="31"/>
      <c r="L11" s="31"/>
      <c r="M11" s="31"/>
      <c r="N11" s="31" t="str">
        <v>Ejemplo · documento y partida</v>
      </c>
      <c r="O11" s="31" t="str">
        <v>Comparamos</v>
      </c>
      <c r="P11" s="35" t="n">
        <f>IF(AND(ISNUMBER(J11),'REFERENCIAS'!$Q$8=1),ROUND(J11,'REFERENCIAS'!$K$8),"")</f>
        <v>2800</v>
      </c>
      <c r="R11" s="29" t="str">
        <f>"ID:"&amp;SUBSTITUTE(SUBSTITUTE(SUBSTITUTE(SUBSTITUTE(UPPER(TRIM(B11&amp;"")),"!","!E"),"*","!A"),"?","!B"),"~","!C")</f>
        <v>ID:EJ-01</v>
      </c>
      <c r="S11" s="29" t="str">
        <f>"ID:"&amp;SUBSTITUTE(SUBSTITUTE(SUBSTITUTE(SUBSTITUTE(UPPER(TRIM(C11&amp;"")),"!","!E"),"*","!A"),"?","!B"),"~","!C")</f>
        <v>ID:E-02</v>
      </c>
    </row>
    <row r="12" ht="75" customHeight="1">
      <c r="B12" s="31"/>
      <c r="C12" s="31"/>
      <c r="D12" s="31"/>
      <c r="E12" s="31"/>
      <c r="F12" s="31"/>
      <c r="G12" s="34"/>
      <c r="H12" s="34"/>
      <c r="I12" s="34"/>
      <c r="J12" s="34"/>
      <c r="K12" s="31"/>
      <c r="L12" s="31"/>
      <c r="M12" s="31"/>
      <c r="N12" s="31"/>
      <c r="O12" s="31"/>
      <c r="P12" s="35">
        <f>IF(AND(ISNUMBER(J12),'REFERENCIAS'!$Q$8=1),ROUND(J12,'REFERENCIAS'!$K$8),"")</f>
      </c>
      <c r="R12" s="29" t="str">
        <f>"ID:"&amp;SUBSTITUTE(SUBSTITUTE(SUBSTITUTE(SUBSTITUTE(UPPER(TRIM(B12&amp;"")),"!","!E"),"*","!A"),"?","!B"),"~","!C")</f>
        <v>ID:</v>
      </c>
      <c r="S12" s="29" t="str">
        <f>"ID:"&amp;SUBSTITUTE(SUBSTITUTE(SUBSTITUTE(SUBSTITUTE(UPPER(TRIM(C12&amp;"")),"!","!E"),"*","!A"),"?","!B"),"~","!C")</f>
        <v>ID:</v>
      </c>
    </row>
    <row r="13" ht="75" customHeight="1">
      <c r="B13" s="31"/>
      <c r="C13" s="31"/>
      <c r="D13" s="31"/>
      <c r="E13" s="31"/>
      <c r="F13" s="31"/>
      <c r="G13" s="34"/>
      <c r="H13" s="34"/>
      <c r="I13" s="34"/>
      <c r="J13" s="34"/>
      <c r="K13" s="31"/>
      <c r="L13" s="31"/>
      <c r="M13" s="31"/>
      <c r="N13" s="31"/>
      <c r="O13" s="31"/>
      <c r="P13" s="35">
        <f>IF(AND(ISNUMBER(J13),'REFERENCIAS'!$Q$8=1),ROUND(J13,'REFERENCIAS'!$K$8),"")</f>
      </c>
      <c r="R13" s="29" t="str">
        <f>"ID:"&amp;SUBSTITUTE(SUBSTITUTE(SUBSTITUTE(SUBSTITUTE(UPPER(TRIM(B13&amp;"")),"!","!E"),"*","!A"),"?","!B"),"~","!C")</f>
        <v>ID:</v>
      </c>
      <c r="S13" s="29" t="str">
        <f>"ID:"&amp;SUBSTITUTE(SUBSTITUTE(SUBSTITUTE(SUBSTITUTE(UPPER(TRIM(C13&amp;"")),"!","!E"),"*","!A"),"?","!B"),"~","!C")</f>
        <v>ID:</v>
      </c>
    </row>
    <row r="14" ht="75" customHeight="1">
      <c r="B14" s="31"/>
      <c r="C14" s="31"/>
      <c r="D14" s="31"/>
      <c r="E14" s="31"/>
      <c r="F14" s="31"/>
      <c r="G14" s="34"/>
      <c r="H14" s="34"/>
      <c r="I14" s="34"/>
      <c r="J14" s="34"/>
      <c r="K14" s="31"/>
      <c r="L14" s="31"/>
      <c r="M14" s="31"/>
      <c r="N14" s="31"/>
      <c r="O14" s="31"/>
      <c r="P14" s="35">
        <f>IF(AND(ISNUMBER(J14),'REFERENCIAS'!$Q$8=1),ROUND(J14,'REFERENCIAS'!$K$8),"")</f>
      </c>
      <c r="R14" s="29" t="str">
        <f>"ID:"&amp;SUBSTITUTE(SUBSTITUTE(SUBSTITUTE(SUBSTITUTE(UPPER(TRIM(B14&amp;"")),"!","!E"),"*","!A"),"?","!B"),"~","!C")</f>
        <v>ID:</v>
      </c>
      <c r="S14" s="29" t="str">
        <f>"ID:"&amp;SUBSTITUTE(SUBSTITUTE(SUBSTITUTE(SUBSTITUTE(UPPER(TRIM(C14&amp;"")),"!","!E"),"*","!A"),"?","!B"),"~","!C")</f>
        <v>ID:</v>
      </c>
    </row>
    <row r="15" ht="75" customHeight="1">
      <c r="B15" s="31"/>
      <c r="C15" s="31"/>
      <c r="D15" s="31"/>
      <c r="E15" s="31"/>
      <c r="F15" s="31"/>
      <c r="G15" s="34"/>
      <c r="H15" s="34"/>
      <c r="I15" s="34"/>
      <c r="J15" s="34"/>
      <c r="K15" s="31"/>
      <c r="L15" s="31"/>
      <c r="M15" s="31"/>
      <c r="N15" s="31"/>
      <c r="O15" s="31"/>
      <c r="P15" s="35">
        <f>IF(AND(ISNUMBER(J15),'REFERENCIAS'!$Q$8=1),ROUND(J15,'REFERENCIAS'!$K$8),"")</f>
      </c>
      <c r="R15" s="29" t="str">
        <f>"ID:"&amp;SUBSTITUTE(SUBSTITUTE(SUBSTITUTE(SUBSTITUTE(UPPER(TRIM(B15&amp;"")),"!","!E"),"*","!A"),"?","!B"),"~","!C")</f>
        <v>ID:</v>
      </c>
      <c r="S15" s="29" t="str">
        <f>"ID:"&amp;SUBSTITUTE(SUBSTITUTE(SUBSTITUTE(SUBSTITUTE(UPPER(TRIM(C15&amp;"")),"!","!E"),"*","!A"),"?","!B"),"~","!C")</f>
        <v>ID:</v>
      </c>
    </row>
    <row r="16" ht="75" customHeight="1">
      <c r="B16" s="31"/>
      <c r="C16" s="31"/>
      <c r="D16" s="31"/>
      <c r="E16" s="31"/>
      <c r="F16" s="31"/>
      <c r="G16" s="34"/>
      <c r="H16" s="34"/>
      <c r="I16" s="34"/>
      <c r="J16" s="34"/>
      <c r="K16" s="31"/>
      <c r="L16" s="31"/>
      <c r="M16" s="31"/>
      <c r="N16" s="31"/>
      <c r="O16" s="31"/>
      <c r="P16" s="35">
        <f>IF(AND(ISNUMBER(J16),'REFERENCIAS'!$Q$8=1),ROUND(J16,'REFERENCIAS'!$K$8),"")</f>
      </c>
      <c r="R16" s="29" t="str">
        <f>"ID:"&amp;SUBSTITUTE(SUBSTITUTE(SUBSTITUTE(SUBSTITUTE(UPPER(TRIM(B16&amp;"")),"!","!E"),"*","!A"),"?","!B"),"~","!C")</f>
        <v>ID:</v>
      </c>
      <c r="S16" s="29" t="str">
        <f>"ID:"&amp;SUBSTITUTE(SUBSTITUTE(SUBSTITUTE(SUBSTITUTE(UPPER(TRIM(C16&amp;"")),"!","!E"),"*","!A"),"?","!B"),"~","!C")</f>
        <v>ID:</v>
      </c>
    </row>
    <row r="17" ht="75" customHeight="1">
      <c r="B17" s="31"/>
      <c r="C17" s="31"/>
      <c r="D17" s="31"/>
      <c r="E17" s="31"/>
      <c r="F17" s="31"/>
      <c r="G17" s="34"/>
      <c r="H17" s="34"/>
      <c r="I17" s="34"/>
      <c r="J17" s="34"/>
      <c r="K17" s="31"/>
      <c r="L17" s="31"/>
      <c r="M17" s="31"/>
      <c r="N17" s="31"/>
      <c r="O17" s="31"/>
      <c r="P17" s="35">
        <f>IF(AND(ISNUMBER(J17),'REFERENCIAS'!$Q$8=1),ROUND(J17,'REFERENCIAS'!$K$8),"")</f>
      </c>
      <c r="R17" s="29" t="str">
        <f>"ID:"&amp;SUBSTITUTE(SUBSTITUTE(SUBSTITUTE(SUBSTITUTE(UPPER(TRIM(B17&amp;"")),"!","!E"),"*","!A"),"?","!B"),"~","!C")</f>
        <v>ID:</v>
      </c>
      <c r="S17" s="29" t="str">
        <f>"ID:"&amp;SUBSTITUTE(SUBSTITUTE(SUBSTITUTE(SUBSTITUTE(UPPER(TRIM(C17&amp;"")),"!","!E"),"*","!A"),"?","!B"),"~","!C")</f>
        <v>ID:</v>
      </c>
    </row>
    <row r="18" ht="75" customHeight="1">
      <c r="B18" s="31"/>
      <c r="C18" s="31"/>
      <c r="D18" s="31"/>
      <c r="E18" s="31"/>
      <c r="F18" s="31"/>
      <c r="G18" s="34"/>
      <c r="H18" s="34"/>
      <c r="I18" s="34"/>
      <c r="J18" s="34"/>
      <c r="K18" s="31"/>
      <c r="L18" s="31"/>
      <c r="M18" s="31"/>
      <c r="N18" s="31"/>
      <c r="O18" s="31"/>
      <c r="P18" s="35">
        <f>IF(AND(ISNUMBER(J18),'REFERENCIAS'!$Q$8=1),ROUND(J18,'REFERENCIAS'!$K$8),"")</f>
      </c>
      <c r="R18" s="29" t="str">
        <f>"ID:"&amp;SUBSTITUTE(SUBSTITUTE(SUBSTITUTE(SUBSTITUTE(UPPER(TRIM(B18&amp;"")),"!","!E"),"*","!A"),"?","!B"),"~","!C")</f>
        <v>ID:</v>
      </c>
      <c r="S18" s="29" t="str">
        <f>"ID:"&amp;SUBSTITUTE(SUBSTITUTE(SUBSTITUTE(SUBSTITUTE(UPPER(TRIM(C18&amp;"")),"!","!E"),"*","!A"),"?","!B"),"~","!C")</f>
        <v>ID:</v>
      </c>
    </row>
    <row r="19" ht="75" customHeight="1">
      <c r="B19" s="31"/>
      <c r="C19" s="31"/>
      <c r="D19" s="31"/>
      <c r="E19" s="31"/>
      <c r="F19" s="31"/>
      <c r="G19" s="34"/>
      <c r="H19" s="34"/>
      <c r="I19" s="34"/>
      <c r="J19" s="34"/>
      <c r="K19" s="31"/>
      <c r="L19" s="31"/>
      <c r="M19" s="31"/>
      <c r="N19" s="31"/>
      <c r="O19" s="31"/>
      <c r="P19" s="35">
        <f>IF(AND(ISNUMBER(J19),'REFERENCIAS'!$Q$8=1),ROUND(J19,'REFERENCIAS'!$K$8),"")</f>
      </c>
      <c r="R19" s="29" t="str">
        <f>"ID:"&amp;SUBSTITUTE(SUBSTITUTE(SUBSTITUTE(SUBSTITUTE(UPPER(TRIM(B19&amp;"")),"!","!E"),"*","!A"),"?","!B"),"~","!C")</f>
        <v>ID:</v>
      </c>
      <c r="S19" s="29" t="str">
        <f>"ID:"&amp;SUBSTITUTE(SUBSTITUTE(SUBSTITUTE(SUBSTITUTE(UPPER(TRIM(C19&amp;"")),"!","!E"),"*","!A"),"?","!B"),"~","!C")</f>
        <v>ID:</v>
      </c>
    </row>
    <row r="20" ht="75" customHeight="1">
      <c r="B20" s="31"/>
      <c r="C20" s="31"/>
      <c r="D20" s="31"/>
      <c r="E20" s="31"/>
      <c r="F20" s="31"/>
      <c r="G20" s="34"/>
      <c r="H20" s="34"/>
      <c r="I20" s="34"/>
      <c r="J20" s="34"/>
      <c r="K20" s="31"/>
      <c r="L20" s="31"/>
      <c r="M20" s="31"/>
      <c r="N20" s="31"/>
      <c r="O20" s="31"/>
      <c r="P20" s="35">
        <f>IF(AND(ISNUMBER(J20),'REFERENCIAS'!$Q$8=1),ROUND(J20,'REFERENCIAS'!$K$8),"")</f>
      </c>
      <c r="R20" s="29" t="str">
        <f>"ID:"&amp;SUBSTITUTE(SUBSTITUTE(SUBSTITUTE(SUBSTITUTE(UPPER(TRIM(B20&amp;"")),"!","!E"),"*","!A"),"?","!B"),"~","!C")</f>
        <v>ID:</v>
      </c>
      <c r="S20" s="29" t="str">
        <f>"ID:"&amp;SUBSTITUTE(SUBSTITUTE(SUBSTITUTE(SUBSTITUTE(UPPER(TRIM(C20&amp;"")),"!","!E"),"*","!A"),"?","!B"),"~","!C")</f>
        <v>ID:</v>
      </c>
    </row>
    <row r="21" ht="75" customHeight="1">
      <c r="B21" s="31"/>
      <c r="C21" s="31"/>
      <c r="D21" s="31"/>
      <c r="E21" s="31"/>
      <c r="F21" s="31"/>
      <c r="G21" s="34"/>
      <c r="H21" s="34"/>
      <c r="I21" s="34"/>
      <c r="J21" s="34"/>
      <c r="K21" s="31"/>
      <c r="L21" s="31"/>
      <c r="M21" s="31"/>
      <c r="N21" s="31"/>
      <c r="O21" s="31"/>
      <c r="P21" s="35">
        <f>IF(AND(ISNUMBER(J21),'REFERENCIAS'!$Q$8=1),ROUND(J21,'REFERENCIAS'!$K$8),"")</f>
      </c>
      <c r="R21" s="29" t="str">
        <f>"ID:"&amp;SUBSTITUTE(SUBSTITUTE(SUBSTITUTE(SUBSTITUTE(UPPER(TRIM(B21&amp;"")),"!","!E"),"*","!A"),"?","!B"),"~","!C")</f>
        <v>ID:</v>
      </c>
      <c r="S21" s="29" t="str">
        <f>"ID:"&amp;SUBSTITUTE(SUBSTITUTE(SUBSTITUTE(SUBSTITUTE(UPPER(TRIM(C21&amp;"")),"!","!E"),"*","!A"),"?","!B"),"~","!C")</f>
        <v>ID:</v>
      </c>
    </row>
    <row r="22" ht="75" customHeight="1">
      <c r="B22" s="31"/>
      <c r="C22" s="31"/>
      <c r="D22" s="31"/>
      <c r="E22" s="31"/>
      <c r="F22" s="31"/>
      <c r="G22" s="34"/>
      <c r="H22" s="34"/>
      <c r="I22" s="34"/>
      <c r="J22" s="34"/>
      <c r="K22" s="31"/>
      <c r="L22" s="31"/>
      <c r="M22" s="31"/>
      <c r="N22" s="31"/>
      <c r="O22" s="31"/>
      <c r="P22" s="35">
        <f>IF(AND(ISNUMBER(J22),'REFERENCIAS'!$Q$8=1),ROUND(J22,'REFERENCIAS'!$K$8),"")</f>
      </c>
      <c r="R22" s="29" t="str">
        <f>"ID:"&amp;SUBSTITUTE(SUBSTITUTE(SUBSTITUTE(SUBSTITUTE(UPPER(TRIM(B22&amp;"")),"!","!E"),"*","!A"),"?","!B"),"~","!C")</f>
        <v>ID:</v>
      </c>
      <c r="S22" s="29" t="str">
        <f>"ID:"&amp;SUBSTITUTE(SUBSTITUTE(SUBSTITUTE(SUBSTITUTE(UPPER(TRIM(C22&amp;"")),"!","!E"),"*","!A"),"?","!B"),"~","!C")</f>
        <v>ID:</v>
      </c>
    </row>
    <row r="23" ht="75" customHeight="1">
      <c r="B23" s="31"/>
      <c r="C23" s="31"/>
      <c r="D23" s="31"/>
      <c r="E23" s="31"/>
      <c r="F23" s="31"/>
      <c r="G23" s="34"/>
      <c r="H23" s="34"/>
      <c r="I23" s="34"/>
      <c r="J23" s="34"/>
      <c r="K23" s="31"/>
      <c r="L23" s="31"/>
      <c r="M23" s="31"/>
      <c r="N23" s="31"/>
      <c r="O23" s="31"/>
      <c r="P23" s="35">
        <f>IF(AND(ISNUMBER(J23),'REFERENCIAS'!$Q$8=1),ROUND(J23,'REFERENCIAS'!$K$8),"")</f>
      </c>
      <c r="R23" s="29" t="str">
        <f>"ID:"&amp;SUBSTITUTE(SUBSTITUTE(SUBSTITUTE(SUBSTITUTE(UPPER(TRIM(B23&amp;"")),"!","!E"),"*","!A"),"?","!B"),"~","!C")</f>
        <v>ID:</v>
      </c>
      <c r="S23" s="29" t="str">
        <f>"ID:"&amp;SUBSTITUTE(SUBSTITUTE(SUBSTITUTE(SUBSTITUTE(UPPER(TRIM(C23&amp;"")),"!","!E"),"*","!A"),"?","!B"),"~","!C")</f>
        <v>ID:</v>
      </c>
    </row>
    <row r="24" ht="75" customHeight="1">
      <c r="B24" s="31"/>
      <c r="C24" s="31"/>
      <c r="D24" s="31"/>
      <c r="E24" s="31"/>
      <c r="F24" s="31"/>
      <c r="G24" s="34"/>
      <c r="H24" s="34"/>
      <c r="I24" s="34"/>
      <c r="J24" s="34"/>
      <c r="K24" s="31"/>
      <c r="L24" s="31"/>
      <c r="M24" s="31"/>
      <c r="N24" s="31"/>
      <c r="O24" s="31"/>
      <c r="P24" s="35">
        <f>IF(AND(ISNUMBER(J24),'REFERENCIAS'!$Q$8=1),ROUND(J24,'REFERENCIAS'!$K$8),"")</f>
      </c>
      <c r="R24" s="29" t="str">
        <f>"ID:"&amp;SUBSTITUTE(SUBSTITUTE(SUBSTITUTE(SUBSTITUTE(UPPER(TRIM(B24&amp;"")),"!","!E"),"*","!A"),"?","!B"),"~","!C")</f>
        <v>ID:</v>
      </c>
      <c r="S24" s="29" t="str">
        <f>"ID:"&amp;SUBSTITUTE(SUBSTITUTE(SUBSTITUTE(SUBSTITUTE(UPPER(TRIM(C24&amp;"")),"!","!E"),"*","!A"),"?","!B"),"~","!C")</f>
        <v>ID:</v>
      </c>
    </row>
    <row r="25" ht="75" customHeight="1">
      <c r="B25" s="31"/>
      <c r="C25" s="31"/>
      <c r="D25" s="31"/>
      <c r="E25" s="31"/>
      <c r="F25" s="31"/>
      <c r="G25" s="34"/>
      <c r="H25" s="34"/>
      <c r="I25" s="34"/>
      <c r="J25" s="34"/>
      <c r="K25" s="31"/>
      <c r="L25" s="31"/>
      <c r="M25" s="31"/>
      <c r="N25" s="31"/>
      <c r="O25" s="31"/>
      <c r="P25" s="35">
        <f>IF(AND(ISNUMBER(J25),'REFERENCIAS'!$Q$8=1),ROUND(J25,'REFERENCIAS'!$K$8),"")</f>
      </c>
      <c r="R25" s="29" t="str">
        <f>"ID:"&amp;SUBSTITUTE(SUBSTITUTE(SUBSTITUTE(SUBSTITUTE(UPPER(TRIM(B25&amp;"")),"!","!E"),"*","!A"),"?","!B"),"~","!C")</f>
        <v>ID:</v>
      </c>
      <c r="S25" s="29" t="str">
        <f>"ID:"&amp;SUBSTITUTE(SUBSTITUTE(SUBSTITUTE(SUBSTITUTE(UPPER(TRIM(C25&amp;"")),"!","!E"),"*","!A"),"?","!B"),"~","!C")</f>
        <v>ID:</v>
      </c>
    </row>
    <row r="26" ht="75" customHeight="1">
      <c r="B26" s="31"/>
      <c r="C26" s="31"/>
      <c r="D26" s="31"/>
      <c r="E26" s="31"/>
      <c r="F26" s="31"/>
      <c r="G26" s="34"/>
      <c r="H26" s="34"/>
      <c r="I26" s="34"/>
      <c r="J26" s="34"/>
      <c r="K26" s="31"/>
      <c r="L26" s="31"/>
      <c r="M26" s="31"/>
      <c r="N26" s="31"/>
      <c r="O26" s="31"/>
      <c r="P26" s="35">
        <f>IF(AND(ISNUMBER(J26),'REFERENCIAS'!$Q$8=1),ROUND(J26,'REFERENCIAS'!$K$8),"")</f>
      </c>
      <c r="R26" s="29" t="str">
        <f>"ID:"&amp;SUBSTITUTE(SUBSTITUTE(SUBSTITUTE(SUBSTITUTE(UPPER(TRIM(B26&amp;"")),"!","!E"),"*","!A"),"?","!B"),"~","!C")</f>
        <v>ID:</v>
      </c>
      <c r="S26" s="29" t="str">
        <f>"ID:"&amp;SUBSTITUTE(SUBSTITUTE(SUBSTITUTE(SUBSTITUTE(UPPER(TRIM(C26&amp;"")),"!","!E"),"*","!A"),"?","!B"),"~","!C")</f>
        <v>ID:</v>
      </c>
    </row>
    <row r="27" ht="75" customHeight="1">
      <c r="B27" s="31"/>
      <c r="C27" s="31"/>
      <c r="D27" s="31"/>
      <c r="E27" s="31"/>
      <c r="F27" s="31"/>
      <c r="G27" s="34"/>
      <c r="H27" s="34"/>
      <c r="I27" s="34"/>
      <c r="J27" s="34"/>
      <c r="K27" s="31"/>
      <c r="L27" s="31"/>
      <c r="M27" s="31"/>
      <c r="N27" s="31"/>
      <c r="O27" s="31"/>
      <c r="P27" s="35">
        <f>IF(AND(ISNUMBER(J27),'REFERENCIAS'!$Q$8=1),ROUND(J27,'REFERENCIAS'!$K$8),"")</f>
      </c>
      <c r="R27" s="29" t="str">
        <f>"ID:"&amp;SUBSTITUTE(SUBSTITUTE(SUBSTITUTE(SUBSTITUTE(UPPER(TRIM(B27&amp;"")),"!","!E"),"*","!A"),"?","!B"),"~","!C")</f>
        <v>ID:</v>
      </c>
      <c r="S27" s="29" t="str">
        <f>"ID:"&amp;SUBSTITUTE(SUBSTITUTE(SUBSTITUTE(SUBSTITUTE(UPPER(TRIM(C27&amp;"")),"!","!E"),"*","!A"),"?","!B"),"~","!C")</f>
        <v>ID:</v>
      </c>
    </row>
    <row r="28" ht="75" customHeight="1">
      <c r="B28" s="31"/>
      <c r="C28" s="31"/>
      <c r="D28" s="31"/>
      <c r="E28" s="31"/>
      <c r="F28" s="31"/>
      <c r="G28" s="34"/>
      <c r="H28" s="34"/>
      <c r="I28" s="34"/>
      <c r="J28" s="34"/>
      <c r="K28" s="31"/>
      <c r="L28" s="31"/>
      <c r="M28" s="31"/>
      <c r="N28" s="31"/>
      <c r="O28" s="31"/>
      <c r="P28" s="35">
        <f>IF(AND(ISNUMBER(J28),'REFERENCIAS'!$Q$8=1),ROUND(J28,'REFERENCIAS'!$K$8),"")</f>
      </c>
      <c r="R28" s="29" t="str">
        <f>"ID:"&amp;SUBSTITUTE(SUBSTITUTE(SUBSTITUTE(SUBSTITUTE(UPPER(TRIM(B28&amp;"")),"!","!E"),"*","!A"),"?","!B"),"~","!C")</f>
        <v>ID:</v>
      </c>
      <c r="S28" s="29" t="str">
        <f>"ID:"&amp;SUBSTITUTE(SUBSTITUTE(SUBSTITUTE(SUBSTITUTE(UPPER(TRIM(C28&amp;"")),"!","!E"),"*","!A"),"?","!B"),"~","!C")</f>
        <v>ID:</v>
      </c>
    </row>
    <row r="29" ht="75" customHeight="1">
      <c r="B29" s="31"/>
      <c r="C29" s="31"/>
      <c r="D29" s="31"/>
      <c r="E29" s="31"/>
      <c r="F29" s="31"/>
      <c r="G29" s="34"/>
      <c r="H29" s="34"/>
      <c r="I29" s="34"/>
      <c r="J29" s="34"/>
      <c r="K29" s="31"/>
      <c r="L29" s="31"/>
      <c r="M29" s="31"/>
      <c r="N29" s="31"/>
      <c r="O29" s="31"/>
      <c r="P29" s="35">
        <f>IF(AND(ISNUMBER(J29),'REFERENCIAS'!$Q$8=1),ROUND(J29,'REFERENCIAS'!$K$8),"")</f>
      </c>
      <c r="R29" s="29" t="str">
        <f>"ID:"&amp;SUBSTITUTE(SUBSTITUTE(SUBSTITUTE(SUBSTITUTE(UPPER(TRIM(B29&amp;"")),"!","!E"),"*","!A"),"?","!B"),"~","!C")</f>
        <v>ID:</v>
      </c>
      <c r="S29" s="29" t="str">
        <f>"ID:"&amp;SUBSTITUTE(SUBSTITUTE(SUBSTITUTE(SUBSTITUTE(UPPER(TRIM(C29&amp;"")),"!","!E"),"*","!A"),"?","!B"),"~","!C")</f>
        <v>ID:</v>
      </c>
    </row>
    <row r="30" ht="75" customHeight="1">
      <c r="B30" s="31"/>
      <c r="C30" s="31"/>
      <c r="D30" s="31"/>
      <c r="E30" s="31"/>
      <c r="F30" s="31"/>
      <c r="G30" s="34"/>
      <c r="H30" s="34"/>
      <c r="I30" s="34"/>
      <c r="J30" s="34"/>
      <c r="K30" s="31"/>
      <c r="L30" s="31"/>
      <c r="M30" s="31"/>
      <c r="N30" s="31"/>
      <c r="O30" s="31"/>
      <c r="P30" s="35">
        <f>IF(AND(ISNUMBER(J30),'REFERENCIAS'!$Q$8=1),ROUND(J30,'REFERENCIAS'!$K$8),"")</f>
      </c>
      <c r="R30" s="29" t="str">
        <f>"ID:"&amp;SUBSTITUTE(SUBSTITUTE(SUBSTITUTE(SUBSTITUTE(UPPER(TRIM(B30&amp;"")),"!","!E"),"*","!A"),"?","!B"),"~","!C")</f>
        <v>ID:</v>
      </c>
      <c r="S30" s="29" t="str">
        <f>"ID:"&amp;SUBSTITUTE(SUBSTITUTE(SUBSTITUTE(SUBSTITUTE(UPPER(TRIM(C30&amp;"")),"!","!E"),"*","!A"),"?","!B"),"~","!C")</f>
        <v>ID:</v>
      </c>
    </row>
    <row r="31" ht="75" customHeight="1">
      <c r="B31" s="31"/>
      <c r="C31" s="31"/>
      <c r="D31" s="31"/>
      <c r="E31" s="31"/>
      <c r="F31" s="31"/>
      <c r="G31" s="34"/>
      <c r="H31" s="34"/>
      <c r="I31" s="34"/>
      <c r="J31" s="34"/>
      <c r="K31" s="31"/>
      <c r="L31" s="31"/>
      <c r="M31" s="31"/>
      <c r="N31" s="31"/>
      <c r="O31" s="31"/>
      <c r="P31" s="35">
        <f>IF(AND(ISNUMBER(J31),'REFERENCIAS'!$Q$8=1),ROUND(J31,'REFERENCIAS'!$K$8),"")</f>
      </c>
      <c r="R31" s="29" t="str">
        <f>"ID:"&amp;SUBSTITUTE(SUBSTITUTE(SUBSTITUTE(SUBSTITUTE(UPPER(TRIM(B31&amp;"")),"!","!E"),"*","!A"),"?","!B"),"~","!C")</f>
        <v>ID:</v>
      </c>
      <c r="S31" s="29" t="str">
        <f>"ID:"&amp;SUBSTITUTE(SUBSTITUTE(SUBSTITUTE(SUBSTITUTE(UPPER(TRIM(C31&amp;"")),"!","!E"),"*","!A"),"?","!B"),"~","!C")</f>
        <v>ID:</v>
      </c>
    </row>
    <row r="32" ht="75" customHeight="1">
      <c r="B32" s="31"/>
      <c r="C32" s="31"/>
      <c r="D32" s="31"/>
      <c r="E32" s="31"/>
      <c r="F32" s="31"/>
      <c r="G32" s="34"/>
      <c r="H32" s="34"/>
      <c r="I32" s="34"/>
      <c r="J32" s="34"/>
      <c r="K32" s="31"/>
      <c r="L32" s="31"/>
      <c r="M32" s="31"/>
      <c r="N32" s="31"/>
      <c r="O32" s="31"/>
      <c r="P32" s="35">
        <f>IF(AND(ISNUMBER(J32),'REFERENCIAS'!$Q$8=1),ROUND(J32,'REFERENCIAS'!$K$8),"")</f>
      </c>
      <c r="R32" s="29" t="str">
        <f>"ID:"&amp;SUBSTITUTE(SUBSTITUTE(SUBSTITUTE(SUBSTITUTE(UPPER(TRIM(B32&amp;"")),"!","!E"),"*","!A"),"?","!B"),"~","!C")</f>
        <v>ID:</v>
      </c>
      <c r="S32" s="29" t="str">
        <f>"ID:"&amp;SUBSTITUTE(SUBSTITUTE(SUBSTITUTE(SUBSTITUTE(UPPER(TRIM(C32&amp;"")),"!","!E"),"*","!A"),"?","!B"),"~","!C")</f>
        <v>ID:</v>
      </c>
    </row>
    <row r="33" ht="75" customHeight="1">
      <c r="B33" s="31"/>
      <c r="C33" s="31"/>
      <c r="D33" s="31"/>
      <c r="E33" s="31"/>
      <c r="F33" s="31"/>
      <c r="G33" s="34"/>
      <c r="H33" s="34"/>
      <c r="I33" s="34"/>
      <c r="J33" s="34"/>
      <c r="K33" s="31"/>
      <c r="L33" s="31"/>
      <c r="M33" s="31"/>
      <c r="N33" s="31"/>
      <c r="O33" s="31"/>
      <c r="P33" s="35">
        <f>IF(AND(ISNUMBER(J33),'REFERENCIAS'!$Q$8=1),ROUND(J33,'REFERENCIAS'!$K$8),"")</f>
      </c>
      <c r="R33" s="29" t="str">
        <f>"ID:"&amp;SUBSTITUTE(SUBSTITUTE(SUBSTITUTE(SUBSTITUTE(UPPER(TRIM(B33&amp;"")),"!","!E"),"*","!A"),"?","!B"),"~","!C")</f>
        <v>ID:</v>
      </c>
      <c r="S33" s="29" t="str">
        <f>"ID:"&amp;SUBSTITUTE(SUBSTITUTE(SUBSTITUTE(SUBSTITUTE(UPPER(TRIM(C33&amp;"")),"!","!E"),"*","!A"),"?","!B"),"~","!C")</f>
        <v>ID:</v>
      </c>
    </row>
    <row r="34" ht="75" customHeight="1">
      <c r="B34" s="31"/>
      <c r="C34" s="31"/>
      <c r="D34" s="31"/>
      <c r="E34" s="31"/>
      <c r="F34" s="31"/>
      <c r="G34" s="34"/>
      <c r="H34" s="34"/>
      <c r="I34" s="34"/>
      <c r="J34" s="34"/>
      <c r="K34" s="31"/>
      <c r="L34" s="31"/>
      <c r="M34" s="31"/>
      <c r="N34" s="31"/>
      <c r="O34" s="31"/>
      <c r="P34" s="35">
        <f>IF(AND(ISNUMBER(J34),'REFERENCIAS'!$Q$8=1),ROUND(J34,'REFERENCIAS'!$K$8),"")</f>
      </c>
      <c r="R34" s="29" t="str">
        <f>"ID:"&amp;SUBSTITUTE(SUBSTITUTE(SUBSTITUTE(SUBSTITUTE(UPPER(TRIM(B34&amp;"")),"!","!E"),"*","!A"),"?","!B"),"~","!C")</f>
        <v>ID:</v>
      </c>
      <c r="S34" s="29" t="str">
        <f>"ID:"&amp;SUBSTITUTE(SUBSTITUTE(SUBSTITUTE(SUBSTITUTE(UPPER(TRIM(C34&amp;"")),"!","!E"),"*","!A"),"?","!B"),"~","!C")</f>
        <v>ID:</v>
      </c>
    </row>
    <row r="35" ht="75" customHeight="1">
      <c r="B35" s="31"/>
      <c r="C35" s="31"/>
      <c r="D35" s="31"/>
      <c r="E35" s="31"/>
      <c r="F35" s="31"/>
      <c r="G35" s="34"/>
      <c r="H35" s="34"/>
      <c r="I35" s="34"/>
      <c r="J35" s="34"/>
      <c r="K35" s="31"/>
      <c r="L35" s="31"/>
      <c r="M35" s="31"/>
      <c r="N35" s="31"/>
      <c r="O35" s="31"/>
      <c r="P35" s="35">
        <f>IF(AND(ISNUMBER(J35),'REFERENCIAS'!$Q$8=1),ROUND(J35,'REFERENCIAS'!$K$8),"")</f>
      </c>
      <c r="R35" s="29" t="str">
        <f>"ID:"&amp;SUBSTITUTE(SUBSTITUTE(SUBSTITUTE(SUBSTITUTE(UPPER(TRIM(B35&amp;"")),"!","!E"),"*","!A"),"?","!B"),"~","!C")</f>
        <v>ID:</v>
      </c>
      <c r="S35" s="29" t="str">
        <f>"ID:"&amp;SUBSTITUTE(SUBSTITUTE(SUBSTITUTE(SUBSTITUTE(UPPER(TRIM(C35&amp;"")),"!","!E"),"*","!A"),"?","!B"),"~","!C")</f>
        <v>ID:</v>
      </c>
    </row>
    <row r="36" ht="75" customHeight="1">
      <c r="B36" s="31"/>
      <c r="C36" s="31"/>
      <c r="D36" s="31"/>
      <c r="E36" s="31"/>
      <c r="F36" s="31"/>
      <c r="G36" s="34"/>
      <c r="H36" s="34"/>
      <c r="I36" s="34"/>
      <c r="J36" s="34"/>
      <c r="K36" s="31"/>
      <c r="L36" s="31"/>
      <c r="M36" s="31"/>
      <c r="N36" s="31"/>
      <c r="O36" s="31"/>
      <c r="P36" s="35">
        <f>IF(AND(ISNUMBER(J36),'REFERENCIAS'!$Q$8=1),ROUND(J36,'REFERENCIAS'!$K$8),"")</f>
      </c>
      <c r="R36" s="29" t="str">
        <f>"ID:"&amp;SUBSTITUTE(SUBSTITUTE(SUBSTITUTE(SUBSTITUTE(UPPER(TRIM(B36&amp;"")),"!","!E"),"*","!A"),"?","!B"),"~","!C")</f>
        <v>ID:</v>
      </c>
      <c r="S36" s="29" t="str">
        <f>"ID:"&amp;SUBSTITUTE(SUBSTITUTE(SUBSTITUTE(SUBSTITUTE(UPPER(TRIM(C36&amp;"")),"!","!E"),"*","!A"),"?","!B"),"~","!C")</f>
        <v>ID:</v>
      </c>
    </row>
    <row r="37" ht="75" customHeight="1">
      <c r="B37" s="31"/>
      <c r="C37" s="31"/>
      <c r="D37" s="31"/>
      <c r="E37" s="31"/>
      <c r="F37" s="31"/>
      <c r="G37" s="34"/>
      <c r="H37" s="34"/>
      <c r="I37" s="34"/>
      <c r="J37" s="34"/>
      <c r="K37" s="31"/>
      <c r="L37" s="31"/>
      <c r="M37" s="31"/>
      <c r="N37" s="31"/>
      <c r="O37" s="31"/>
      <c r="P37" s="35">
        <f>IF(AND(ISNUMBER(J37),'REFERENCIAS'!$Q$8=1),ROUND(J37,'REFERENCIAS'!$K$8),"")</f>
      </c>
      <c r="R37" s="29" t="str">
        <f>"ID:"&amp;SUBSTITUTE(SUBSTITUTE(SUBSTITUTE(SUBSTITUTE(UPPER(TRIM(B37&amp;"")),"!","!E"),"*","!A"),"?","!B"),"~","!C")</f>
        <v>ID:</v>
      </c>
      <c r="S37" s="29" t="str">
        <f>"ID:"&amp;SUBSTITUTE(SUBSTITUTE(SUBSTITUTE(SUBSTITUTE(UPPER(TRIM(C37&amp;"")),"!","!E"),"*","!A"),"?","!B"),"~","!C")</f>
        <v>ID:</v>
      </c>
    </row>
    <row r="38" ht="75" customHeight="1">
      <c r="B38" s="31"/>
      <c r="C38" s="31"/>
      <c r="D38" s="31"/>
      <c r="E38" s="31"/>
      <c r="F38" s="31"/>
      <c r="G38" s="34"/>
      <c r="H38" s="34"/>
      <c r="I38" s="34"/>
      <c r="J38" s="34"/>
      <c r="K38" s="31"/>
      <c r="L38" s="31"/>
      <c r="M38" s="31"/>
      <c r="N38" s="31"/>
      <c r="O38" s="31"/>
      <c r="P38" s="35">
        <f>IF(AND(ISNUMBER(J38),'REFERENCIAS'!$Q$8=1),ROUND(J38,'REFERENCIAS'!$K$8),"")</f>
      </c>
      <c r="R38" s="29" t="str">
        <f>"ID:"&amp;SUBSTITUTE(SUBSTITUTE(SUBSTITUTE(SUBSTITUTE(UPPER(TRIM(B38&amp;"")),"!","!E"),"*","!A"),"?","!B"),"~","!C")</f>
        <v>ID:</v>
      </c>
      <c r="S38" s="29" t="str">
        <f>"ID:"&amp;SUBSTITUTE(SUBSTITUTE(SUBSTITUTE(SUBSTITUTE(UPPER(TRIM(C38&amp;"")),"!","!E"),"*","!A"),"?","!B"),"~","!C")</f>
        <v>ID:</v>
      </c>
    </row>
    <row r="39" ht="75" customHeight="1">
      <c r="B39" s="31"/>
      <c r="C39" s="31"/>
      <c r="D39" s="31"/>
      <c r="E39" s="31"/>
      <c r="F39" s="31"/>
      <c r="G39" s="34"/>
      <c r="H39" s="34"/>
      <c r="I39" s="34"/>
      <c r="J39" s="34"/>
      <c r="K39" s="31"/>
      <c r="L39" s="31"/>
      <c r="M39" s="31"/>
      <c r="N39" s="31"/>
      <c r="O39" s="31"/>
      <c r="P39" s="35">
        <f>IF(AND(ISNUMBER(J39),'REFERENCIAS'!$Q$8=1),ROUND(J39,'REFERENCIAS'!$K$8),"")</f>
      </c>
      <c r="R39" s="29" t="str">
        <f>"ID:"&amp;SUBSTITUTE(SUBSTITUTE(SUBSTITUTE(SUBSTITUTE(UPPER(TRIM(B39&amp;"")),"!","!E"),"*","!A"),"?","!B"),"~","!C")</f>
        <v>ID:</v>
      </c>
      <c r="S39" s="29" t="str">
        <f>"ID:"&amp;SUBSTITUTE(SUBSTITUTE(SUBSTITUTE(SUBSTITUTE(UPPER(TRIM(C39&amp;"")),"!","!E"),"*","!A"),"?","!B"),"~","!C")</f>
        <v>ID:</v>
      </c>
    </row>
    <row r="40" ht="75" customHeight="1">
      <c r="B40" s="31"/>
      <c r="C40" s="31"/>
      <c r="D40" s="31"/>
      <c r="E40" s="31"/>
      <c r="F40" s="31"/>
      <c r="G40" s="34"/>
      <c r="H40" s="34"/>
      <c r="I40" s="34"/>
      <c r="J40" s="34"/>
      <c r="K40" s="31"/>
      <c r="L40" s="31"/>
      <c r="M40" s="31"/>
      <c r="N40" s="31"/>
      <c r="O40" s="31"/>
      <c r="P40" s="35">
        <f>IF(AND(ISNUMBER(J40),'REFERENCIAS'!$Q$8=1),ROUND(J40,'REFERENCIAS'!$K$8),"")</f>
      </c>
      <c r="R40" s="29" t="str">
        <f>"ID:"&amp;SUBSTITUTE(SUBSTITUTE(SUBSTITUTE(SUBSTITUTE(UPPER(TRIM(B40&amp;"")),"!","!E"),"*","!A"),"?","!B"),"~","!C")</f>
        <v>ID:</v>
      </c>
      <c r="S40" s="29" t="str">
        <f>"ID:"&amp;SUBSTITUTE(SUBSTITUTE(SUBSTITUTE(SUBSTITUTE(UPPER(TRIM(C40&amp;"")),"!","!E"),"*","!A"),"?","!B"),"~","!C")</f>
        <v>ID:</v>
      </c>
    </row>
    <row r="41" ht="75" customHeight="1">
      <c r="B41" s="31"/>
      <c r="C41" s="31"/>
      <c r="D41" s="31"/>
      <c r="E41" s="31"/>
      <c r="F41" s="31"/>
      <c r="G41" s="34"/>
      <c r="H41" s="34"/>
      <c r="I41" s="34"/>
      <c r="J41" s="34"/>
      <c r="K41" s="31"/>
      <c r="L41" s="31"/>
      <c r="M41" s="31"/>
      <c r="N41" s="31"/>
      <c r="O41" s="31"/>
      <c r="P41" s="35">
        <f>IF(AND(ISNUMBER(J41),'REFERENCIAS'!$Q$8=1),ROUND(J41,'REFERENCIAS'!$K$8),"")</f>
      </c>
      <c r="R41" s="29" t="str">
        <f>"ID:"&amp;SUBSTITUTE(SUBSTITUTE(SUBSTITUTE(SUBSTITUTE(UPPER(TRIM(B41&amp;"")),"!","!E"),"*","!A"),"?","!B"),"~","!C")</f>
        <v>ID:</v>
      </c>
      <c r="S41" s="29" t="str">
        <f>"ID:"&amp;SUBSTITUTE(SUBSTITUTE(SUBSTITUTE(SUBSTITUTE(UPPER(TRIM(C41&amp;"")),"!","!E"),"*","!A"),"?","!B"),"~","!C")</f>
        <v>ID:</v>
      </c>
    </row>
    <row r="42" ht="75" customHeight="1">
      <c r="B42" s="31"/>
      <c r="C42" s="31"/>
      <c r="D42" s="31"/>
      <c r="E42" s="31"/>
      <c r="F42" s="31"/>
      <c r="G42" s="34"/>
      <c r="H42" s="34"/>
      <c r="I42" s="34"/>
      <c r="J42" s="34"/>
      <c r="K42" s="31"/>
      <c r="L42" s="31"/>
      <c r="M42" s="31"/>
      <c r="N42" s="31"/>
      <c r="O42" s="31"/>
      <c r="P42" s="35">
        <f>IF(AND(ISNUMBER(J42),'REFERENCIAS'!$Q$8=1),ROUND(J42,'REFERENCIAS'!$K$8),"")</f>
      </c>
      <c r="R42" s="29" t="str">
        <f>"ID:"&amp;SUBSTITUTE(SUBSTITUTE(SUBSTITUTE(SUBSTITUTE(UPPER(TRIM(B42&amp;"")),"!","!E"),"*","!A"),"?","!B"),"~","!C")</f>
        <v>ID:</v>
      </c>
      <c r="S42" s="29" t="str">
        <f>"ID:"&amp;SUBSTITUTE(SUBSTITUTE(SUBSTITUTE(SUBSTITUTE(UPPER(TRIM(C42&amp;"")),"!","!E"),"*","!A"),"?","!B"),"~","!C")</f>
        <v>ID:</v>
      </c>
    </row>
    <row r="43" ht="75" customHeight="1">
      <c r="B43" s="31"/>
      <c r="C43" s="31"/>
      <c r="D43" s="31"/>
      <c r="E43" s="31"/>
      <c r="F43" s="31"/>
      <c r="G43" s="34"/>
      <c r="H43" s="34"/>
      <c r="I43" s="34"/>
      <c r="J43" s="34"/>
      <c r="K43" s="31"/>
      <c r="L43" s="31"/>
      <c r="M43" s="31"/>
      <c r="N43" s="31"/>
      <c r="O43" s="31"/>
      <c r="P43" s="35">
        <f>IF(AND(ISNUMBER(J43),'REFERENCIAS'!$Q$8=1),ROUND(J43,'REFERENCIAS'!$K$8),"")</f>
      </c>
      <c r="R43" s="29" t="str">
        <f>"ID:"&amp;SUBSTITUTE(SUBSTITUTE(SUBSTITUTE(SUBSTITUTE(UPPER(TRIM(B43&amp;"")),"!","!E"),"*","!A"),"?","!B"),"~","!C")</f>
        <v>ID:</v>
      </c>
      <c r="S43" s="29" t="str">
        <f>"ID:"&amp;SUBSTITUTE(SUBSTITUTE(SUBSTITUTE(SUBSTITUTE(UPPER(TRIM(C43&amp;"")),"!","!E"),"*","!A"),"?","!B"),"~","!C")</f>
        <v>ID:</v>
      </c>
    </row>
    <row r="44" ht="75" customHeight="1">
      <c r="B44" s="31"/>
      <c r="C44" s="31"/>
      <c r="D44" s="31"/>
      <c r="E44" s="31"/>
      <c r="F44" s="31"/>
      <c r="G44" s="34"/>
      <c r="H44" s="34"/>
      <c r="I44" s="34"/>
      <c r="J44" s="34"/>
      <c r="K44" s="31"/>
      <c r="L44" s="31"/>
      <c r="M44" s="31"/>
      <c r="N44" s="31"/>
      <c r="O44" s="31"/>
      <c r="P44" s="35">
        <f>IF(AND(ISNUMBER(J44),'REFERENCIAS'!$Q$8=1),ROUND(J44,'REFERENCIAS'!$K$8),"")</f>
      </c>
      <c r="R44" s="29" t="str">
        <f>"ID:"&amp;SUBSTITUTE(SUBSTITUTE(SUBSTITUTE(SUBSTITUTE(UPPER(TRIM(B44&amp;"")),"!","!E"),"*","!A"),"?","!B"),"~","!C")</f>
        <v>ID:</v>
      </c>
      <c r="S44" s="29" t="str">
        <f>"ID:"&amp;SUBSTITUTE(SUBSTITUTE(SUBSTITUTE(SUBSTITUTE(UPPER(TRIM(C44&amp;"")),"!","!E"),"*","!A"),"?","!B"),"~","!C")</f>
        <v>ID:</v>
      </c>
    </row>
    <row r="45" ht="75" customHeight="1">
      <c r="B45" s="31"/>
      <c r="C45" s="31"/>
      <c r="D45" s="31"/>
      <c r="E45" s="31"/>
      <c r="F45" s="31"/>
      <c r="G45" s="34"/>
      <c r="H45" s="34"/>
      <c r="I45" s="34"/>
      <c r="J45" s="34"/>
      <c r="K45" s="31"/>
      <c r="L45" s="31"/>
      <c r="M45" s="31"/>
      <c r="N45" s="31"/>
      <c r="O45" s="31"/>
      <c r="P45" s="35">
        <f>IF(AND(ISNUMBER(J45),'REFERENCIAS'!$Q$8=1),ROUND(J45,'REFERENCIAS'!$K$8),"")</f>
      </c>
      <c r="R45" s="29" t="str">
        <f>"ID:"&amp;SUBSTITUTE(SUBSTITUTE(SUBSTITUTE(SUBSTITUTE(UPPER(TRIM(B45&amp;"")),"!","!E"),"*","!A"),"?","!B"),"~","!C")</f>
        <v>ID:</v>
      </c>
      <c r="S45" s="29" t="str">
        <f>"ID:"&amp;SUBSTITUTE(SUBSTITUTE(SUBSTITUTE(SUBSTITUTE(UPPER(TRIM(C45&amp;"")),"!","!E"),"*","!A"),"?","!B"),"~","!C")</f>
        <v>ID:</v>
      </c>
    </row>
    <row r="46" ht="75" customHeight="1">
      <c r="B46" s="31"/>
      <c r="C46" s="31"/>
      <c r="D46" s="31"/>
      <c r="E46" s="31"/>
      <c r="F46" s="31"/>
      <c r="G46" s="34"/>
      <c r="H46" s="34"/>
      <c r="I46" s="34"/>
      <c r="J46" s="34"/>
      <c r="K46" s="31"/>
      <c r="L46" s="31"/>
      <c r="M46" s="31"/>
      <c r="N46" s="31"/>
      <c r="O46" s="31"/>
      <c r="P46" s="35">
        <f>IF(AND(ISNUMBER(J46),'REFERENCIAS'!$Q$8=1),ROUND(J46,'REFERENCIAS'!$K$8),"")</f>
      </c>
      <c r="R46" s="29" t="str">
        <f>"ID:"&amp;SUBSTITUTE(SUBSTITUTE(SUBSTITUTE(SUBSTITUTE(UPPER(TRIM(B46&amp;"")),"!","!E"),"*","!A"),"?","!B"),"~","!C")</f>
        <v>ID:</v>
      </c>
      <c r="S46" s="29" t="str">
        <f>"ID:"&amp;SUBSTITUTE(SUBSTITUTE(SUBSTITUTE(SUBSTITUTE(UPPER(TRIM(C46&amp;"")),"!","!E"),"*","!A"),"?","!B"),"~","!C")</f>
        <v>ID:</v>
      </c>
    </row>
    <row r="47" ht="75" customHeight="1">
      <c r="B47" s="31"/>
      <c r="C47" s="31"/>
      <c r="D47" s="31"/>
      <c r="E47" s="31"/>
      <c r="F47" s="31"/>
      <c r="G47" s="34"/>
      <c r="H47" s="34"/>
      <c r="I47" s="34"/>
      <c r="J47" s="34"/>
      <c r="K47" s="31"/>
      <c r="L47" s="31"/>
      <c r="M47" s="31"/>
      <c r="N47" s="31"/>
      <c r="O47" s="31"/>
      <c r="P47" s="35">
        <f>IF(AND(ISNUMBER(J47),'REFERENCIAS'!$Q$8=1),ROUND(J47,'REFERENCIAS'!$K$8),"")</f>
      </c>
      <c r="R47" s="29" t="str">
        <f>"ID:"&amp;SUBSTITUTE(SUBSTITUTE(SUBSTITUTE(SUBSTITUTE(UPPER(TRIM(B47&amp;"")),"!","!E"),"*","!A"),"?","!B"),"~","!C")</f>
        <v>ID:</v>
      </c>
      <c r="S47" s="29" t="str">
        <f>"ID:"&amp;SUBSTITUTE(SUBSTITUTE(SUBSTITUTE(SUBSTITUTE(UPPER(TRIM(C47&amp;"")),"!","!E"),"*","!A"),"?","!B"),"~","!C")</f>
        <v>ID:</v>
      </c>
    </row>
    <row r="48" ht="75" customHeight="1">
      <c r="B48" s="31"/>
      <c r="C48" s="31"/>
      <c r="D48" s="31"/>
      <c r="E48" s="31"/>
      <c r="F48" s="31"/>
      <c r="G48" s="34"/>
      <c r="H48" s="34"/>
      <c r="I48" s="34"/>
      <c r="J48" s="34"/>
      <c r="K48" s="31"/>
      <c r="L48" s="31"/>
      <c r="M48" s="31"/>
      <c r="N48" s="31"/>
      <c r="O48" s="31"/>
      <c r="P48" s="35">
        <f>IF(AND(ISNUMBER(J48),'REFERENCIAS'!$Q$8=1),ROUND(J48,'REFERENCIAS'!$K$8),"")</f>
      </c>
      <c r="R48" s="29" t="str">
        <f>"ID:"&amp;SUBSTITUTE(SUBSTITUTE(SUBSTITUTE(SUBSTITUTE(UPPER(TRIM(B48&amp;"")),"!","!E"),"*","!A"),"?","!B"),"~","!C")</f>
        <v>ID:</v>
      </c>
      <c r="S48" s="29" t="str">
        <f>"ID:"&amp;SUBSTITUTE(SUBSTITUTE(SUBSTITUTE(SUBSTITUTE(UPPER(TRIM(C48&amp;"")),"!","!E"),"*","!A"),"?","!B"),"~","!C")</f>
        <v>ID:</v>
      </c>
    </row>
    <row r="49" ht="75" customHeight="1">
      <c r="B49" s="31"/>
      <c r="C49" s="31"/>
      <c r="D49" s="31"/>
      <c r="E49" s="31"/>
      <c r="F49" s="31"/>
      <c r="G49" s="34"/>
      <c r="H49" s="34"/>
      <c r="I49" s="34"/>
      <c r="J49" s="34"/>
      <c r="K49" s="31"/>
      <c r="L49" s="31"/>
      <c r="M49" s="31"/>
      <c r="N49" s="31"/>
      <c r="O49" s="31"/>
      <c r="P49" s="35">
        <f>IF(AND(ISNUMBER(J49),'REFERENCIAS'!$Q$8=1),ROUND(J49,'REFERENCIAS'!$K$8),"")</f>
      </c>
      <c r="R49" s="29" t="str">
        <f>"ID:"&amp;SUBSTITUTE(SUBSTITUTE(SUBSTITUTE(SUBSTITUTE(UPPER(TRIM(B49&amp;"")),"!","!E"),"*","!A"),"?","!B"),"~","!C")</f>
        <v>ID:</v>
      </c>
      <c r="S49" s="29" t="str">
        <f>"ID:"&amp;SUBSTITUTE(SUBSTITUTE(SUBSTITUTE(SUBSTITUTE(UPPER(TRIM(C49&amp;"")),"!","!E"),"*","!A"),"?","!B"),"~","!C")</f>
        <v>ID:</v>
      </c>
    </row>
    <row r="50" ht="75" customHeight="1">
      <c r="B50" s="31"/>
      <c r="C50" s="31"/>
      <c r="D50" s="31"/>
      <c r="E50" s="31"/>
      <c r="F50" s="31"/>
      <c r="G50" s="34"/>
      <c r="H50" s="34"/>
      <c r="I50" s="34"/>
      <c r="J50" s="34"/>
      <c r="K50" s="31"/>
      <c r="L50" s="31"/>
      <c r="M50" s="31"/>
      <c r="N50" s="31"/>
      <c r="O50" s="31"/>
      <c r="P50" s="35">
        <f>IF(AND(ISNUMBER(J50),'REFERENCIAS'!$Q$8=1),ROUND(J50,'REFERENCIAS'!$K$8),"")</f>
      </c>
      <c r="R50" s="29" t="str">
        <f>"ID:"&amp;SUBSTITUTE(SUBSTITUTE(SUBSTITUTE(SUBSTITUTE(UPPER(TRIM(B50&amp;"")),"!","!E"),"*","!A"),"?","!B"),"~","!C")</f>
        <v>ID:</v>
      </c>
      <c r="S50" s="29" t="str">
        <f>"ID:"&amp;SUBSTITUTE(SUBSTITUTE(SUBSTITUTE(SUBSTITUTE(UPPER(TRIM(C50&amp;"")),"!","!E"),"*","!A"),"?","!B"),"~","!C")</f>
        <v>ID:</v>
      </c>
    </row>
    <row r="51" ht="75" customHeight="1">
      <c r="B51" s="31"/>
      <c r="C51" s="31"/>
      <c r="D51" s="31"/>
      <c r="E51" s="31"/>
      <c r="F51" s="31"/>
      <c r="G51" s="34"/>
      <c r="H51" s="34"/>
      <c r="I51" s="34"/>
      <c r="J51" s="34"/>
      <c r="K51" s="31"/>
      <c r="L51" s="31"/>
      <c r="M51" s="31"/>
      <c r="N51" s="31"/>
      <c r="O51" s="31"/>
      <c r="P51" s="35">
        <f>IF(AND(ISNUMBER(J51),'REFERENCIAS'!$Q$8=1),ROUND(J51,'REFERENCIAS'!$K$8),"")</f>
      </c>
      <c r="R51" s="29" t="str">
        <f>"ID:"&amp;SUBSTITUTE(SUBSTITUTE(SUBSTITUTE(SUBSTITUTE(UPPER(TRIM(B51&amp;"")),"!","!E"),"*","!A"),"?","!B"),"~","!C")</f>
        <v>ID:</v>
      </c>
      <c r="S51" s="29" t="str">
        <f>"ID:"&amp;SUBSTITUTE(SUBSTITUTE(SUBSTITUTE(SUBSTITUTE(UPPER(TRIM(C51&amp;"")),"!","!E"),"*","!A"),"?","!B"),"~","!C")</f>
        <v>ID:</v>
      </c>
    </row>
    <row r="52" ht="75" customHeight="1">
      <c r="B52" s="31"/>
      <c r="C52" s="31"/>
      <c r="D52" s="31"/>
      <c r="E52" s="31"/>
      <c r="F52" s="31"/>
      <c r="G52" s="34"/>
      <c r="H52" s="34"/>
      <c r="I52" s="34"/>
      <c r="J52" s="34"/>
      <c r="K52" s="31"/>
      <c r="L52" s="31"/>
      <c r="M52" s="31"/>
      <c r="N52" s="31"/>
      <c r="O52" s="31"/>
      <c r="P52" s="35">
        <f>IF(AND(ISNUMBER(J52),'REFERENCIAS'!$Q$8=1),ROUND(J52,'REFERENCIAS'!$K$8),"")</f>
      </c>
      <c r="R52" s="29" t="str">
        <f>"ID:"&amp;SUBSTITUTE(SUBSTITUTE(SUBSTITUTE(SUBSTITUTE(UPPER(TRIM(B52&amp;"")),"!","!E"),"*","!A"),"?","!B"),"~","!C")</f>
        <v>ID:</v>
      </c>
      <c r="S52" s="29" t="str">
        <f>"ID:"&amp;SUBSTITUTE(SUBSTITUTE(SUBSTITUTE(SUBSTITUTE(UPPER(TRIM(C52&amp;"")),"!","!E"),"*","!A"),"?","!B"),"~","!C")</f>
        <v>ID:</v>
      </c>
    </row>
    <row r="53" ht="75" customHeight="1">
      <c r="B53" s="31"/>
      <c r="C53" s="31"/>
      <c r="D53" s="31"/>
      <c r="E53" s="31"/>
      <c r="F53" s="31"/>
      <c r="G53" s="34"/>
      <c r="H53" s="34"/>
      <c r="I53" s="34"/>
      <c r="J53" s="34"/>
      <c r="K53" s="31"/>
      <c r="L53" s="31"/>
      <c r="M53" s="31"/>
      <c r="N53" s="31"/>
      <c r="O53" s="31"/>
      <c r="P53" s="35">
        <f>IF(AND(ISNUMBER(J53),'REFERENCIAS'!$Q$8=1),ROUND(J53,'REFERENCIAS'!$K$8),"")</f>
      </c>
      <c r="R53" s="29" t="str">
        <f>"ID:"&amp;SUBSTITUTE(SUBSTITUTE(SUBSTITUTE(SUBSTITUTE(UPPER(TRIM(B53&amp;"")),"!","!E"),"*","!A"),"?","!B"),"~","!C")</f>
        <v>ID:</v>
      </c>
      <c r="S53" s="29" t="str">
        <f>"ID:"&amp;SUBSTITUTE(SUBSTITUTE(SUBSTITUTE(SUBSTITUTE(UPPER(TRIM(C53&amp;"")),"!","!E"),"*","!A"),"?","!B"),"~","!C")</f>
        <v>ID:</v>
      </c>
    </row>
    <row r="54" ht="75" customHeight="1">
      <c r="B54" s="31"/>
      <c r="C54" s="31"/>
      <c r="D54" s="31"/>
      <c r="E54" s="31"/>
      <c r="F54" s="31"/>
      <c r="G54" s="34"/>
      <c r="H54" s="34"/>
      <c r="I54" s="34"/>
      <c r="J54" s="34"/>
      <c r="K54" s="31"/>
      <c r="L54" s="31"/>
      <c r="M54" s="31"/>
      <c r="N54" s="31"/>
      <c r="O54" s="31"/>
      <c r="P54" s="35">
        <f>IF(AND(ISNUMBER(J54),'REFERENCIAS'!$Q$8=1),ROUND(J54,'REFERENCIAS'!$K$8),"")</f>
      </c>
      <c r="R54" s="29" t="str">
        <f>"ID:"&amp;SUBSTITUTE(SUBSTITUTE(SUBSTITUTE(SUBSTITUTE(UPPER(TRIM(B54&amp;"")),"!","!E"),"*","!A"),"?","!B"),"~","!C")</f>
        <v>ID:</v>
      </c>
      <c r="S54" s="29" t="str">
        <f>"ID:"&amp;SUBSTITUTE(SUBSTITUTE(SUBSTITUTE(SUBSTITUTE(UPPER(TRIM(C54&amp;"")),"!","!E"),"*","!A"),"?","!B"),"~","!C")</f>
        <v>ID:</v>
      </c>
    </row>
    <row r="55" ht="75" customHeight="1">
      <c r="B55" s="31"/>
      <c r="C55" s="31"/>
      <c r="D55" s="31"/>
      <c r="E55" s="31"/>
      <c r="F55" s="31"/>
      <c r="G55" s="34"/>
      <c r="H55" s="34"/>
      <c r="I55" s="34"/>
      <c r="J55" s="34"/>
      <c r="K55" s="31"/>
      <c r="L55" s="31"/>
      <c r="M55" s="31"/>
      <c r="N55" s="31"/>
      <c r="O55" s="31"/>
      <c r="P55" s="35">
        <f>IF(AND(ISNUMBER(J55),'REFERENCIAS'!$Q$8=1),ROUND(J55,'REFERENCIAS'!$K$8),"")</f>
      </c>
      <c r="R55" s="29" t="str">
        <f>"ID:"&amp;SUBSTITUTE(SUBSTITUTE(SUBSTITUTE(SUBSTITUTE(UPPER(TRIM(B55&amp;"")),"!","!E"),"*","!A"),"?","!B"),"~","!C")</f>
        <v>ID:</v>
      </c>
      <c r="S55" s="29" t="str">
        <f>"ID:"&amp;SUBSTITUTE(SUBSTITUTE(SUBSTITUTE(SUBSTITUTE(UPPER(TRIM(C55&amp;"")),"!","!E"),"*","!A"),"?","!B"),"~","!C")</f>
        <v>ID:</v>
      </c>
    </row>
    <row r="56" ht="75" customHeight="1">
      <c r="B56" s="31"/>
      <c r="C56" s="31"/>
      <c r="D56" s="31"/>
      <c r="E56" s="31"/>
      <c r="F56" s="31"/>
      <c r="G56" s="34"/>
      <c r="H56" s="34"/>
      <c r="I56" s="34"/>
      <c r="J56" s="34"/>
      <c r="K56" s="31"/>
      <c r="L56" s="31"/>
      <c r="M56" s="31"/>
      <c r="N56" s="31"/>
      <c r="O56" s="31"/>
      <c r="P56" s="35">
        <f>IF(AND(ISNUMBER(J56),'REFERENCIAS'!$Q$8=1),ROUND(J56,'REFERENCIAS'!$K$8),"")</f>
      </c>
      <c r="R56" s="29" t="str">
        <f>"ID:"&amp;SUBSTITUTE(SUBSTITUTE(SUBSTITUTE(SUBSTITUTE(UPPER(TRIM(B56&amp;"")),"!","!E"),"*","!A"),"?","!B"),"~","!C")</f>
        <v>ID:</v>
      </c>
      <c r="S56" s="29" t="str">
        <f>"ID:"&amp;SUBSTITUTE(SUBSTITUTE(SUBSTITUTE(SUBSTITUTE(UPPER(TRIM(C56&amp;"")),"!","!E"),"*","!A"),"?","!B"),"~","!C")</f>
        <v>ID:</v>
      </c>
    </row>
    <row r="57" ht="75" customHeight="1">
      <c r="B57" s="31"/>
      <c r="C57" s="31"/>
      <c r="D57" s="31"/>
      <c r="E57" s="31"/>
      <c r="F57" s="31"/>
      <c r="G57" s="34"/>
      <c r="H57" s="34"/>
      <c r="I57" s="34"/>
      <c r="J57" s="34"/>
      <c r="K57" s="31"/>
      <c r="L57" s="31"/>
      <c r="M57" s="31"/>
      <c r="N57" s="31"/>
      <c r="O57" s="31"/>
      <c r="P57" s="35">
        <f>IF(AND(ISNUMBER(J57),'REFERENCIAS'!$Q$8=1),ROUND(J57,'REFERENCIAS'!$K$8),"")</f>
      </c>
      <c r="R57" s="29" t="str">
        <f>"ID:"&amp;SUBSTITUTE(SUBSTITUTE(SUBSTITUTE(SUBSTITUTE(UPPER(TRIM(B57&amp;"")),"!","!E"),"*","!A"),"?","!B"),"~","!C")</f>
        <v>ID:</v>
      </c>
      <c r="S57" s="29" t="str">
        <f>"ID:"&amp;SUBSTITUTE(SUBSTITUTE(SUBSTITUTE(SUBSTITUTE(UPPER(TRIM(C57&amp;"")),"!","!E"),"*","!A"),"?","!B"),"~","!C")</f>
        <v>ID:</v>
      </c>
    </row>
    <row r="58" ht="75" customHeight="1">
      <c r="B58" s="31"/>
      <c r="C58" s="31"/>
      <c r="D58" s="31"/>
      <c r="E58" s="31"/>
      <c r="F58" s="31"/>
      <c r="G58" s="34"/>
      <c r="H58" s="34"/>
      <c r="I58" s="34"/>
      <c r="J58" s="34"/>
      <c r="K58" s="31"/>
      <c r="L58" s="31"/>
      <c r="M58" s="31"/>
      <c r="N58" s="31"/>
      <c r="O58" s="31"/>
      <c r="P58" s="35">
        <f>IF(AND(ISNUMBER(J58),'REFERENCIAS'!$Q$8=1),ROUND(J58,'REFERENCIAS'!$K$8),"")</f>
      </c>
      <c r="R58" s="29" t="str">
        <f>"ID:"&amp;SUBSTITUTE(SUBSTITUTE(SUBSTITUTE(SUBSTITUTE(UPPER(TRIM(B58&amp;"")),"!","!E"),"*","!A"),"?","!B"),"~","!C")</f>
        <v>ID:</v>
      </c>
      <c r="S58" s="29" t="str">
        <f>"ID:"&amp;SUBSTITUTE(SUBSTITUTE(SUBSTITUTE(SUBSTITUTE(UPPER(TRIM(C58&amp;"")),"!","!E"),"*","!A"),"?","!B"),"~","!C")</f>
        <v>ID:</v>
      </c>
    </row>
    <row r="59" ht="75" customHeight="1">
      <c r="B59" s="31"/>
      <c r="C59" s="31"/>
      <c r="D59" s="31"/>
      <c r="E59" s="31"/>
      <c r="F59" s="31"/>
      <c r="G59" s="34"/>
      <c r="H59" s="34"/>
      <c r="I59" s="34"/>
      <c r="J59" s="34"/>
      <c r="K59" s="31"/>
      <c r="L59" s="31"/>
      <c r="M59" s="31"/>
      <c r="N59" s="31"/>
      <c r="O59" s="31"/>
      <c r="P59" s="35">
        <f>IF(AND(ISNUMBER(J59),'REFERENCIAS'!$Q$8=1),ROUND(J59,'REFERENCIAS'!$K$8),"")</f>
      </c>
      <c r="R59" s="29" t="str">
        <f>"ID:"&amp;SUBSTITUTE(SUBSTITUTE(SUBSTITUTE(SUBSTITUTE(UPPER(TRIM(B59&amp;"")),"!","!E"),"*","!A"),"?","!B"),"~","!C")</f>
        <v>ID:</v>
      </c>
      <c r="S59" s="29" t="str">
        <f>"ID:"&amp;SUBSTITUTE(SUBSTITUTE(SUBSTITUTE(SUBSTITUTE(UPPER(TRIM(C59&amp;"")),"!","!E"),"*","!A"),"?","!B"),"~","!C")</f>
        <v>ID:</v>
      </c>
    </row>
    <row r="60" ht="75" customHeight="1">
      <c r="B60" s="31"/>
      <c r="C60" s="31"/>
      <c r="D60" s="31"/>
      <c r="E60" s="31"/>
      <c r="F60" s="31"/>
      <c r="G60" s="34"/>
      <c r="H60" s="34"/>
      <c r="I60" s="34"/>
      <c r="J60" s="34"/>
      <c r="K60" s="31"/>
      <c r="L60" s="31"/>
      <c r="M60" s="31"/>
      <c r="N60" s="31"/>
      <c r="O60" s="31"/>
      <c r="P60" s="35">
        <f>IF(AND(ISNUMBER(J60),'REFERENCIAS'!$Q$8=1),ROUND(J60,'REFERENCIAS'!$K$8),"")</f>
      </c>
      <c r="R60" s="29" t="str">
        <f>"ID:"&amp;SUBSTITUTE(SUBSTITUTE(SUBSTITUTE(SUBSTITUTE(UPPER(TRIM(B60&amp;"")),"!","!E"),"*","!A"),"?","!B"),"~","!C")</f>
        <v>ID:</v>
      </c>
      <c r="S60" s="29" t="str">
        <f>"ID:"&amp;SUBSTITUTE(SUBSTITUTE(SUBSTITUTE(SUBSTITUTE(UPPER(TRIM(C60&amp;"")),"!","!E"),"*","!A"),"?","!B"),"~","!C")</f>
        <v>ID:</v>
      </c>
    </row>
    <row r="61" ht="75" customHeight="1">
      <c r="B61" s="31"/>
      <c r="C61" s="31"/>
      <c r="D61" s="31"/>
      <c r="E61" s="31"/>
      <c r="F61" s="31"/>
      <c r="G61" s="34"/>
      <c r="H61" s="34"/>
      <c r="I61" s="34"/>
      <c r="J61" s="34"/>
      <c r="K61" s="31"/>
      <c r="L61" s="31"/>
      <c r="M61" s="31"/>
      <c r="N61" s="31"/>
      <c r="O61" s="31"/>
      <c r="P61" s="35">
        <f>IF(AND(ISNUMBER(J61),'REFERENCIAS'!$Q$8=1),ROUND(J61,'REFERENCIAS'!$K$8),"")</f>
      </c>
      <c r="R61" s="29" t="str">
        <f>"ID:"&amp;SUBSTITUTE(SUBSTITUTE(SUBSTITUTE(SUBSTITUTE(UPPER(TRIM(B61&amp;"")),"!","!E"),"*","!A"),"?","!B"),"~","!C")</f>
        <v>ID:</v>
      </c>
      <c r="S61" s="29" t="str">
        <f>"ID:"&amp;SUBSTITUTE(SUBSTITUTE(SUBSTITUTE(SUBSTITUTE(UPPER(TRIM(C61&amp;"")),"!","!E"),"*","!A"),"?","!B"),"~","!C")</f>
        <v>ID:</v>
      </c>
    </row>
    <row r="62" ht="75" customHeight="1">
      <c r="B62" s="31"/>
      <c r="C62" s="31"/>
      <c r="D62" s="31"/>
      <c r="E62" s="31"/>
      <c r="F62" s="31"/>
      <c r="G62" s="34"/>
      <c r="H62" s="34"/>
      <c r="I62" s="34"/>
      <c r="J62" s="34"/>
      <c r="K62" s="31"/>
      <c r="L62" s="31"/>
      <c r="M62" s="31"/>
      <c r="N62" s="31"/>
      <c r="O62" s="31"/>
      <c r="P62" s="35">
        <f>IF(AND(ISNUMBER(J62),'REFERENCIAS'!$Q$8=1),ROUND(J62,'REFERENCIAS'!$K$8),"")</f>
      </c>
      <c r="R62" s="29" t="str">
        <f>"ID:"&amp;SUBSTITUTE(SUBSTITUTE(SUBSTITUTE(SUBSTITUTE(UPPER(TRIM(B62&amp;"")),"!","!E"),"*","!A"),"?","!B"),"~","!C")</f>
        <v>ID:</v>
      </c>
      <c r="S62" s="29" t="str">
        <f>"ID:"&amp;SUBSTITUTE(SUBSTITUTE(SUBSTITUTE(SUBSTITUTE(UPPER(TRIM(C62&amp;"")),"!","!E"),"*","!A"),"?","!B"),"~","!C")</f>
        <v>ID:</v>
      </c>
    </row>
    <row r="63" ht="75" customHeight="1">
      <c r="B63" s="31"/>
      <c r="C63" s="31"/>
      <c r="D63" s="31"/>
      <c r="E63" s="31"/>
      <c r="F63" s="31"/>
      <c r="G63" s="34"/>
      <c r="H63" s="34"/>
      <c r="I63" s="34"/>
      <c r="J63" s="34"/>
      <c r="K63" s="31"/>
      <c r="L63" s="31"/>
      <c r="M63" s="31"/>
      <c r="N63" s="31"/>
      <c r="O63" s="31"/>
      <c r="P63" s="35">
        <f>IF(AND(ISNUMBER(J63),'REFERENCIAS'!$Q$8=1),ROUND(J63,'REFERENCIAS'!$K$8),"")</f>
      </c>
      <c r="R63" s="29" t="str">
        <f>"ID:"&amp;SUBSTITUTE(SUBSTITUTE(SUBSTITUTE(SUBSTITUTE(UPPER(TRIM(B63&amp;"")),"!","!E"),"*","!A"),"?","!B"),"~","!C")</f>
        <v>ID:</v>
      </c>
      <c r="S63" s="29" t="str">
        <f>"ID:"&amp;SUBSTITUTE(SUBSTITUTE(SUBSTITUTE(SUBSTITUTE(UPPER(TRIM(C63&amp;"")),"!","!E"),"*","!A"),"?","!B"),"~","!C")</f>
        <v>ID:</v>
      </c>
    </row>
    <row r="64" ht="75" customHeight="1">
      <c r="B64" s="31"/>
      <c r="C64" s="31"/>
      <c r="D64" s="31"/>
      <c r="E64" s="31"/>
      <c r="F64" s="31"/>
      <c r="G64" s="34"/>
      <c r="H64" s="34"/>
      <c r="I64" s="34"/>
      <c r="J64" s="34"/>
      <c r="K64" s="31"/>
      <c r="L64" s="31"/>
      <c r="M64" s="31"/>
      <c r="N64" s="31"/>
      <c r="O64" s="31"/>
      <c r="P64" s="35">
        <f>IF(AND(ISNUMBER(J64),'REFERENCIAS'!$Q$8=1),ROUND(J64,'REFERENCIAS'!$K$8),"")</f>
      </c>
      <c r="R64" s="29" t="str">
        <f>"ID:"&amp;SUBSTITUTE(SUBSTITUTE(SUBSTITUTE(SUBSTITUTE(UPPER(TRIM(B64&amp;"")),"!","!E"),"*","!A"),"?","!B"),"~","!C")</f>
        <v>ID:</v>
      </c>
      <c r="S64" s="29" t="str">
        <f>"ID:"&amp;SUBSTITUTE(SUBSTITUTE(SUBSTITUTE(SUBSTITUTE(UPPER(TRIM(C64&amp;"")),"!","!E"),"*","!A"),"?","!B"),"~","!C")</f>
        <v>ID:</v>
      </c>
    </row>
    <row r="65" ht="75" customHeight="1">
      <c r="B65" s="31"/>
      <c r="C65" s="31"/>
      <c r="D65" s="31"/>
      <c r="E65" s="31"/>
      <c r="F65" s="31"/>
      <c r="G65" s="34"/>
      <c r="H65" s="34"/>
      <c r="I65" s="34"/>
      <c r="J65" s="34"/>
      <c r="K65" s="31"/>
      <c r="L65" s="31"/>
      <c r="M65" s="31"/>
      <c r="N65" s="31"/>
      <c r="O65" s="31"/>
      <c r="P65" s="35">
        <f>IF(AND(ISNUMBER(J65),'REFERENCIAS'!$Q$8=1),ROUND(J65,'REFERENCIAS'!$K$8),"")</f>
      </c>
      <c r="R65" s="29" t="str">
        <f>"ID:"&amp;SUBSTITUTE(SUBSTITUTE(SUBSTITUTE(SUBSTITUTE(UPPER(TRIM(B65&amp;"")),"!","!E"),"*","!A"),"?","!B"),"~","!C")</f>
        <v>ID:</v>
      </c>
      <c r="S65" s="29" t="str">
        <f>"ID:"&amp;SUBSTITUTE(SUBSTITUTE(SUBSTITUTE(SUBSTITUTE(UPPER(TRIM(C65&amp;"")),"!","!E"),"*","!A"),"?","!B"),"~","!C")</f>
        <v>ID:</v>
      </c>
    </row>
    <row r="66" ht="75" customHeight="1">
      <c r="B66" s="31"/>
      <c r="C66" s="31"/>
      <c r="D66" s="31"/>
      <c r="E66" s="31"/>
      <c r="F66" s="31"/>
      <c r="G66" s="34"/>
      <c r="H66" s="34"/>
      <c r="I66" s="34"/>
      <c r="J66" s="34"/>
      <c r="K66" s="31"/>
      <c r="L66" s="31"/>
      <c r="M66" s="31"/>
      <c r="N66" s="31"/>
      <c r="O66" s="31"/>
      <c r="P66" s="35">
        <f>IF(AND(ISNUMBER(J66),'REFERENCIAS'!$Q$8=1),ROUND(J66,'REFERENCIAS'!$K$8),"")</f>
      </c>
      <c r="R66" s="29" t="str">
        <f>"ID:"&amp;SUBSTITUTE(SUBSTITUTE(SUBSTITUTE(SUBSTITUTE(UPPER(TRIM(B66&amp;"")),"!","!E"),"*","!A"),"?","!B"),"~","!C")</f>
        <v>ID:</v>
      </c>
      <c r="S66" s="29" t="str">
        <f>"ID:"&amp;SUBSTITUTE(SUBSTITUTE(SUBSTITUTE(SUBSTITUTE(UPPER(TRIM(C66&amp;"")),"!","!E"),"*","!A"),"?","!B"),"~","!C")</f>
        <v>ID:</v>
      </c>
    </row>
    <row r="67" ht="75" customHeight="1">
      <c r="B67" s="31"/>
      <c r="C67" s="31"/>
      <c r="D67" s="31"/>
      <c r="E67" s="31"/>
      <c r="F67" s="31"/>
      <c r="G67" s="34"/>
      <c r="H67" s="34"/>
      <c r="I67" s="34"/>
      <c r="J67" s="34"/>
      <c r="K67" s="31"/>
      <c r="L67" s="31"/>
      <c r="M67" s="31"/>
      <c r="N67" s="31"/>
      <c r="O67" s="31"/>
      <c r="P67" s="35">
        <f>IF(AND(ISNUMBER(J67),'REFERENCIAS'!$Q$8=1),ROUND(J67,'REFERENCIAS'!$K$8),"")</f>
      </c>
      <c r="R67" s="29" t="str">
        <f>"ID:"&amp;SUBSTITUTE(SUBSTITUTE(SUBSTITUTE(SUBSTITUTE(UPPER(TRIM(B67&amp;"")),"!","!E"),"*","!A"),"?","!B"),"~","!C")</f>
        <v>ID:</v>
      </c>
      <c r="S67" s="29" t="str">
        <f>"ID:"&amp;SUBSTITUTE(SUBSTITUTE(SUBSTITUTE(SUBSTITUTE(UPPER(TRIM(C67&amp;"")),"!","!E"),"*","!A"),"?","!B"),"~","!C")</f>
        <v>ID:</v>
      </c>
    </row>
    <row r="68" ht="75" customHeight="1">
      <c r="B68" s="31"/>
      <c r="C68" s="31"/>
      <c r="D68" s="31"/>
      <c r="E68" s="31"/>
      <c r="F68" s="31"/>
      <c r="G68" s="34"/>
      <c r="H68" s="34"/>
      <c r="I68" s="34"/>
      <c r="J68" s="34"/>
      <c r="K68" s="31"/>
      <c r="L68" s="31"/>
      <c r="M68" s="31"/>
      <c r="N68" s="31"/>
      <c r="O68" s="31"/>
      <c r="P68" s="35">
        <f>IF(AND(ISNUMBER(J68),'REFERENCIAS'!$Q$8=1),ROUND(J68,'REFERENCIAS'!$K$8),"")</f>
      </c>
      <c r="R68" s="29" t="str">
        <f>"ID:"&amp;SUBSTITUTE(SUBSTITUTE(SUBSTITUTE(SUBSTITUTE(UPPER(TRIM(B68&amp;"")),"!","!E"),"*","!A"),"?","!B"),"~","!C")</f>
        <v>ID:</v>
      </c>
      <c r="S68" s="29" t="str">
        <f>"ID:"&amp;SUBSTITUTE(SUBSTITUTE(SUBSTITUTE(SUBSTITUTE(UPPER(TRIM(C68&amp;"")),"!","!E"),"*","!A"),"?","!B"),"~","!C")</f>
        <v>ID:</v>
      </c>
    </row>
    <row r="69" ht="75" customHeight="1">
      <c r="B69" s="31"/>
      <c r="C69" s="31"/>
      <c r="D69" s="31"/>
      <c r="E69" s="31"/>
      <c r="F69" s="31"/>
      <c r="G69" s="34"/>
      <c r="H69" s="34"/>
      <c r="I69" s="34"/>
      <c r="J69" s="34"/>
      <c r="K69" s="31"/>
      <c r="L69" s="31"/>
      <c r="M69" s="31"/>
      <c r="N69" s="31"/>
      <c r="O69" s="31"/>
      <c r="P69" s="35">
        <f>IF(AND(ISNUMBER(J69),'REFERENCIAS'!$Q$8=1),ROUND(J69,'REFERENCIAS'!$K$8),"")</f>
      </c>
      <c r="R69" s="29" t="str">
        <f>"ID:"&amp;SUBSTITUTE(SUBSTITUTE(SUBSTITUTE(SUBSTITUTE(UPPER(TRIM(B69&amp;"")),"!","!E"),"*","!A"),"?","!B"),"~","!C")</f>
        <v>ID:</v>
      </c>
      <c r="S69" s="29" t="str">
        <f>"ID:"&amp;SUBSTITUTE(SUBSTITUTE(SUBSTITUTE(SUBSTITUTE(UPPER(TRIM(C69&amp;"")),"!","!E"),"*","!A"),"?","!B"),"~","!C")</f>
        <v>ID:</v>
      </c>
    </row>
    <row r="70" ht="75" customHeight="1">
      <c r="B70" s="31"/>
      <c r="C70" s="31"/>
      <c r="D70" s="31"/>
      <c r="E70" s="31"/>
      <c r="F70" s="31"/>
      <c r="G70" s="34"/>
      <c r="H70" s="34"/>
      <c r="I70" s="34"/>
      <c r="J70" s="34"/>
      <c r="K70" s="31"/>
      <c r="L70" s="31"/>
      <c r="M70" s="31"/>
      <c r="N70" s="31"/>
      <c r="O70" s="31"/>
      <c r="P70" s="35">
        <f>IF(AND(ISNUMBER(J70),'REFERENCIAS'!$Q$8=1),ROUND(J70,'REFERENCIAS'!$K$8),"")</f>
      </c>
      <c r="R70" s="29" t="str">
        <f>"ID:"&amp;SUBSTITUTE(SUBSTITUTE(SUBSTITUTE(SUBSTITUTE(UPPER(TRIM(B70&amp;"")),"!","!E"),"*","!A"),"?","!B"),"~","!C")</f>
        <v>ID:</v>
      </c>
      <c r="S70" s="29" t="str">
        <f>"ID:"&amp;SUBSTITUTE(SUBSTITUTE(SUBSTITUTE(SUBSTITUTE(UPPER(TRIM(C70&amp;"")),"!","!E"),"*","!A"),"?","!B"),"~","!C")</f>
        <v>ID:</v>
      </c>
    </row>
    <row r="71" ht="75" customHeight="1">
      <c r="B71" s="31"/>
      <c r="C71" s="31"/>
      <c r="D71" s="31"/>
      <c r="E71" s="31"/>
      <c r="F71" s="31"/>
      <c r="G71" s="34"/>
      <c r="H71" s="34"/>
      <c r="I71" s="34"/>
      <c r="J71" s="34"/>
      <c r="K71" s="31"/>
      <c r="L71" s="31"/>
      <c r="M71" s="31"/>
      <c r="N71" s="31"/>
      <c r="O71" s="31"/>
      <c r="P71" s="35">
        <f>IF(AND(ISNUMBER(J71),'REFERENCIAS'!$Q$8=1),ROUND(J71,'REFERENCIAS'!$K$8),"")</f>
      </c>
      <c r="R71" s="29" t="str">
        <f>"ID:"&amp;SUBSTITUTE(SUBSTITUTE(SUBSTITUTE(SUBSTITUTE(UPPER(TRIM(B71&amp;"")),"!","!E"),"*","!A"),"?","!B"),"~","!C")</f>
        <v>ID:</v>
      </c>
      <c r="S71" s="29" t="str">
        <f>"ID:"&amp;SUBSTITUTE(SUBSTITUTE(SUBSTITUTE(SUBSTITUTE(UPPER(TRIM(C71&amp;"")),"!","!E"),"*","!A"),"?","!B"),"~","!C")</f>
        <v>ID:</v>
      </c>
    </row>
    <row r="72" ht="75" customHeight="1">
      <c r="B72" s="31"/>
      <c r="C72" s="31"/>
      <c r="D72" s="31"/>
      <c r="E72" s="31"/>
      <c r="F72" s="31"/>
      <c r="G72" s="34"/>
      <c r="H72" s="34"/>
      <c r="I72" s="34"/>
      <c r="J72" s="34"/>
      <c r="K72" s="31"/>
      <c r="L72" s="31"/>
      <c r="M72" s="31"/>
      <c r="N72" s="31"/>
      <c r="O72" s="31"/>
      <c r="P72" s="35">
        <f>IF(AND(ISNUMBER(J72),'REFERENCIAS'!$Q$8=1),ROUND(J72,'REFERENCIAS'!$K$8),"")</f>
      </c>
      <c r="R72" s="29" t="str">
        <f>"ID:"&amp;SUBSTITUTE(SUBSTITUTE(SUBSTITUTE(SUBSTITUTE(UPPER(TRIM(B72&amp;"")),"!","!E"),"*","!A"),"?","!B"),"~","!C")</f>
        <v>ID:</v>
      </c>
      <c r="S72" s="29" t="str">
        <f>"ID:"&amp;SUBSTITUTE(SUBSTITUTE(SUBSTITUTE(SUBSTITUTE(UPPER(TRIM(C72&amp;"")),"!","!E"),"*","!A"),"?","!B"),"~","!C")</f>
        <v>ID:</v>
      </c>
    </row>
    <row r="73" ht="75" customHeight="1">
      <c r="B73" s="31"/>
      <c r="C73" s="31"/>
      <c r="D73" s="31"/>
      <c r="E73" s="31"/>
      <c r="F73" s="31"/>
      <c r="G73" s="34"/>
      <c r="H73" s="34"/>
      <c r="I73" s="34"/>
      <c r="J73" s="34"/>
      <c r="K73" s="31"/>
      <c r="L73" s="31"/>
      <c r="M73" s="31"/>
      <c r="N73" s="31"/>
      <c r="O73" s="31"/>
      <c r="P73" s="35">
        <f>IF(AND(ISNUMBER(J73),'REFERENCIAS'!$Q$8=1),ROUND(J73,'REFERENCIAS'!$K$8),"")</f>
      </c>
      <c r="R73" s="29" t="str">
        <f>"ID:"&amp;SUBSTITUTE(SUBSTITUTE(SUBSTITUTE(SUBSTITUTE(UPPER(TRIM(B73&amp;"")),"!","!E"),"*","!A"),"?","!B"),"~","!C")</f>
        <v>ID:</v>
      </c>
      <c r="S73" s="29" t="str">
        <f>"ID:"&amp;SUBSTITUTE(SUBSTITUTE(SUBSTITUTE(SUBSTITUTE(UPPER(TRIM(C73&amp;"")),"!","!E"),"*","!A"),"?","!B"),"~","!C")</f>
        <v>ID:</v>
      </c>
    </row>
    <row r="74" ht="75" customHeight="1">
      <c r="B74" s="31"/>
      <c r="C74" s="31"/>
      <c r="D74" s="31"/>
      <c r="E74" s="31"/>
      <c r="F74" s="31"/>
      <c r="G74" s="34"/>
      <c r="H74" s="34"/>
      <c r="I74" s="34"/>
      <c r="J74" s="34"/>
      <c r="K74" s="31"/>
      <c r="L74" s="31"/>
      <c r="M74" s="31"/>
      <c r="N74" s="31"/>
      <c r="O74" s="31"/>
      <c r="P74" s="35">
        <f>IF(AND(ISNUMBER(J74),'REFERENCIAS'!$Q$8=1),ROUND(J74,'REFERENCIAS'!$K$8),"")</f>
      </c>
      <c r="R74" s="29" t="str">
        <f>"ID:"&amp;SUBSTITUTE(SUBSTITUTE(SUBSTITUTE(SUBSTITUTE(UPPER(TRIM(B74&amp;"")),"!","!E"),"*","!A"),"?","!B"),"~","!C")</f>
        <v>ID:</v>
      </c>
      <c r="S74" s="29" t="str">
        <f>"ID:"&amp;SUBSTITUTE(SUBSTITUTE(SUBSTITUTE(SUBSTITUTE(UPPER(TRIM(C74&amp;"")),"!","!E"),"*","!A"),"?","!B"),"~","!C")</f>
        <v>ID:</v>
      </c>
    </row>
    <row r="75" ht="75" customHeight="1">
      <c r="B75" s="31"/>
      <c r="C75" s="31"/>
      <c r="D75" s="31"/>
      <c r="E75" s="31"/>
      <c r="F75" s="31"/>
      <c r="G75" s="34"/>
      <c r="H75" s="34"/>
      <c r="I75" s="34"/>
      <c r="J75" s="34"/>
      <c r="K75" s="31"/>
      <c r="L75" s="31"/>
      <c r="M75" s="31"/>
      <c r="N75" s="31"/>
      <c r="O75" s="31"/>
      <c r="P75" s="35">
        <f>IF(AND(ISNUMBER(J75),'REFERENCIAS'!$Q$8=1),ROUND(J75,'REFERENCIAS'!$K$8),"")</f>
      </c>
      <c r="R75" s="29" t="str">
        <f>"ID:"&amp;SUBSTITUTE(SUBSTITUTE(SUBSTITUTE(SUBSTITUTE(UPPER(TRIM(B75&amp;"")),"!","!E"),"*","!A"),"?","!B"),"~","!C")</f>
        <v>ID:</v>
      </c>
      <c r="S75" s="29" t="str">
        <f>"ID:"&amp;SUBSTITUTE(SUBSTITUTE(SUBSTITUTE(SUBSTITUTE(UPPER(TRIM(C75&amp;"")),"!","!E"),"*","!A"),"?","!B"),"~","!C")</f>
        <v>ID:</v>
      </c>
    </row>
    <row r="76" ht="75" customHeight="1">
      <c r="B76" s="31"/>
      <c r="C76" s="31"/>
      <c r="D76" s="31"/>
      <c r="E76" s="31"/>
      <c r="F76" s="31"/>
      <c r="G76" s="34"/>
      <c r="H76" s="34"/>
      <c r="I76" s="34"/>
      <c r="J76" s="34"/>
      <c r="K76" s="31"/>
      <c r="L76" s="31"/>
      <c r="M76" s="31"/>
      <c r="N76" s="31"/>
      <c r="O76" s="31"/>
      <c r="P76" s="35">
        <f>IF(AND(ISNUMBER(J76),'REFERENCIAS'!$Q$8=1),ROUND(J76,'REFERENCIAS'!$K$8),"")</f>
      </c>
      <c r="R76" s="29" t="str">
        <f>"ID:"&amp;SUBSTITUTE(SUBSTITUTE(SUBSTITUTE(SUBSTITUTE(UPPER(TRIM(B76&amp;"")),"!","!E"),"*","!A"),"?","!B"),"~","!C")</f>
        <v>ID:</v>
      </c>
      <c r="S76" s="29" t="str">
        <f>"ID:"&amp;SUBSTITUTE(SUBSTITUTE(SUBSTITUTE(SUBSTITUTE(UPPER(TRIM(C76&amp;"")),"!","!E"),"*","!A"),"?","!B"),"~","!C")</f>
        <v>ID:</v>
      </c>
    </row>
    <row r="77" ht="75" customHeight="1">
      <c r="B77" s="31"/>
      <c r="C77" s="31"/>
      <c r="D77" s="31"/>
      <c r="E77" s="31"/>
      <c r="F77" s="31"/>
      <c r="G77" s="34"/>
      <c r="H77" s="34"/>
      <c r="I77" s="34"/>
      <c r="J77" s="34"/>
      <c r="K77" s="31"/>
      <c r="L77" s="31"/>
      <c r="M77" s="31"/>
      <c r="N77" s="31"/>
      <c r="O77" s="31"/>
      <c r="P77" s="35">
        <f>IF(AND(ISNUMBER(J77),'REFERENCIAS'!$Q$8=1),ROUND(J77,'REFERENCIAS'!$K$8),"")</f>
      </c>
      <c r="R77" s="29" t="str">
        <f>"ID:"&amp;SUBSTITUTE(SUBSTITUTE(SUBSTITUTE(SUBSTITUTE(UPPER(TRIM(B77&amp;"")),"!","!E"),"*","!A"),"?","!B"),"~","!C")</f>
        <v>ID:</v>
      </c>
      <c r="S77" s="29" t="str">
        <f>"ID:"&amp;SUBSTITUTE(SUBSTITUTE(SUBSTITUTE(SUBSTITUTE(UPPER(TRIM(C77&amp;"")),"!","!E"),"*","!A"),"?","!B"),"~","!C")</f>
        <v>ID:</v>
      </c>
    </row>
    <row r="78" ht="75" customHeight="1">
      <c r="B78" s="31"/>
      <c r="C78" s="31"/>
      <c r="D78" s="31"/>
      <c r="E78" s="31"/>
      <c r="F78" s="31"/>
      <c r="G78" s="34"/>
      <c r="H78" s="34"/>
      <c r="I78" s="34"/>
      <c r="J78" s="34"/>
      <c r="K78" s="31"/>
      <c r="L78" s="31"/>
      <c r="M78" s="31"/>
      <c r="N78" s="31"/>
      <c r="O78" s="31"/>
      <c r="P78" s="35">
        <f>IF(AND(ISNUMBER(J78),'REFERENCIAS'!$Q$8=1),ROUND(J78,'REFERENCIAS'!$K$8),"")</f>
      </c>
      <c r="R78" s="29" t="str">
        <f>"ID:"&amp;SUBSTITUTE(SUBSTITUTE(SUBSTITUTE(SUBSTITUTE(UPPER(TRIM(B78&amp;"")),"!","!E"),"*","!A"),"?","!B"),"~","!C")</f>
        <v>ID:</v>
      </c>
      <c r="S78" s="29" t="str">
        <f>"ID:"&amp;SUBSTITUTE(SUBSTITUTE(SUBSTITUTE(SUBSTITUTE(UPPER(TRIM(C78&amp;"")),"!","!E"),"*","!A"),"?","!B"),"~","!C")</f>
        <v>ID:</v>
      </c>
    </row>
    <row r="79" ht="75" customHeight="1">
      <c r="B79" s="31"/>
      <c r="C79" s="31"/>
      <c r="D79" s="31"/>
      <c r="E79" s="31"/>
      <c r="F79" s="31"/>
      <c r="G79" s="34"/>
      <c r="H79" s="34"/>
      <c r="I79" s="34"/>
      <c r="J79" s="34"/>
      <c r="K79" s="31"/>
      <c r="L79" s="31"/>
      <c r="M79" s="31"/>
      <c r="N79" s="31"/>
      <c r="O79" s="31"/>
      <c r="P79" s="35">
        <f>IF(AND(ISNUMBER(J79),'REFERENCIAS'!$Q$8=1),ROUND(J79,'REFERENCIAS'!$K$8),"")</f>
      </c>
      <c r="R79" s="29" t="str">
        <f>"ID:"&amp;SUBSTITUTE(SUBSTITUTE(SUBSTITUTE(SUBSTITUTE(UPPER(TRIM(B79&amp;"")),"!","!E"),"*","!A"),"?","!B"),"~","!C")</f>
        <v>ID:</v>
      </c>
      <c r="S79" s="29" t="str">
        <f>"ID:"&amp;SUBSTITUTE(SUBSTITUTE(SUBSTITUTE(SUBSTITUTE(UPPER(TRIM(C79&amp;"")),"!","!E"),"*","!A"),"?","!B"),"~","!C")</f>
        <v>ID:</v>
      </c>
    </row>
    <row r="80" ht="75" customHeight="1">
      <c r="B80" s="31"/>
      <c r="C80" s="31"/>
      <c r="D80" s="31"/>
      <c r="E80" s="31"/>
      <c r="F80" s="31"/>
      <c r="G80" s="34"/>
      <c r="H80" s="34"/>
      <c r="I80" s="34"/>
      <c r="J80" s="34"/>
      <c r="K80" s="31"/>
      <c r="L80" s="31"/>
      <c r="M80" s="31"/>
      <c r="N80" s="31"/>
      <c r="O80" s="31"/>
      <c r="P80" s="35">
        <f>IF(AND(ISNUMBER(J80),'REFERENCIAS'!$Q$8=1),ROUND(J80,'REFERENCIAS'!$K$8),"")</f>
      </c>
      <c r="R80" s="29" t="str">
        <f>"ID:"&amp;SUBSTITUTE(SUBSTITUTE(SUBSTITUTE(SUBSTITUTE(UPPER(TRIM(B80&amp;"")),"!","!E"),"*","!A"),"?","!B"),"~","!C")</f>
        <v>ID:</v>
      </c>
      <c r="S80" s="29" t="str">
        <f>"ID:"&amp;SUBSTITUTE(SUBSTITUTE(SUBSTITUTE(SUBSTITUTE(UPPER(TRIM(C80&amp;"")),"!","!E"),"*","!A"),"?","!B"),"~","!C")</f>
        <v>ID:</v>
      </c>
    </row>
    <row r="81" ht="75" customHeight="1">
      <c r="B81" s="31"/>
      <c r="C81" s="31"/>
      <c r="D81" s="31"/>
      <c r="E81" s="31"/>
      <c r="F81" s="31"/>
      <c r="G81" s="34"/>
      <c r="H81" s="34"/>
      <c r="I81" s="34"/>
      <c r="J81" s="34"/>
      <c r="K81" s="31"/>
      <c r="L81" s="31"/>
      <c r="M81" s="31"/>
      <c r="N81" s="31"/>
      <c r="O81" s="31"/>
      <c r="P81" s="35">
        <f>IF(AND(ISNUMBER(J81),'REFERENCIAS'!$Q$8=1),ROUND(J81,'REFERENCIAS'!$K$8),"")</f>
      </c>
      <c r="R81" s="29" t="str">
        <f>"ID:"&amp;SUBSTITUTE(SUBSTITUTE(SUBSTITUTE(SUBSTITUTE(UPPER(TRIM(B81&amp;"")),"!","!E"),"*","!A"),"?","!B"),"~","!C")</f>
        <v>ID:</v>
      </c>
      <c r="S81" s="29" t="str">
        <f>"ID:"&amp;SUBSTITUTE(SUBSTITUTE(SUBSTITUTE(SUBSTITUTE(UPPER(TRIM(C81&amp;"")),"!","!E"),"*","!A"),"?","!B"),"~","!C")</f>
        <v>ID:</v>
      </c>
    </row>
    <row r="82" ht="75" customHeight="1">
      <c r="B82" s="31"/>
      <c r="C82" s="31"/>
      <c r="D82" s="31"/>
      <c r="E82" s="31"/>
      <c r="F82" s="31"/>
      <c r="G82" s="34"/>
      <c r="H82" s="34"/>
      <c r="I82" s="34"/>
      <c r="J82" s="34"/>
      <c r="K82" s="31"/>
      <c r="L82" s="31"/>
      <c r="M82" s="31"/>
      <c r="N82" s="31"/>
      <c r="O82" s="31"/>
      <c r="P82" s="35">
        <f>IF(AND(ISNUMBER(J82),'REFERENCIAS'!$Q$8=1),ROUND(J82,'REFERENCIAS'!$K$8),"")</f>
      </c>
      <c r="R82" s="29" t="str">
        <f>"ID:"&amp;SUBSTITUTE(SUBSTITUTE(SUBSTITUTE(SUBSTITUTE(UPPER(TRIM(B82&amp;"")),"!","!E"),"*","!A"),"?","!B"),"~","!C")</f>
        <v>ID:</v>
      </c>
      <c r="S82" s="29" t="str">
        <f>"ID:"&amp;SUBSTITUTE(SUBSTITUTE(SUBSTITUTE(SUBSTITUTE(UPPER(TRIM(C82&amp;"")),"!","!E"),"*","!A"),"?","!B"),"~","!C")</f>
        <v>ID:</v>
      </c>
    </row>
    <row r="83" ht="75" customHeight="1">
      <c r="B83" s="31"/>
      <c r="C83" s="31"/>
      <c r="D83" s="31"/>
      <c r="E83" s="31"/>
      <c r="F83" s="31"/>
      <c r="G83" s="34"/>
      <c r="H83" s="34"/>
      <c r="I83" s="34"/>
      <c r="J83" s="34"/>
      <c r="K83" s="31"/>
      <c r="L83" s="31"/>
      <c r="M83" s="31"/>
      <c r="N83" s="31"/>
      <c r="O83" s="31"/>
      <c r="P83" s="35">
        <f>IF(AND(ISNUMBER(J83),'REFERENCIAS'!$Q$8=1),ROUND(J83,'REFERENCIAS'!$K$8),"")</f>
      </c>
      <c r="R83" s="29" t="str">
        <f>"ID:"&amp;SUBSTITUTE(SUBSTITUTE(SUBSTITUTE(SUBSTITUTE(UPPER(TRIM(B83&amp;"")),"!","!E"),"*","!A"),"?","!B"),"~","!C")</f>
        <v>ID:</v>
      </c>
      <c r="S83" s="29" t="str">
        <f>"ID:"&amp;SUBSTITUTE(SUBSTITUTE(SUBSTITUTE(SUBSTITUTE(UPPER(TRIM(C83&amp;"")),"!","!E"),"*","!A"),"?","!B"),"~","!C")</f>
        <v>ID:</v>
      </c>
    </row>
    <row r="84" ht="75" customHeight="1">
      <c r="B84" s="31"/>
      <c r="C84" s="31"/>
      <c r="D84" s="31"/>
      <c r="E84" s="31"/>
      <c r="F84" s="31"/>
      <c r="G84" s="34"/>
      <c r="H84" s="34"/>
      <c r="I84" s="34"/>
      <c r="J84" s="34"/>
      <c r="K84" s="31"/>
      <c r="L84" s="31"/>
      <c r="M84" s="31"/>
      <c r="N84" s="31"/>
      <c r="O84" s="31"/>
      <c r="P84" s="35">
        <f>IF(AND(ISNUMBER(J84),'REFERENCIAS'!$Q$8=1),ROUND(J84,'REFERENCIAS'!$K$8),"")</f>
      </c>
      <c r="R84" s="29" t="str">
        <f>"ID:"&amp;SUBSTITUTE(SUBSTITUTE(SUBSTITUTE(SUBSTITUTE(UPPER(TRIM(B84&amp;"")),"!","!E"),"*","!A"),"?","!B"),"~","!C")</f>
        <v>ID:</v>
      </c>
      <c r="S84" s="29" t="str">
        <f>"ID:"&amp;SUBSTITUTE(SUBSTITUTE(SUBSTITUTE(SUBSTITUTE(UPPER(TRIM(C84&amp;"")),"!","!E"),"*","!A"),"?","!B"),"~","!C")</f>
        <v>ID:</v>
      </c>
    </row>
    <row r="85" ht="75" customHeight="1">
      <c r="B85" s="31"/>
      <c r="C85" s="31"/>
      <c r="D85" s="31"/>
      <c r="E85" s="31"/>
      <c r="F85" s="31"/>
      <c r="G85" s="34"/>
      <c r="H85" s="34"/>
      <c r="I85" s="34"/>
      <c r="J85" s="34"/>
      <c r="K85" s="31"/>
      <c r="L85" s="31"/>
      <c r="M85" s="31"/>
      <c r="N85" s="31"/>
      <c r="O85" s="31"/>
      <c r="P85" s="35">
        <f>IF(AND(ISNUMBER(J85),'REFERENCIAS'!$Q$8=1),ROUND(J85,'REFERENCIAS'!$K$8),"")</f>
      </c>
      <c r="R85" s="29" t="str">
        <f>"ID:"&amp;SUBSTITUTE(SUBSTITUTE(SUBSTITUTE(SUBSTITUTE(UPPER(TRIM(B85&amp;"")),"!","!E"),"*","!A"),"?","!B"),"~","!C")</f>
        <v>ID:</v>
      </c>
      <c r="S85" s="29" t="str">
        <f>"ID:"&amp;SUBSTITUTE(SUBSTITUTE(SUBSTITUTE(SUBSTITUTE(UPPER(TRIM(C85&amp;"")),"!","!E"),"*","!A"),"?","!B"),"~","!C")</f>
        <v>ID:</v>
      </c>
    </row>
    <row r="86" ht="75" customHeight="1">
      <c r="B86" s="31"/>
      <c r="C86" s="31"/>
      <c r="D86" s="31"/>
      <c r="E86" s="31"/>
      <c r="F86" s="31"/>
      <c r="G86" s="34"/>
      <c r="H86" s="34"/>
      <c r="I86" s="34"/>
      <c r="J86" s="34"/>
      <c r="K86" s="31"/>
      <c r="L86" s="31"/>
      <c r="M86" s="31"/>
      <c r="N86" s="31"/>
      <c r="O86" s="31"/>
      <c r="P86" s="35">
        <f>IF(AND(ISNUMBER(J86),'REFERENCIAS'!$Q$8=1),ROUND(J86,'REFERENCIAS'!$K$8),"")</f>
      </c>
      <c r="R86" s="29" t="str">
        <f>"ID:"&amp;SUBSTITUTE(SUBSTITUTE(SUBSTITUTE(SUBSTITUTE(UPPER(TRIM(B86&amp;"")),"!","!E"),"*","!A"),"?","!B"),"~","!C")</f>
        <v>ID:</v>
      </c>
      <c r="S86" s="29" t="str">
        <f>"ID:"&amp;SUBSTITUTE(SUBSTITUTE(SUBSTITUTE(SUBSTITUTE(UPPER(TRIM(C86&amp;"")),"!","!E"),"*","!A"),"?","!B"),"~","!C")</f>
        <v>ID:</v>
      </c>
    </row>
    <row r="87" ht="75" customHeight="1">
      <c r="B87" s="31"/>
      <c r="C87" s="31"/>
      <c r="D87" s="31"/>
      <c r="E87" s="31"/>
      <c r="F87" s="31"/>
      <c r="G87" s="34"/>
      <c r="H87" s="34"/>
      <c r="I87" s="34"/>
      <c r="J87" s="34"/>
      <c r="K87" s="31"/>
      <c r="L87" s="31"/>
      <c r="M87" s="31"/>
      <c r="N87" s="31"/>
      <c r="O87" s="31"/>
      <c r="P87" s="35">
        <f>IF(AND(ISNUMBER(J87),'REFERENCIAS'!$Q$8=1),ROUND(J87,'REFERENCIAS'!$K$8),"")</f>
      </c>
      <c r="R87" s="29" t="str">
        <f>"ID:"&amp;SUBSTITUTE(SUBSTITUTE(SUBSTITUTE(SUBSTITUTE(UPPER(TRIM(B87&amp;"")),"!","!E"),"*","!A"),"?","!B"),"~","!C")</f>
        <v>ID:</v>
      </c>
      <c r="S87" s="29" t="str">
        <f>"ID:"&amp;SUBSTITUTE(SUBSTITUTE(SUBSTITUTE(SUBSTITUTE(UPPER(TRIM(C87&amp;"")),"!","!E"),"*","!A"),"?","!B"),"~","!C")</f>
        <v>ID:</v>
      </c>
    </row>
    <row r="88" ht="75" customHeight="1">
      <c r="B88" s="31"/>
      <c r="C88" s="31"/>
      <c r="D88" s="31"/>
      <c r="E88" s="31"/>
      <c r="F88" s="31"/>
      <c r="G88" s="34"/>
      <c r="H88" s="34"/>
      <c r="I88" s="34"/>
      <c r="J88" s="34"/>
      <c r="K88" s="31"/>
      <c r="L88" s="31"/>
      <c r="M88" s="31"/>
      <c r="N88" s="31"/>
      <c r="O88" s="31"/>
      <c r="P88" s="35">
        <f>IF(AND(ISNUMBER(J88),'REFERENCIAS'!$Q$8=1),ROUND(J88,'REFERENCIAS'!$K$8),"")</f>
      </c>
      <c r="R88" s="29" t="str">
        <f>"ID:"&amp;SUBSTITUTE(SUBSTITUTE(SUBSTITUTE(SUBSTITUTE(UPPER(TRIM(B88&amp;"")),"!","!E"),"*","!A"),"?","!B"),"~","!C")</f>
        <v>ID:</v>
      </c>
      <c r="S88" s="29" t="str">
        <f>"ID:"&amp;SUBSTITUTE(SUBSTITUTE(SUBSTITUTE(SUBSTITUTE(UPPER(TRIM(C88&amp;"")),"!","!E"),"*","!A"),"?","!B"),"~","!C")</f>
        <v>ID:</v>
      </c>
    </row>
    <row r="89" ht="75" customHeight="1">
      <c r="B89" s="31"/>
      <c r="C89" s="31"/>
      <c r="D89" s="31"/>
      <c r="E89" s="31"/>
      <c r="F89" s="31"/>
      <c r="G89" s="34"/>
      <c r="H89" s="34"/>
      <c r="I89" s="34"/>
      <c r="J89" s="34"/>
      <c r="K89" s="31"/>
      <c r="L89" s="31"/>
      <c r="M89" s="31"/>
      <c r="N89" s="31"/>
      <c r="O89" s="31"/>
      <c r="P89" s="35">
        <f>IF(AND(ISNUMBER(J89),'REFERENCIAS'!$Q$8=1),ROUND(J89,'REFERENCIAS'!$K$8),"")</f>
      </c>
      <c r="R89" s="29" t="str">
        <f>"ID:"&amp;SUBSTITUTE(SUBSTITUTE(SUBSTITUTE(SUBSTITUTE(UPPER(TRIM(B89&amp;"")),"!","!E"),"*","!A"),"?","!B"),"~","!C")</f>
        <v>ID:</v>
      </c>
      <c r="S89" s="29" t="str">
        <f>"ID:"&amp;SUBSTITUTE(SUBSTITUTE(SUBSTITUTE(SUBSTITUTE(UPPER(TRIM(C89&amp;"")),"!","!E"),"*","!A"),"?","!B"),"~","!C")</f>
        <v>ID:</v>
      </c>
    </row>
    <row r="90" ht="75" customHeight="1">
      <c r="B90" s="31"/>
      <c r="C90" s="31"/>
      <c r="D90" s="31"/>
      <c r="E90" s="31"/>
      <c r="F90" s="31"/>
      <c r="G90" s="34"/>
      <c r="H90" s="34"/>
      <c r="I90" s="34"/>
      <c r="J90" s="34"/>
      <c r="K90" s="31"/>
      <c r="L90" s="31"/>
      <c r="M90" s="31"/>
      <c r="N90" s="31"/>
      <c r="O90" s="31"/>
      <c r="P90" s="35">
        <f>IF(AND(ISNUMBER(J90),'REFERENCIAS'!$Q$8=1),ROUND(J90,'REFERENCIAS'!$K$8),"")</f>
      </c>
      <c r="R90" s="29" t="str">
        <f>"ID:"&amp;SUBSTITUTE(SUBSTITUTE(SUBSTITUTE(SUBSTITUTE(UPPER(TRIM(B90&amp;"")),"!","!E"),"*","!A"),"?","!B"),"~","!C")</f>
        <v>ID:</v>
      </c>
      <c r="S90" s="29" t="str">
        <f>"ID:"&amp;SUBSTITUTE(SUBSTITUTE(SUBSTITUTE(SUBSTITUTE(UPPER(TRIM(C90&amp;"")),"!","!E"),"*","!A"),"?","!B"),"~","!C")</f>
        <v>ID:</v>
      </c>
    </row>
    <row r="91" ht="75" customHeight="1">
      <c r="B91" s="31"/>
      <c r="C91" s="31"/>
      <c r="D91" s="31"/>
      <c r="E91" s="31"/>
      <c r="F91" s="31"/>
      <c r="G91" s="34"/>
      <c r="H91" s="34"/>
      <c r="I91" s="34"/>
      <c r="J91" s="34"/>
      <c r="K91" s="31"/>
      <c r="L91" s="31"/>
      <c r="M91" s="31"/>
      <c r="N91" s="31"/>
      <c r="O91" s="31"/>
      <c r="P91" s="35">
        <f>IF(AND(ISNUMBER(J91),'REFERENCIAS'!$Q$8=1),ROUND(J91,'REFERENCIAS'!$K$8),"")</f>
      </c>
      <c r="R91" s="29" t="str">
        <f>"ID:"&amp;SUBSTITUTE(SUBSTITUTE(SUBSTITUTE(SUBSTITUTE(UPPER(TRIM(B91&amp;"")),"!","!E"),"*","!A"),"?","!B"),"~","!C")</f>
        <v>ID:</v>
      </c>
      <c r="S91" s="29" t="str">
        <f>"ID:"&amp;SUBSTITUTE(SUBSTITUTE(SUBSTITUTE(SUBSTITUTE(UPPER(TRIM(C91&amp;"")),"!","!E"),"*","!A"),"?","!B"),"~","!C")</f>
        <v>ID:</v>
      </c>
    </row>
    <row r="92" ht="75" customHeight="1">
      <c r="B92" s="31"/>
      <c r="C92" s="31"/>
      <c r="D92" s="31"/>
      <c r="E92" s="31"/>
      <c r="F92" s="31"/>
      <c r="G92" s="34"/>
      <c r="H92" s="34"/>
      <c r="I92" s="34"/>
      <c r="J92" s="34"/>
      <c r="K92" s="31"/>
      <c r="L92" s="31"/>
      <c r="M92" s="31"/>
      <c r="N92" s="31"/>
      <c r="O92" s="31"/>
      <c r="P92" s="35">
        <f>IF(AND(ISNUMBER(J92),'REFERENCIAS'!$Q$8=1),ROUND(J92,'REFERENCIAS'!$K$8),"")</f>
      </c>
      <c r="R92" s="29" t="str">
        <f>"ID:"&amp;SUBSTITUTE(SUBSTITUTE(SUBSTITUTE(SUBSTITUTE(UPPER(TRIM(B92&amp;"")),"!","!E"),"*","!A"),"?","!B"),"~","!C")</f>
        <v>ID:</v>
      </c>
      <c r="S92" s="29" t="str">
        <f>"ID:"&amp;SUBSTITUTE(SUBSTITUTE(SUBSTITUTE(SUBSTITUTE(UPPER(TRIM(C92&amp;"")),"!","!E"),"*","!A"),"?","!B"),"~","!C")</f>
        <v>ID:</v>
      </c>
    </row>
    <row r="93" ht="75" customHeight="1">
      <c r="B93" s="31"/>
      <c r="C93" s="31"/>
      <c r="D93" s="31"/>
      <c r="E93" s="31"/>
      <c r="F93" s="31"/>
      <c r="G93" s="34"/>
      <c r="H93" s="34"/>
      <c r="I93" s="34"/>
      <c r="J93" s="34"/>
      <c r="K93" s="31"/>
      <c r="L93" s="31"/>
      <c r="M93" s="31"/>
      <c r="N93" s="31"/>
      <c r="O93" s="31"/>
      <c r="P93" s="35">
        <f>IF(AND(ISNUMBER(J93),'REFERENCIAS'!$Q$8=1),ROUND(J93,'REFERENCIAS'!$K$8),"")</f>
      </c>
      <c r="R93" s="29" t="str">
        <f>"ID:"&amp;SUBSTITUTE(SUBSTITUTE(SUBSTITUTE(SUBSTITUTE(UPPER(TRIM(B93&amp;"")),"!","!E"),"*","!A"),"?","!B"),"~","!C")</f>
        <v>ID:</v>
      </c>
      <c r="S93" s="29" t="str">
        <f>"ID:"&amp;SUBSTITUTE(SUBSTITUTE(SUBSTITUTE(SUBSTITUTE(UPPER(TRIM(C93&amp;"")),"!","!E"),"*","!A"),"?","!B"),"~","!C")</f>
        <v>ID:</v>
      </c>
    </row>
    <row r="94" ht="75" customHeight="1">
      <c r="B94" s="31"/>
      <c r="C94" s="31"/>
      <c r="D94" s="31"/>
      <c r="E94" s="31"/>
      <c r="F94" s="31"/>
      <c r="G94" s="34"/>
      <c r="H94" s="34"/>
      <c r="I94" s="34"/>
      <c r="J94" s="34"/>
      <c r="K94" s="31"/>
      <c r="L94" s="31"/>
      <c r="M94" s="31"/>
      <c r="N94" s="31"/>
      <c r="O94" s="31"/>
      <c r="P94" s="35">
        <f>IF(AND(ISNUMBER(J94),'REFERENCIAS'!$Q$8=1),ROUND(J94,'REFERENCIAS'!$K$8),"")</f>
      </c>
      <c r="R94" s="29" t="str">
        <f>"ID:"&amp;SUBSTITUTE(SUBSTITUTE(SUBSTITUTE(SUBSTITUTE(UPPER(TRIM(B94&amp;"")),"!","!E"),"*","!A"),"?","!B"),"~","!C")</f>
        <v>ID:</v>
      </c>
      <c r="S94" s="29" t="str">
        <f>"ID:"&amp;SUBSTITUTE(SUBSTITUTE(SUBSTITUTE(SUBSTITUTE(UPPER(TRIM(C94&amp;"")),"!","!E"),"*","!A"),"?","!B"),"~","!C")</f>
        <v>ID:</v>
      </c>
    </row>
    <row r="95" ht="75" customHeight="1">
      <c r="B95" s="31"/>
      <c r="C95" s="31"/>
      <c r="D95" s="31"/>
      <c r="E95" s="31"/>
      <c r="F95" s="31"/>
      <c r="G95" s="34"/>
      <c r="H95" s="34"/>
      <c r="I95" s="34"/>
      <c r="J95" s="34"/>
      <c r="K95" s="31"/>
      <c r="L95" s="31"/>
      <c r="M95" s="31"/>
      <c r="N95" s="31"/>
      <c r="O95" s="31"/>
      <c r="P95" s="35">
        <f>IF(AND(ISNUMBER(J95),'REFERENCIAS'!$Q$8=1),ROUND(J95,'REFERENCIAS'!$K$8),"")</f>
      </c>
      <c r="R95" s="29" t="str">
        <f>"ID:"&amp;SUBSTITUTE(SUBSTITUTE(SUBSTITUTE(SUBSTITUTE(UPPER(TRIM(B95&amp;"")),"!","!E"),"*","!A"),"?","!B"),"~","!C")</f>
        <v>ID:</v>
      </c>
      <c r="S95" s="29" t="str">
        <f>"ID:"&amp;SUBSTITUTE(SUBSTITUTE(SUBSTITUTE(SUBSTITUTE(UPPER(TRIM(C95&amp;"")),"!","!E"),"*","!A"),"?","!B"),"~","!C")</f>
        <v>ID:</v>
      </c>
    </row>
    <row r="96" ht="75" customHeight="1">
      <c r="B96" s="31"/>
      <c r="C96" s="31"/>
      <c r="D96" s="31"/>
      <c r="E96" s="31"/>
      <c r="F96" s="31"/>
      <c r="G96" s="34"/>
      <c r="H96" s="34"/>
      <c r="I96" s="34"/>
      <c r="J96" s="34"/>
      <c r="K96" s="31"/>
      <c r="L96" s="31"/>
      <c r="M96" s="31"/>
      <c r="N96" s="31"/>
      <c r="O96" s="31"/>
      <c r="P96" s="35">
        <f>IF(AND(ISNUMBER(J96),'REFERENCIAS'!$Q$8=1),ROUND(J96,'REFERENCIAS'!$K$8),"")</f>
      </c>
      <c r="R96" s="29" t="str">
        <f>"ID:"&amp;SUBSTITUTE(SUBSTITUTE(SUBSTITUTE(SUBSTITUTE(UPPER(TRIM(B96&amp;"")),"!","!E"),"*","!A"),"?","!B"),"~","!C")</f>
        <v>ID:</v>
      </c>
      <c r="S96" s="29" t="str">
        <f>"ID:"&amp;SUBSTITUTE(SUBSTITUTE(SUBSTITUTE(SUBSTITUTE(UPPER(TRIM(C96&amp;"")),"!","!E"),"*","!A"),"?","!B"),"~","!C")</f>
        <v>ID:</v>
      </c>
    </row>
    <row r="97" ht="75" customHeight="1">
      <c r="B97" s="31"/>
      <c r="C97" s="31"/>
      <c r="D97" s="31"/>
      <c r="E97" s="31"/>
      <c r="F97" s="31"/>
      <c r="G97" s="34"/>
      <c r="H97" s="34"/>
      <c r="I97" s="34"/>
      <c r="J97" s="34"/>
      <c r="K97" s="31"/>
      <c r="L97" s="31"/>
      <c r="M97" s="31"/>
      <c r="N97" s="31"/>
      <c r="O97" s="31"/>
      <c r="P97" s="35">
        <f>IF(AND(ISNUMBER(J97),'REFERENCIAS'!$Q$8=1),ROUND(J97,'REFERENCIAS'!$K$8),"")</f>
      </c>
      <c r="R97" s="29" t="str">
        <f>"ID:"&amp;SUBSTITUTE(SUBSTITUTE(SUBSTITUTE(SUBSTITUTE(UPPER(TRIM(B97&amp;"")),"!","!E"),"*","!A"),"?","!B"),"~","!C")</f>
        <v>ID:</v>
      </c>
      <c r="S97" s="29" t="str">
        <f>"ID:"&amp;SUBSTITUTE(SUBSTITUTE(SUBSTITUTE(SUBSTITUTE(UPPER(TRIM(C97&amp;"")),"!","!E"),"*","!A"),"?","!B"),"~","!C")</f>
        <v>ID:</v>
      </c>
    </row>
    <row r="98" ht="75" customHeight="1">
      <c r="B98" s="31"/>
      <c r="C98" s="31"/>
      <c r="D98" s="31"/>
      <c r="E98" s="31"/>
      <c r="F98" s="31"/>
      <c r="G98" s="34"/>
      <c r="H98" s="34"/>
      <c r="I98" s="34"/>
      <c r="J98" s="34"/>
      <c r="K98" s="31"/>
      <c r="L98" s="31"/>
      <c r="M98" s="31"/>
      <c r="N98" s="31"/>
      <c r="O98" s="31"/>
      <c r="P98" s="35">
        <f>IF(AND(ISNUMBER(J98),'REFERENCIAS'!$Q$8=1),ROUND(J98,'REFERENCIAS'!$K$8),"")</f>
      </c>
      <c r="R98" s="29" t="str">
        <f>"ID:"&amp;SUBSTITUTE(SUBSTITUTE(SUBSTITUTE(SUBSTITUTE(UPPER(TRIM(B98&amp;"")),"!","!E"),"*","!A"),"?","!B"),"~","!C")</f>
        <v>ID:</v>
      </c>
      <c r="S98" s="29" t="str">
        <f>"ID:"&amp;SUBSTITUTE(SUBSTITUTE(SUBSTITUTE(SUBSTITUTE(UPPER(TRIM(C98&amp;"")),"!","!E"),"*","!A"),"?","!B"),"~","!C")</f>
        <v>ID:</v>
      </c>
    </row>
    <row r="99" ht="75" customHeight="1">
      <c r="B99" s="31"/>
      <c r="C99" s="31"/>
      <c r="D99" s="31"/>
      <c r="E99" s="31"/>
      <c r="F99" s="31"/>
      <c r="G99" s="34"/>
      <c r="H99" s="34"/>
      <c r="I99" s="34"/>
      <c r="J99" s="34"/>
      <c r="K99" s="31"/>
      <c r="L99" s="31"/>
      <c r="M99" s="31"/>
      <c r="N99" s="31"/>
      <c r="O99" s="31"/>
      <c r="P99" s="35">
        <f>IF(AND(ISNUMBER(J99),'REFERENCIAS'!$Q$8=1),ROUND(J99,'REFERENCIAS'!$K$8),"")</f>
      </c>
      <c r="R99" s="29" t="str">
        <f>"ID:"&amp;SUBSTITUTE(SUBSTITUTE(SUBSTITUTE(SUBSTITUTE(UPPER(TRIM(B99&amp;"")),"!","!E"),"*","!A"),"?","!B"),"~","!C")</f>
        <v>ID:</v>
      </c>
      <c r="S99" s="29" t="str">
        <f>"ID:"&amp;SUBSTITUTE(SUBSTITUTE(SUBSTITUTE(SUBSTITUTE(UPPER(TRIM(C99&amp;"")),"!","!E"),"*","!A"),"?","!B"),"~","!C")</f>
        <v>ID:</v>
      </c>
    </row>
    <row r="100" ht="75" customHeight="1">
      <c r="B100" s="31"/>
      <c r="C100" s="31"/>
      <c r="D100" s="31"/>
      <c r="E100" s="31"/>
      <c r="F100" s="31"/>
      <c r="G100" s="34"/>
      <c r="H100" s="34"/>
      <c r="I100" s="34"/>
      <c r="J100" s="34"/>
      <c r="K100" s="31"/>
      <c r="L100" s="31"/>
      <c r="M100" s="31"/>
      <c r="N100" s="31"/>
      <c r="O100" s="31"/>
      <c r="P100" s="35">
        <f>IF(AND(ISNUMBER(J100),'REFERENCIAS'!$Q$8=1),ROUND(J100,'REFERENCIAS'!$K$8),"")</f>
      </c>
      <c r="R100" s="29" t="str">
        <f>"ID:"&amp;SUBSTITUTE(SUBSTITUTE(SUBSTITUTE(SUBSTITUTE(UPPER(TRIM(B100&amp;"")),"!","!E"),"*","!A"),"?","!B"),"~","!C")</f>
        <v>ID:</v>
      </c>
      <c r="S100" s="29" t="str">
        <f>"ID:"&amp;SUBSTITUTE(SUBSTITUTE(SUBSTITUTE(SUBSTITUTE(UPPER(TRIM(C100&amp;"")),"!","!E"),"*","!A"),"?","!B"),"~","!C")</f>
        <v>ID:</v>
      </c>
    </row>
    <row r="101" ht="75" customHeight="1">
      <c r="B101" s="31"/>
      <c r="C101" s="31"/>
      <c r="D101" s="31"/>
      <c r="E101" s="31"/>
      <c r="F101" s="31"/>
      <c r="G101" s="34"/>
      <c r="H101" s="34"/>
      <c r="I101" s="34"/>
      <c r="J101" s="34"/>
      <c r="K101" s="31"/>
      <c r="L101" s="31"/>
      <c r="M101" s="31"/>
      <c r="N101" s="31"/>
      <c r="O101" s="31"/>
      <c r="P101" s="35">
        <f>IF(AND(ISNUMBER(J101),'REFERENCIAS'!$Q$8=1),ROUND(J101,'REFERENCIAS'!$K$8),"")</f>
      </c>
      <c r="R101" s="29" t="str">
        <f>"ID:"&amp;SUBSTITUTE(SUBSTITUTE(SUBSTITUTE(SUBSTITUTE(UPPER(TRIM(B101&amp;"")),"!","!E"),"*","!A"),"?","!B"),"~","!C")</f>
        <v>ID:</v>
      </c>
      <c r="S101" s="29" t="str">
        <f>"ID:"&amp;SUBSTITUTE(SUBSTITUTE(SUBSTITUTE(SUBSTITUTE(UPPER(TRIM(C101&amp;"")),"!","!E"),"*","!A"),"?","!B"),"~","!C")</f>
        <v>ID:</v>
      </c>
    </row>
    <row r="102" ht="75" customHeight="1">
      <c r="B102" s="31"/>
      <c r="C102" s="31"/>
      <c r="D102" s="31"/>
      <c r="E102" s="31"/>
      <c r="F102" s="31"/>
      <c r="G102" s="34"/>
      <c r="H102" s="34"/>
      <c r="I102" s="34"/>
      <c r="J102" s="34"/>
      <c r="K102" s="31"/>
      <c r="L102" s="31"/>
      <c r="M102" s="31"/>
      <c r="N102" s="31"/>
      <c r="O102" s="31"/>
      <c r="P102" s="35">
        <f>IF(AND(ISNUMBER(J102),'REFERENCIAS'!$Q$8=1),ROUND(J102,'REFERENCIAS'!$K$8),"")</f>
      </c>
      <c r="R102" s="29" t="str">
        <f>"ID:"&amp;SUBSTITUTE(SUBSTITUTE(SUBSTITUTE(SUBSTITUTE(UPPER(TRIM(B102&amp;"")),"!","!E"),"*","!A"),"?","!B"),"~","!C")</f>
        <v>ID:</v>
      </c>
      <c r="S102" s="29" t="str">
        <f>"ID:"&amp;SUBSTITUTE(SUBSTITUTE(SUBSTITUTE(SUBSTITUTE(UPPER(TRIM(C102&amp;"")),"!","!E"),"*","!A"),"?","!B"),"~","!C")</f>
        <v>ID:</v>
      </c>
    </row>
    <row r="103" ht="75" customHeight="1">
      <c r="B103" s="31"/>
      <c r="C103" s="31"/>
      <c r="D103" s="31"/>
      <c r="E103" s="31"/>
      <c r="F103" s="31"/>
      <c r="G103" s="34"/>
      <c r="H103" s="34"/>
      <c r="I103" s="34"/>
      <c r="J103" s="34"/>
      <c r="K103" s="31"/>
      <c r="L103" s="31"/>
      <c r="M103" s="31"/>
      <c r="N103" s="31"/>
      <c r="O103" s="31"/>
      <c r="P103" s="35">
        <f>IF(AND(ISNUMBER(J103),'REFERENCIAS'!$Q$8=1),ROUND(J103,'REFERENCIAS'!$K$8),"")</f>
      </c>
      <c r="R103" s="29" t="str">
        <f>"ID:"&amp;SUBSTITUTE(SUBSTITUTE(SUBSTITUTE(SUBSTITUTE(UPPER(TRIM(B103&amp;"")),"!","!E"),"*","!A"),"?","!B"),"~","!C")</f>
        <v>ID:</v>
      </c>
      <c r="S103" s="29" t="str">
        <f>"ID:"&amp;SUBSTITUTE(SUBSTITUTE(SUBSTITUTE(SUBSTITUTE(UPPER(TRIM(C103&amp;"")),"!","!E"),"*","!A"),"?","!B"),"~","!C")</f>
        <v>ID:</v>
      </c>
    </row>
    <row r="104" ht="75" customHeight="1">
      <c r="B104" s="31"/>
      <c r="C104" s="31"/>
      <c r="D104" s="31"/>
      <c r="E104" s="31"/>
      <c r="F104" s="31"/>
      <c r="G104" s="34"/>
      <c r="H104" s="34"/>
      <c r="I104" s="34"/>
      <c r="J104" s="34"/>
      <c r="K104" s="31"/>
      <c r="L104" s="31"/>
      <c r="M104" s="31"/>
      <c r="N104" s="31"/>
      <c r="O104" s="31"/>
      <c r="P104" s="35">
        <f>IF(AND(ISNUMBER(J104),'REFERENCIAS'!$Q$8=1),ROUND(J104,'REFERENCIAS'!$K$8),"")</f>
      </c>
      <c r="R104" s="29" t="str">
        <f>"ID:"&amp;SUBSTITUTE(SUBSTITUTE(SUBSTITUTE(SUBSTITUTE(UPPER(TRIM(B104&amp;"")),"!","!E"),"*","!A"),"?","!B"),"~","!C")</f>
        <v>ID:</v>
      </c>
      <c r="S104" s="29" t="str">
        <f>"ID:"&amp;SUBSTITUTE(SUBSTITUTE(SUBSTITUTE(SUBSTITUTE(UPPER(TRIM(C104&amp;"")),"!","!E"),"*","!A"),"?","!B"),"~","!C")</f>
        <v>ID:</v>
      </c>
    </row>
    <row r="105" ht="75" customHeight="1">
      <c r="B105" s="31"/>
      <c r="C105" s="31"/>
      <c r="D105" s="31"/>
      <c r="E105" s="31"/>
      <c r="F105" s="31"/>
      <c r="G105" s="34"/>
      <c r="H105" s="34"/>
      <c r="I105" s="34"/>
      <c r="J105" s="34"/>
      <c r="K105" s="31"/>
      <c r="L105" s="31"/>
      <c r="M105" s="31"/>
      <c r="N105" s="31"/>
      <c r="O105" s="31"/>
      <c r="P105" s="35">
        <f>IF(AND(ISNUMBER(J105),'REFERENCIAS'!$Q$8=1),ROUND(J105,'REFERENCIAS'!$K$8),"")</f>
      </c>
      <c r="R105" s="29" t="str">
        <f>"ID:"&amp;SUBSTITUTE(SUBSTITUTE(SUBSTITUTE(SUBSTITUTE(UPPER(TRIM(B105&amp;"")),"!","!E"),"*","!A"),"?","!B"),"~","!C")</f>
        <v>ID:</v>
      </c>
      <c r="S105" s="29" t="str">
        <f>"ID:"&amp;SUBSTITUTE(SUBSTITUTE(SUBSTITUTE(SUBSTITUTE(UPPER(TRIM(C105&amp;"")),"!","!E"),"*","!A"),"?","!B"),"~","!C")</f>
        <v>ID:</v>
      </c>
    </row>
    <row r="106" ht="75" customHeight="1">
      <c r="B106" s="31"/>
      <c r="C106" s="31"/>
      <c r="D106" s="31"/>
      <c r="E106" s="31"/>
      <c r="F106" s="31"/>
      <c r="G106" s="34"/>
      <c r="H106" s="34"/>
      <c r="I106" s="34"/>
      <c r="J106" s="34"/>
      <c r="K106" s="31"/>
      <c r="L106" s="31"/>
      <c r="M106" s="31"/>
      <c r="N106" s="31"/>
      <c r="O106" s="31"/>
      <c r="P106" s="35">
        <f>IF(AND(ISNUMBER(J106),'REFERENCIAS'!$Q$8=1),ROUND(J106,'REFERENCIAS'!$K$8),"")</f>
      </c>
      <c r="R106" s="29" t="str">
        <f>"ID:"&amp;SUBSTITUTE(SUBSTITUTE(SUBSTITUTE(SUBSTITUTE(UPPER(TRIM(B106&amp;"")),"!","!E"),"*","!A"),"?","!B"),"~","!C")</f>
        <v>ID:</v>
      </c>
      <c r="S106" s="29" t="str">
        <f>"ID:"&amp;SUBSTITUTE(SUBSTITUTE(SUBSTITUTE(SUBSTITUTE(UPPER(TRIM(C106&amp;"")),"!","!E"),"*","!A"),"?","!B"),"~","!C")</f>
        <v>ID:</v>
      </c>
    </row>
    <row r="107" ht="75" customHeight="1">
      <c r="B107" s="31"/>
      <c r="C107" s="31"/>
      <c r="D107" s="31"/>
      <c r="E107" s="31"/>
      <c r="F107" s="31"/>
      <c r="G107" s="34"/>
      <c r="H107" s="34"/>
      <c r="I107" s="34"/>
      <c r="J107" s="34"/>
      <c r="K107" s="31"/>
      <c r="L107" s="31"/>
      <c r="M107" s="31"/>
      <c r="N107" s="31"/>
      <c r="O107" s="31"/>
      <c r="P107" s="35">
        <f>IF(AND(ISNUMBER(J107),'REFERENCIAS'!$Q$8=1),ROUND(J107,'REFERENCIAS'!$K$8),"")</f>
      </c>
      <c r="R107" s="29" t="str">
        <f>"ID:"&amp;SUBSTITUTE(SUBSTITUTE(SUBSTITUTE(SUBSTITUTE(UPPER(TRIM(B107&amp;"")),"!","!E"),"*","!A"),"?","!B"),"~","!C")</f>
        <v>ID:</v>
      </c>
      <c r="S107" s="29" t="str">
        <f>"ID:"&amp;SUBSTITUTE(SUBSTITUTE(SUBSTITUTE(SUBSTITUTE(UPPER(TRIM(C107&amp;"")),"!","!E"),"*","!A"),"?","!B"),"~","!C")</f>
        <v>ID:</v>
      </c>
    </row>
    <row r="108" ht="75" customHeight="1">
      <c r="B108" s="31"/>
      <c r="C108" s="31"/>
      <c r="D108" s="31"/>
      <c r="E108" s="31"/>
      <c r="F108" s="31"/>
      <c r="G108" s="34"/>
      <c r="H108" s="34"/>
      <c r="I108" s="34"/>
      <c r="J108" s="34"/>
      <c r="K108" s="31"/>
      <c r="L108" s="31"/>
      <c r="M108" s="31"/>
      <c r="N108" s="31"/>
      <c r="O108" s="31"/>
      <c r="P108" s="35">
        <f>IF(AND(ISNUMBER(J108),'REFERENCIAS'!$Q$8=1),ROUND(J108,'REFERENCIAS'!$K$8),"")</f>
      </c>
      <c r="R108" s="29" t="str">
        <f>"ID:"&amp;SUBSTITUTE(SUBSTITUTE(SUBSTITUTE(SUBSTITUTE(UPPER(TRIM(B108&amp;"")),"!","!E"),"*","!A"),"?","!B"),"~","!C")</f>
        <v>ID:</v>
      </c>
      <c r="S108" s="29" t="str">
        <f>"ID:"&amp;SUBSTITUTE(SUBSTITUTE(SUBSTITUTE(SUBSTITUTE(UPPER(TRIM(C108&amp;"")),"!","!E"),"*","!A"),"?","!B"),"~","!C")</f>
        <v>ID:</v>
      </c>
    </row>
    <row r="109" ht="75" customHeight="1">
      <c r="B109" s="31"/>
      <c r="C109" s="31"/>
      <c r="D109" s="31"/>
      <c r="E109" s="31"/>
      <c r="F109" s="31"/>
      <c r="G109" s="34"/>
      <c r="H109" s="34"/>
      <c r="I109" s="34"/>
      <c r="J109" s="34"/>
      <c r="K109" s="31"/>
      <c r="L109" s="31"/>
      <c r="M109" s="31"/>
      <c r="N109" s="31"/>
      <c r="O109" s="31"/>
      <c r="P109" s="35">
        <f>IF(AND(ISNUMBER(J109),'REFERENCIAS'!$Q$8=1),ROUND(J109,'REFERENCIAS'!$K$8),"")</f>
      </c>
      <c r="R109" s="29" t="str">
        <f>"ID:"&amp;SUBSTITUTE(SUBSTITUTE(SUBSTITUTE(SUBSTITUTE(UPPER(TRIM(B109&amp;"")),"!","!E"),"*","!A"),"?","!B"),"~","!C")</f>
        <v>ID:</v>
      </c>
      <c r="S109" s="29" t="str">
        <f>"ID:"&amp;SUBSTITUTE(SUBSTITUTE(SUBSTITUTE(SUBSTITUTE(UPPER(TRIM(C109&amp;"")),"!","!E"),"*","!A"),"?","!B"),"~","!C")</f>
        <v>ID:</v>
      </c>
    </row>
    <row r="110" ht="75" customHeight="1">
      <c r="B110" s="31"/>
      <c r="C110" s="31"/>
      <c r="D110" s="31"/>
      <c r="E110" s="31"/>
      <c r="F110" s="31"/>
      <c r="G110" s="34"/>
      <c r="H110" s="34"/>
      <c r="I110" s="34"/>
      <c r="J110" s="34"/>
      <c r="K110" s="31"/>
      <c r="L110" s="31"/>
      <c r="M110" s="31"/>
      <c r="N110" s="31"/>
      <c r="O110" s="31"/>
      <c r="P110" s="35">
        <f>IF(AND(ISNUMBER(J110),'REFERENCIAS'!$Q$8=1),ROUND(J110,'REFERENCIAS'!$K$8),"")</f>
      </c>
      <c r="R110" s="29" t="str">
        <f>"ID:"&amp;SUBSTITUTE(SUBSTITUTE(SUBSTITUTE(SUBSTITUTE(UPPER(TRIM(B110&amp;"")),"!","!E"),"*","!A"),"?","!B"),"~","!C")</f>
        <v>ID:</v>
      </c>
      <c r="S110" s="29" t="str">
        <f>"ID:"&amp;SUBSTITUTE(SUBSTITUTE(SUBSTITUTE(SUBSTITUTE(UPPER(TRIM(C110&amp;"")),"!","!E"),"*","!A"),"?","!B"),"~","!C")</f>
        <v>ID:</v>
      </c>
    </row>
    <row r="111" ht="75" customHeight="1">
      <c r="B111" s="31"/>
      <c r="C111" s="31"/>
      <c r="D111" s="31"/>
      <c r="E111" s="31"/>
      <c r="F111" s="31"/>
      <c r="G111" s="34"/>
      <c r="H111" s="34"/>
      <c r="I111" s="34"/>
      <c r="J111" s="34"/>
      <c r="K111" s="31"/>
      <c r="L111" s="31"/>
      <c r="M111" s="31"/>
      <c r="N111" s="31"/>
      <c r="O111" s="31"/>
      <c r="P111" s="35">
        <f>IF(AND(ISNUMBER(J111),'REFERENCIAS'!$Q$8=1),ROUND(J111,'REFERENCIAS'!$K$8),"")</f>
      </c>
      <c r="R111" s="29" t="str">
        <f>"ID:"&amp;SUBSTITUTE(SUBSTITUTE(SUBSTITUTE(SUBSTITUTE(UPPER(TRIM(B111&amp;"")),"!","!E"),"*","!A"),"?","!B"),"~","!C")</f>
        <v>ID:</v>
      </c>
      <c r="S111" s="29" t="str">
        <f>"ID:"&amp;SUBSTITUTE(SUBSTITUTE(SUBSTITUTE(SUBSTITUTE(UPPER(TRIM(C111&amp;"")),"!","!E"),"*","!A"),"?","!B"),"~","!C")</f>
        <v>ID:</v>
      </c>
    </row>
    <row r="112" ht="75" customHeight="1">
      <c r="B112" s="31"/>
      <c r="C112" s="31"/>
      <c r="D112" s="31"/>
      <c r="E112" s="31"/>
      <c r="F112" s="31"/>
      <c r="G112" s="34"/>
      <c r="H112" s="34"/>
      <c r="I112" s="34"/>
      <c r="J112" s="34"/>
      <c r="K112" s="31"/>
      <c r="L112" s="31"/>
      <c r="M112" s="31"/>
      <c r="N112" s="31"/>
      <c r="O112" s="31"/>
      <c r="P112" s="35">
        <f>IF(AND(ISNUMBER(J112),'REFERENCIAS'!$Q$8=1),ROUND(J112,'REFERENCIAS'!$K$8),"")</f>
      </c>
      <c r="R112" s="29" t="str">
        <f>"ID:"&amp;SUBSTITUTE(SUBSTITUTE(SUBSTITUTE(SUBSTITUTE(UPPER(TRIM(B112&amp;"")),"!","!E"),"*","!A"),"?","!B"),"~","!C")</f>
        <v>ID:</v>
      </c>
      <c r="S112" s="29" t="str">
        <f>"ID:"&amp;SUBSTITUTE(SUBSTITUTE(SUBSTITUTE(SUBSTITUTE(UPPER(TRIM(C112&amp;"")),"!","!E"),"*","!A"),"?","!B"),"~","!C")</f>
        <v>ID:</v>
      </c>
    </row>
    <row r="113" ht="75" customHeight="1">
      <c r="B113" s="31"/>
      <c r="C113" s="31"/>
      <c r="D113" s="31"/>
      <c r="E113" s="31"/>
      <c r="F113" s="31"/>
      <c r="G113" s="34"/>
      <c r="H113" s="34"/>
      <c r="I113" s="34"/>
      <c r="J113" s="34"/>
      <c r="K113" s="31"/>
      <c r="L113" s="31"/>
      <c r="M113" s="31"/>
      <c r="N113" s="31"/>
      <c r="O113" s="31"/>
      <c r="P113" s="35">
        <f>IF(AND(ISNUMBER(J113),'REFERENCIAS'!$Q$8=1),ROUND(J113,'REFERENCIAS'!$K$8),"")</f>
      </c>
      <c r="R113" s="29" t="str">
        <f>"ID:"&amp;SUBSTITUTE(SUBSTITUTE(SUBSTITUTE(SUBSTITUTE(UPPER(TRIM(B113&amp;"")),"!","!E"),"*","!A"),"?","!B"),"~","!C")</f>
        <v>ID:</v>
      </c>
      <c r="S113" s="29" t="str">
        <f>"ID:"&amp;SUBSTITUTE(SUBSTITUTE(SUBSTITUTE(SUBSTITUTE(UPPER(TRIM(C113&amp;"")),"!","!E"),"*","!A"),"?","!B"),"~","!C")</f>
        <v>ID:</v>
      </c>
    </row>
    <row r="114" ht="75" customHeight="1">
      <c r="B114" s="31"/>
      <c r="C114" s="31"/>
      <c r="D114" s="31"/>
      <c r="E114" s="31"/>
      <c r="F114" s="31"/>
      <c r="G114" s="34"/>
      <c r="H114" s="34"/>
      <c r="I114" s="34"/>
      <c r="J114" s="34"/>
      <c r="K114" s="31"/>
      <c r="L114" s="31"/>
      <c r="M114" s="31"/>
      <c r="N114" s="31"/>
      <c r="O114" s="31"/>
      <c r="P114" s="35">
        <f>IF(AND(ISNUMBER(J114),'REFERENCIAS'!$Q$8=1),ROUND(J114,'REFERENCIAS'!$K$8),"")</f>
      </c>
      <c r="R114" s="29" t="str">
        <f>"ID:"&amp;SUBSTITUTE(SUBSTITUTE(SUBSTITUTE(SUBSTITUTE(UPPER(TRIM(B114&amp;"")),"!","!E"),"*","!A"),"?","!B"),"~","!C")</f>
        <v>ID:</v>
      </c>
      <c r="S114" s="29" t="str">
        <f>"ID:"&amp;SUBSTITUTE(SUBSTITUTE(SUBSTITUTE(SUBSTITUTE(UPPER(TRIM(C114&amp;"")),"!","!E"),"*","!A"),"?","!B"),"~","!C")</f>
        <v>ID:</v>
      </c>
    </row>
    <row r="115" ht="75" customHeight="1">
      <c r="B115" s="31"/>
      <c r="C115" s="31"/>
      <c r="D115" s="31"/>
      <c r="E115" s="31"/>
      <c r="F115" s="31"/>
      <c r="G115" s="34"/>
      <c r="H115" s="34"/>
      <c r="I115" s="34"/>
      <c r="J115" s="34"/>
      <c r="K115" s="31"/>
      <c r="L115" s="31"/>
      <c r="M115" s="31"/>
      <c r="N115" s="31"/>
      <c r="O115" s="31"/>
      <c r="P115" s="35">
        <f>IF(AND(ISNUMBER(J115),'REFERENCIAS'!$Q$8=1),ROUND(J115,'REFERENCIAS'!$K$8),"")</f>
      </c>
      <c r="R115" s="29" t="str">
        <f>"ID:"&amp;SUBSTITUTE(SUBSTITUTE(SUBSTITUTE(SUBSTITUTE(UPPER(TRIM(B115&amp;"")),"!","!E"),"*","!A"),"?","!B"),"~","!C")</f>
        <v>ID:</v>
      </c>
      <c r="S115" s="29" t="str">
        <f>"ID:"&amp;SUBSTITUTE(SUBSTITUTE(SUBSTITUTE(SUBSTITUTE(UPPER(TRIM(C115&amp;"")),"!","!E"),"*","!A"),"?","!B"),"~","!C")</f>
        <v>ID:</v>
      </c>
    </row>
    <row r="116" ht="75" customHeight="1">
      <c r="B116" s="31"/>
      <c r="C116" s="31"/>
      <c r="D116" s="31"/>
      <c r="E116" s="31"/>
      <c r="F116" s="31"/>
      <c r="G116" s="34"/>
      <c r="H116" s="34"/>
      <c r="I116" s="34"/>
      <c r="J116" s="34"/>
      <c r="K116" s="31"/>
      <c r="L116" s="31"/>
      <c r="M116" s="31"/>
      <c r="N116" s="31"/>
      <c r="O116" s="31"/>
      <c r="P116" s="35">
        <f>IF(AND(ISNUMBER(J116),'REFERENCIAS'!$Q$8=1),ROUND(J116,'REFERENCIAS'!$K$8),"")</f>
      </c>
      <c r="R116" s="29" t="str">
        <f>"ID:"&amp;SUBSTITUTE(SUBSTITUTE(SUBSTITUTE(SUBSTITUTE(UPPER(TRIM(B116&amp;"")),"!","!E"),"*","!A"),"?","!B"),"~","!C")</f>
        <v>ID:</v>
      </c>
      <c r="S116" s="29" t="str">
        <f>"ID:"&amp;SUBSTITUTE(SUBSTITUTE(SUBSTITUTE(SUBSTITUTE(UPPER(TRIM(C116&amp;"")),"!","!E"),"*","!A"),"?","!B"),"~","!C")</f>
        <v>ID:</v>
      </c>
    </row>
    <row r="117" ht="75" customHeight="1">
      <c r="B117" s="31"/>
      <c r="C117" s="31"/>
      <c r="D117" s="31"/>
      <c r="E117" s="31"/>
      <c r="F117" s="31"/>
      <c r="G117" s="34"/>
      <c r="H117" s="34"/>
      <c r="I117" s="34"/>
      <c r="J117" s="34"/>
      <c r="K117" s="31"/>
      <c r="L117" s="31"/>
      <c r="M117" s="31"/>
      <c r="N117" s="31"/>
      <c r="O117" s="31"/>
      <c r="P117" s="35">
        <f>IF(AND(ISNUMBER(J117),'REFERENCIAS'!$Q$8=1),ROUND(J117,'REFERENCIAS'!$K$8),"")</f>
      </c>
      <c r="R117" s="29" t="str">
        <f>"ID:"&amp;SUBSTITUTE(SUBSTITUTE(SUBSTITUTE(SUBSTITUTE(UPPER(TRIM(B117&amp;"")),"!","!E"),"*","!A"),"?","!B"),"~","!C")</f>
        <v>ID:</v>
      </c>
      <c r="S117" s="29" t="str">
        <f>"ID:"&amp;SUBSTITUTE(SUBSTITUTE(SUBSTITUTE(SUBSTITUTE(UPPER(TRIM(C117&amp;"")),"!","!E"),"*","!A"),"?","!B"),"~","!C")</f>
        <v>ID:</v>
      </c>
    </row>
    <row r="118" ht="75" customHeight="1">
      <c r="B118" s="31"/>
      <c r="C118" s="31"/>
      <c r="D118" s="31"/>
      <c r="E118" s="31"/>
      <c r="F118" s="31"/>
      <c r="G118" s="34"/>
      <c r="H118" s="34"/>
      <c r="I118" s="34"/>
      <c r="J118" s="34"/>
      <c r="K118" s="31"/>
      <c r="L118" s="31"/>
      <c r="M118" s="31"/>
      <c r="N118" s="31"/>
      <c r="O118" s="31"/>
      <c r="P118" s="35">
        <f>IF(AND(ISNUMBER(J118),'REFERENCIAS'!$Q$8=1),ROUND(J118,'REFERENCIAS'!$K$8),"")</f>
      </c>
      <c r="R118" s="29" t="str">
        <f>"ID:"&amp;SUBSTITUTE(SUBSTITUTE(SUBSTITUTE(SUBSTITUTE(UPPER(TRIM(B118&amp;"")),"!","!E"),"*","!A"),"?","!B"),"~","!C")</f>
        <v>ID:</v>
      </c>
      <c r="S118" s="29" t="str">
        <f>"ID:"&amp;SUBSTITUTE(SUBSTITUTE(SUBSTITUTE(SUBSTITUTE(UPPER(TRIM(C118&amp;"")),"!","!E"),"*","!A"),"?","!B"),"~","!C")</f>
        <v>ID:</v>
      </c>
    </row>
    <row r="119" ht="75" customHeight="1">
      <c r="B119" s="31"/>
      <c r="C119" s="31"/>
      <c r="D119" s="31"/>
      <c r="E119" s="31"/>
      <c r="F119" s="31"/>
      <c r="G119" s="34"/>
      <c r="H119" s="34"/>
      <c r="I119" s="34"/>
      <c r="J119" s="34"/>
      <c r="K119" s="31"/>
      <c r="L119" s="31"/>
      <c r="M119" s="31"/>
      <c r="N119" s="31"/>
      <c r="O119" s="31"/>
      <c r="P119" s="35">
        <f>IF(AND(ISNUMBER(J119),'REFERENCIAS'!$Q$8=1),ROUND(J119,'REFERENCIAS'!$K$8),"")</f>
      </c>
      <c r="R119" s="29" t="str">
        <f>"ID:"&amp;SUBSTITUTE(SUBSTITUTE(SUBSTITUTE(SUBSTITUTE(UPPER(TRIM(B119&amp;"")),"!","!E"),"*","!A"),"?","!B"),"~","!C")</f>
        <v>ID:</v>
      </c>
      <c r="S119" s="29" t="str">
        <f>"ID:"&amp;SUBSTITUTE(SUBSTITUTE(SUBSTITUTE(SUBSTITUTE(UPPER(TRIM(C119&amp;"")),"!","!E"),"*","!A"),"?","!B"),"~","!C")</f>
        <v>ID:</v>
      </c>
    </row>
    <row r="120" ht="75" customHeight="1">
      <c r="B120" s="31"/>
      <c r="C120" s="31"/>
      <c r="D120" s="31"/>
      <c r="E120" s="31"/>
      <c r="F120" s="31"/>
      <c r="G120" s="34"/>
      <c r="H120" s="34"/>
      <c r="I120" s="34"/>
      <c r="J120" s="34"/>
      <c r="K120" s="31"/>
      <c r="L120" s="31"/>
      <c r="M120" s="31"/>
      <c r="N120" s="31"/>
      <c r="O120" s="31"/>
      <c r="P120" s="35">
        <f>IF(AND(ISNUMBER(J120),'REFERENCIAS'!$Q$8=1),ROUND(J120,'REFERENCIAS'!$K$8),"")</f>
      </c>
      <c r="R120" s="29" t="str">
        <f>"ID:"&amp;SUBSTITUTE(SUBSTITUTE(SUBSTITUTE(SUBSTITUTE(UPPER(TRIM(B120&amp;"")),"!","!E"),"*","!A"),"?","!B"),"~","!C")</f>
        <v>ID:</v>
      </c>
      <c r="S120" s="29" t="str">
        <f>"ID:"&amp;SUBSTITUTE(SUBSTITUTE(SUBSTITUTE(SUBSTITUTE(UPPER(TRIM(C120&amp;"")),"!","!E"),"*","!A"),"?","!B"),"~","!C")</f>
        <v>ID:</v>
      </c>
    </row>
    <row r="121" ht="75" customHeight="1">
      <c r="B121" s="31"/>
      <c r="C121" s="31"/>
      <c r="D121" s="31"/>
      <c r="E121" s="31"/>
      <c r="F121" s="31"/>
      <c r="G121" s="34"/>
      <c r="H121" s="34"/>
      <c r="I121" s="34"/>
      <c r="J121" s="34"/>
      <c r="K121" s="31"/>
      <c r="L121" s="31"/>
      <c r="M121" s="31"/>
      <c r="N121" s="31"/>
      <c r="O121" s="31"/>
      <c r="P121" s="35">
        <f>IF(AND(ISNUMBER(J121),'REFERENCIAS'!$Q$8=1),ROUND(J121,'REFERENCIAS'!$K$8),"")</f>
      </c>
      <c r="R121" s="29" t="str">
        <f>"ID:"&amp;SUBSTITUTE(SUBSTITUTE(SUBSTITUTE(SUBSTITUTE(UPPER(TRIM(B121&amp;"")),"!","!E"),"*","!A"),"?","!B"),"~","!C")</f>
        <v>ID:</v>
      </c>
      <c r="S121" s="29" t="str">
        <f>"ID:"&amp;SUBSTITUTE(SUBSTITUTE(SUBSTITUTE(SUBSTITUTE(UPPER(TRIM(C121&amp;"")),"!","!E"),"*","!A"),"?","!B"),"~","!C")</f>
        <v>ID:</v>
      </c>
    </row>
    <row r="122" ht="75" customHeight="1">
      <c r="B122" s="31"/>
      <c r="C122" s="31"/>
      <c r="D122" s="31"/>
      <c r="E122" s="31"/>
      <c r="F122" s="31"/>
      <c r="G122" s="34"/>
      <c r="H122" s="34"/>
      <c r="I122" s="34"/>
      <c r="J122" s="34"/>
      <c r="K122" s="31"/>
      <c r="L122" s="31"/>
      <c r="M122" s="31"/>
      <c r="N122" s="31"/>
      <c r="O122" s="31"/>
      <c r="P122" s="35">
        <f>IF(AND(ISNUMBER(J122),'REFERENCIAS'!$Q$8=1),ROUND(J122,'REFERENCIAS'!$K$8),"")</f>
      </c>
      <c r="R122" s="29" t="str">
        <f>"ID:"&amp;SUBSTITUTE(SUBSTITUTE(SUBSTITUTE(SUBSTITUTE(UPPER(TRIM(B122&amp;"")),"!","!E"),"*","!A"),"?","!B"),"~","!C")</f>
        <v>ID:</v>
      </c>
      <c r="S122" s="29" t="str">
        <f>"ID:"&amp;SUBSTITUTE(SUBSTITUTE(SUBSTITUTE(SUBSTITUTE(UPPER(TRIM(C122&amp;"")),"!","!E"),"*","!A"),"?","!B"),"~","!C")</f>
        <v>ID:</v>
      </c>
    </row>
    <row r="123" ht="75" customHeight="1">
      <c r="B123" s="31"/>
      <c r="C123" s="31"/>
      <c r="D123" s="31"/>
      <c r="E123" s="31"/>
      <c r="F123" s="31"/>
      <c r="G123" s="34"/>
      <c r="H123" s="34"/>
      <c r="I123" s="34"/>
      <c r="J123" s="34"/>
      <c r="K123" s="31"/>
      <c r="L123" s="31"/>
      <c r="M123" s="31"/>
      <c r="N123" s="31"/>
      <c r="O123" s="31"/>
      <c r="P123" s="35">
        <f>IF(AND(ISNUMBER(J123),'REFERENCIAS'!$Q$8=1),ROUND(J123,'REFERENCIAS'!$K$8),"")</f>
      </c>
      <c r="R123" s="29" t="str">
        <f>"ID:"&amp;SUBSTITUTE(SUBSTITUTE(SUBSTITUTE(SUBSTITUTE(UPPER(TRIM(B123&amp;"")),"!","!E"),"*","!A"),"?","!B"),"~","!C")</f>
        <v>ID:</v>
      </c>
      <c r="S123" s="29" t="str">
        <f>"ID:"&amp;SUBSTITUTE(SUBSTITUTE(SUBSTITUTE(SUBSTITUTE(UPPER(TRIM(C123&amp;"")),"!","!E"),"*","!A"),"?","!B"),"~","!C")</f>
        <v>ID:</v>
      </c>
    </row>
    <row r="124" ht="75" customHeight="1">
      <c r="B124" s="31"/>
      <c r="C124" s="31"/>
      <c r="D124" s="31"/>
      <c r="E124" s="31"/>
      <c r="F124" s="31"/>
      <c r="G124" s="34"/>
      <c r="H124" s="34"/>
      <c r="I124" s="34"/>
      <c r="J124" s="34"/>
      <c r="K124" s="31"/>
      <c r="L124" s="31"/>
      <c r="M124" s="31"/>
      <c r="N124" s="31"/>
      <c r="O124" s="31"/>
      <c r="P124" s="35">
        <f>IF(AND(ISNUMBER(J124),'REFERENCIAS'!$Q$8=1),ROUND(J124,'REFERENCIAS'!$K$8),"")</f>
      </c>
      <c r="R124" s="29" t="str">
        <f>"ID:"&amp;SUBSTITUTE(SUBSTITUTE(SUBSTITUTE(SUBSTITUTE(UPPER(TRIM(B124&amp;"")),"!","!E"),"*","!A"),"?","!B"),"~","!C")</f>
        <v>ID:</v>
      </c>
      <c r="S124" s="29" t="str">
        <f>"ID:"&amp;SUBSTITUTE(SUBSTITUTE(SUBSTITUTE(SUBSTITUTE(UPPER(TRIM(C124&amp;"")),"!","!E"),"*","!A"),"?","!B"),"~","!C")</f>
        <v>ID:</v>
      </c>
    </row>
    <row r="125" ht="75" customHeight="1">
      <c r="B125" s="31"/>
      <c r="C125" s="31"/>
      <c r="D125" s="31"/>
      <c r="E125" s="31"/>
      <c r="F125" s="31"/>
      <c r="G125" s="34"/>
      <c r="H125" s="34"/>
      <c r="I125" s="34"/>
      <c r="J125" s="34"/>
      <c r="K125" s="31"/>
      <c r="L125" s="31"/>
      <c r="M125" s="31"/>
      <c r="N125" s="31"/>
      <c r="O125" s="31"/>
      <c r="P125" s="35">
        <f>IF(AND(ISNUMBER(J125),'REFERENCIAS'!$Q$8=1),ROUND(J125,'REFERENCIAS'!$K$8),"")</f>
      </c>
      <c r="R125" s="29" t="str">
        <f>"ID:"&amp;SUBSTITUTE(SUBSTITUTE(SUBSTITUTE(SUBSTITUTE(UPPER(TRIM(B125&amp;"")),"!","!E"),"*","!A"),"?","!B"),"~","!C")</f>
        <v>ID:</v>
      </c>
      <c r="S125" s="29" t="str">
        <f>"ID:"&amp;SUBSTITUTE(SUBSTITUTE(SUBSTITUTE(SUBSTITUTE(UPPER(TRIM(C125&amp;"")),"!","!E"),"*","!A"),"?","!B"),"~","!C")</f>
        <v>ID:</v>
      </c>
    </row>
    <row r="126" ht="75" customHeight="1">
      <c r="B126" s="31"/>
      <c r="C126" s="31"/>
      <c r="D126" s="31"/>
      <c r="E126" s="31"/>
      <c r="F126" s="31"/>
      <c r="G126" s="34"/>
      <c r="H126" s="34"/>
      <c r="I126" s="34"/>
      <c r="J126" s="34"/>
      <c r="K126" s="31"/>
      <c r="L126" s="31"/>
      <c r="M126" s="31"/>
      <c r="N126" s="31"/>
      <c r="O126" s="31"/>
      <c r="P126" s="35">
        <f>IF(AND(ISNUMBER(J126),'REFERENCIAS'!$Q$8=1),ROUND(J126,'REFERENCIAS'!$K$8),"")</f>
      </c>
      <c r="R126" s="29" t="str">
        <f>"ID:"&amp;SUBSTITUTE(SUBSTITUTE(SUBSTITUTE(SUBSTITUTE(UPPER(TRIM(B126&amp;"")),"!","!E"),"*","!A"),"?","!B"),"~","!C")</f>
        <v>ID:</v>
      </c>
      <c r="S126" s="29" t="str">
        <f>"ID:"&amp;SUBSTITUTE(SUBSTITUTE(SUBSTITUTE(SUBSTITUTE(UPPER(TRIM(C126&amp;"")),"!","!E"),"*","!A"),"?","!B"),"~","!C")</f>
        <v>ID:</v>
      </c>
    </row>
    <row r="127" ht="75" customHeight="1">
      <c r="B127" s="31"/>
      <c r="C127" s="31"/>
      <c r="D127" s="31"/>
      <c r="E127" s="31"/>
      <c r="F127" s="31"/>
      <c r="G127" s="34"/>
      <c r="H127" s="34"/>
      <c r="I127" s="34"/>
      <c r="J127" s="34"/>
      <c r="K127" s="31"/>
      <c r="L127" s="31"/>
      <c r="M127" s="31"/>
      <c r="N127" s="31"/>
      <c r="O127" s="31"/>
      <c r="P127" s="35">
        <f>IF(AND(ISNUMBER(J127),'REFERENCIAS'!$Q$8=1),ROUND(J127,'REFERENCIAS'!$K$8),"")</f>
      </c>
      <c r="R127" s="29" t="str">
        <f>"ID:"&amp;SUBSTITUTE(SUBSTITUTE(SUBSTITUTE(SUBSTITUTE(UPPER(TRIM(B127&amp;"")),"!","!E"),"*","!A"),"?","!B"),"~","!C")</f>
        <v>ID:</v>
      </c>
      <c r="S127" s="29" t="str">
        <f>"ID:"&amp;SUBSTITUTE(SUBSTITUTE(SUBSTITUTE(SUBSTITUTE(UPPER(TRIM(C127&amp;"")),"!","!E"),"*","!A"),"?","!B"),"~","!C")</f>
        <v>ID:</v>
      </c>
    </row>
    <row r="128" ht="75" customHeight="1">
      <c r="B128" s="31"/>
      <c r="C128" s="31"/>
      <c r="D128" s="31"/>
      <c r="E128" s="31"/>
      <c r="F128" s="31"/>
      <c r="G128" s="34"/>
      <c r="H128" s="34"/>
      <c r="I128" s="34"/>
      <c r="J128" s="34"/>
      <c r="K128" s="31"/>
      <c r="L128" s="31"/>
      <c r="M128" s="31"/>
      <c r="N128" s="31"/>
      <c r="O128" s="31"/>
      <c r="P128" s="35">
        <f>IF(AND(ISNUMBER(J128),'REFERENCIAS'!$Q$8=1),ROUND(J128,'REFERENCIAS'!$K$8),"")</f>
      </c>
      <c r="R128" s="29" t="str">
        <f>"ID:"&amp;SUBSTITUTE(SUBSTITUTE(SUBSTITUTE(SUBSTITUTE(UPPER(TRIM(B128&amp;"")),"!","!E"),"*","!A"),"?","!B"),"~","!C")</f>
        <v>ID:</v>
      </c>
      <c r="S128" s="29" t="str">
        <f>"ID:"&amp;SUBSTITUTE(SUBSTITUTE(SUBSTITUTE(SUBSTITUTE(UPPER(TRIM(C128&amp;"")),"!","!E"),"*","!A"),"?","!B"),"~","!C")</f>
        <v>ID:</v>
      </c>
    </row>
    <row r="129" ht="75" customHeight="1">
      <c r="B129" s="31"/>
      <c r="C129" s="31"/>
      <c r="D129" s="31"/>
      <c r="E129" s="31"/>
      <c r="F129" s="31"/>
      <c r="G129" s="34"/>
      <c r="H129" s="34"/>
      <c r="I129" s="34"/>
      <c r="J129" s="34"/>
      <c r="K129" s="31"/>
      <c r="L129" s="31"/>
      <c r="M129" s="31"/>
      <c r="N129" s="31"/>
      <c r="O129" s="31"/>
      <c r="P129" s="35">
        <f>IF(AND(ISNUMBER(J129),'REFERENCIAS'!$Q$8=1),ROUND(J129,'REFERENCIAS'!$K$8),"")</f>
      </c>
      <c r="R129" s="29" t="str">
        <f>"ID:"&amp;SUBSTITUTE(SUBSTITUTE(SUBSTITUTE(SUBSTITUTE(UPPER(TRIM(B129&amp;"")),"!","!E"),"*","!A"),"?","!B"),"~","!C")</f>
        <v>ID:</v>
      </c>
      <c r="S129" s="29" t="str">
        <f>"ID:"&amp;SUBSTITUTE(SUBSTITUTE(SUBSTITUTE(SUBSTITUTE(UPPER(TRIM(C129&amp;"")),"!","!E"),"*","!A"),"?","!B"),"~","!C")</f>
        <v>ID:</v>
      </c>
    </row>
    <row r="130" ht="75" customHeight="1">
      <c r="B130" s="31"/>
      <c r="C130" s="31"/>
      <c r="D130" s="31"/>
      <c r="E130" s="31"/>
      <c r="F130" s="31"/>
      <c r="G130" s="34"/>
      <c r="H130" s="34"/>
      <c r="I130" s="34"/>
      <c r="J130" s="34"/>
      <c r="K130" s="31"/>
      <c r="L130" s="31"/>
      <c r="M130" s="31"/>
      <c r="N130" s="31"/>
      <c r="O130" s="31"/>
      <c r="P130" s="35">
        <f>IF(AND(ISNUMBER(J130),'REFERENCIAS'!$Q$8=1),ROUND(J130,'REFERENCIAS'!$K$8),"")</f>
      </c>
      <c r="R130" s="29" t="str">
        <f>"ID:"&amp;SUBSTITUTE(SUBSTITUTE(SUBSTITUTE(SUBSTITUTE(UPPER(TRIM(B130&amp;"")),"!","!E"),"*","!A"),"?","!B"),"~","!C")</f>
        <v>ID:</v>
      </c>
      <c r="S130" s="29" t="str">
        <f>"ID:"&amp;SUBSTITUTE(SUBSTITUTE(SUBSTITUTE(SUBSTITUTE(UPPER(TRIM(C130&amp;"")),"!","!E"),"*","!A"),"?","!B"),"~","!C")</f>
        <v>ID:</v>
      </c>
    </row>
    <row r="131" ht="75" customHeight="1">
      <c r="B131" s="31"/>
      <c r="C131" s="31"/>
      <c r="D131" s="31"/>
      <c r="E131" s="31"/>
      <c r="F131" s="31"/>
      <c r="G131" s="34"/>
      <c r="H131" s="34"/>
      <c r="I131" s="34"/>
      <c r="J131" s="34"/>
      <c r="K131" s="31"/>
      <c r="L131" s="31"/>
      <c r="M131" s="31"/>
      <c r="N131" s="31"/>
      <c r="O131" s="31"/>
      <c r="P131" s="35">
        <f>IF(AND(ISNUMBER(J131),'REFERENCIAS'!$Q$8=1),ROUND(J131,'REFERENCIAS'!$K$8),"")</f>
      </c>
      <c r="R131" s="29" t="str">
        <f>"ID:"&amp;SUBSTITUTE(SUBSTITUTE(SUBSTITUTE(SUBSTITUTE(UPPER(TRIM(B131&amp;"")),"!","!E"),"*","!A"),"?","!B"),"~","!C")</f>
        <v>ID:</v>
      </c>
      <c r="S131" s="29" t="str">
        <f>"ID:"&amp;SUBSTITUTE(SUBSTITUTE(SUBSTITUTE(SUBSTITUTE(UPPER(TRIM(C131&amp;"")),"!","!E"),"*","!A"),"?","!B"),"~","!C")</f>
        <v>ID:</v>
      </c>
    </row>
    <row r="132" ht="75" customHeight="1">
      <c r="B132" s="31"/>
      <c r="C132" s="31"/>
      <c r="D132" s="31"/>
      <c r="E132" s="31"/>
      <c r="F132" s="31"/>
      <c r="G132" s="34"/>
      <c r="H132" s="34"/>
      <c r="I132" s="34"/>
      <c r="J132" s="34"/>
      <c r="K132" s="31"/>
      <c r="L132" s="31"/>
      <c r="M132" s="31"/>
      <c r="N132" s="31"/>
      <c r="O132" s="31"/>
      <c r="P132" s="35">
        <f>IF(AND(ISNUMBER(J132),'REFERENCIAS'!$Q$8=1),ROUND(J132,'REFERENCIAS'!$K$8),"")</f>
      </c>
      <c r="R132" s="29" t="str">
        <f>"ID:"&amp;SUBSTITUTE(SUBSTITUTE(SUBSTITUTE(SUBSTITUTE(UPPER(TRIM(B132&amp;"")),"!","!E"),"*","!A"),"?","!B"),"~","!C")</f>
        <v>ID:</v>
      </c>
      <c r="S132" s="29" t="str">
        <f>"ID:"&amp;SUBSTITUTE(SUBSTITUTE(SUBSTITUTE(SUBSTITUTE(UPPER(TRIM(C132&amp;"")),"!","!E"),"*","!A"),"?","!B"),"~","!C")</f>
        <v>ID:</v>
      </c>
    </row>
    <row r="133" ht="75" customHeight="1">
      <c r="B133" s="31"/>
      <c r="C133" s="31"/>
      <c r="D133" s="31"/>
      <c r="E133" s="31"/>
      <c r="F133" s="31"/>
      <c r="G133" s="34"/>
      <c r="H133" s="34"/>
      <c r="I133" s="34"/>
      <c r="J133" s="34"/>
      <c r="K133" s="31"/>
      <c r="L133" s="31"/>
      <c r="M133" s="31"/>
      <c r="N133" s="31"/>
      <c r="O133" s="31"/>
      <c r="P133" s="35">
        <f>IF(AND(ISNUMBER(J133),'REFERENCIAS'!$Q$8=1),ROUND(J133,'REFERENCIAS'!$K$8),"")</f>
      </c>
      <c r="R133" s="29" t="str">
        <f>"ID:"&amp;SUBSTITUTE(SUBSTITUTE(SUBSTITUTE(SUBSTITUTE(UPPER(TRIM(B133&amp;"")),"!","!E"),"*","!A"),"?","!B"),"~","!C")</f>
        <v>ID:</v>
      </c>
      <c r="S133" s="29" t="str">
        <f>"ID:"&amp;SUBSTITUTE(SUBSTITUTE(SUBSTITUTE(SUBSTITUTE(UPPER(TRIM(C133&amp;"")),"!","!E"),"*","!A"),"?","!B"),"~","!C")</f>
        <v>ID:</v>
      </c>
    </row>
    <row r="134" ht="75" customHeight="1">
      <c r="B134" s="31"/>
      <c r="C134" s="31"/>
      <c r="D134" s="31"/>
      <c r="E134" s="31"/>
      <c r="F134" s="31"/>
      <c r="G134" s="34"/>
      <c r="H134" s="34"/>
      <c r="I134" s="34"/>
      <c r="J134" s="34"/>
      <c r="K134" s="31"/>
      <c r="L134" s="31"/>
      <c r="M134" s="31"/>
      <c r="N134" s="31"/>
      <c r="O134" s="31"/>
      <c r="P134" s="35">
        <f>IF(AND(ISNUMBER(J134),'REFERENCIAS'!$Q$8=1),ROUND(J134,'REFERENCIAS'!$K$8),"")</f>
      </c>
      <c r="R134" s="29" t="str">
        <f>"ID:"&amp;SUBSTITUTE(SUBSTITUTE(SUBSTITUTE(SUBSTITUTE(UPPER(TRIM(B134&amp;"")),"!","!E"),"*","!A"),"?","!B"),"~","!C")</f>
        <v>ID:</v>
      </c>
      <c r="S134" s="29" t="str">
        <f>"ID:"&amp;SUBSTITUTE(SUBSTITUTE(SUBSTITUTE(SUBSTITUTE(UPPER(TRIM(C134&amp;"")),"!","!E"),"*","!A"),"?","!B"),"~","!C")</f>
        <v>ID:</v>
      </c>
    </row>
    <row r="135" ht="75" customHeight="1">
      <c r="B135" s="31"/>
      <c r="C135" s="31"/>
      <c r="D135" s="31"/>
      <c r="E135" s="31"/>
      <c r="F135" s="31"/>
      <c r="G135" s="34"/>
      <c r="H135" s="34"/>
      <c r="I135" s="34"/>
      <c r="J135" s="34"/>
      <c r="K135" s="31"/>
      <c r="L135" s="31"/>
      <c r="M135" s="31"/>
      <c r="N135" s="31"/>
      <c r="O135" s="31"/>
      <c r="P135" s="35">
        <f>IF(AND(ISNUMBER(J135),'REFERENCIAS'!$Q$8=1),ROUND(J135,'REFERENCIAS'!$K$8),"")</f>
      </c>
      <c r="R135" s="29" t="str">
        <f>"ID:"&amp;SUBSTITUTE(SUBSTITUTE(SUBSTITUTE(SUBSTITUTE(UPPER(TRIM(B135&amp;"")),"!","!E"),"*","!A"),"?","!B"),"~","!C")</f>
        <v>ID:</v>
      </c>
      <c r="S135" s="29" t="str">
        <f>"ID:"&amp;SUBSTITUTE(SUBSTITUTE(SUBSTITUTE(SUBSTITUTE(UPPER(TRIM(C135&amp;"")),"!","!E"),"*","!A"),"?","!B"),"~","!C")</f>
        <v>ID:</v>
      </c>
    </row>
    <row r="136" ht="75" customHeight="1">
      <c r="B136" s="31"/>
      <c r="C136" s="31"/>
      <c r="D136" s="31"/>
      <c r="E136" s="31"/>
      <c r="F136" s="31"/>
      <c r="G136" s="34"/>
      <c r="H136" s="34"/>
      <c r="I136" s="34"/>
      <c r="J136" s="34"/>
      <c r="K136" s="31"/>
      <c r="L136" s="31"/>
      <c r="M136" s="31"/>
      <c r="N136" s="31"/>
      <c r="O136" s="31"/>
      <c r="P136" s="35">
        <f>IF(AND(ISNUMBER(J136),'REFERENCIAS'!$Q$8=1),ROUND(J136,'REFERENCIAS'!$K$8),"")</f>
      </c>
      <c r="R136" s="29" t="str">
        <f>"ID:"&amp;SUBSTITUTE(SUBSTITUTE(SUBSTITUTE(SUBSTITUTE(UPPER(TRIM(B136&amp;"")),"!","!E"),"*","!A"),"?","!B"),"~","!C")</f>
        <v>ID:</v>
      </c>
      <c r="S136" s="29" t="str">
        <f>"ID:"&amp;SUBSTITUTE(SUBSTITUTE(SUBSTITUTE(SUBSTITUTE(UPPER(TRIM(C136&amp;"")),"!","!E"),"*","!A"),"?","!B"),"~","!C")</f>
        <v>ID:</v>
      </c>
    </row>
    <row r="137" ht="75" customHeight="1">
      <c r="B137" s="31"/>
      <c r="C137" s="31"/>
      <c r="D137" s="31"/>
      <c r="E137" s="31"/>
      <c r="F137" s="31"/>
      <c r="G137" s="34"/>
      <c r="H137" s="34"/>
      <c r="I137" s="34"/>
      <c r="J137" s="34"/>
      <c r="K137" s="31"/>
      <c r="L137" s="31"/>
      <c r="M137" s="31"/>
      <c r="N137" s="31"/>
      <c r="O137" s="31"/>
      <c r="P137" s="35">
        <f>IF(AND(ISNUMBER(J137),'REFERENCIAS'!$Q$8=1),ROUND(J137,'REFERENCIAS'!$K$8),"")</f>
      </c>
      <c r="R137" s="29" t="str">
        <f>"ID:"&amp;SUBSTITUTE(SUBSTITUTE(SUBSTITUTE(SUBSTITUTE(UPPER(TRIM(B137&amp;"")),"!","!E"),"*","!A"),"?","!B"),"~","!C")</f>
        <v>ID:</v>
      </c>
      <c r="S137" s="29" t="str">
        <f>"ID:"&amp;SUBSTITUTE(SUBSTITUTE(SUBSTITUTE(SUBSTITUTE(UPPER(TRIM(C137&amp;"")),"!","!E"),"*","!A"),"?","!B"),"~","!C")</f>
        <v>ID:</v>
      </c>
    </row>
    <row r="138" ht="75" customHeight="1">
      <c r="B138" s="31"/>
      <c r="C138" s="31"/>
      <c r="D138" s="31"/>
      <c r="E138" s="31"/>
      <c r="F138" s="31"/>
      <c r="G138" s="34"/>
      <c r="H138" s="34"/>
      <c r="I138" s="34"/>
      <c r="J138" s="34"/>
      <c r="K138" s="31"/>
      <c r="L138" s="31"/>
      <c r="M138" s="31"/>
      <c r="N138" s="31"/>
      <c r="O138" s="31"/>
      <c r="P138" s="35">
        <f>IF(AND(ISNUMBER(J138),'REFERENCIAS'!$Q$8=1),ROUND(J138,'REFERENCIAS'!$K$8),"")</f>
      </c>
      <c r="R138" s="29" t="str">
        <f>"ID:"&amp;SUBSTITUTE(SUBSTITUTE(SUBSTITUTE(SUBSTITUTE(UPPER(TRIM(B138&amp;"")),"!","!E"),"*","!A"),"?","!B"),"~","!C")</f>
        <v>ID:</v>
      </c>
      <c r="S138" s="29" t="str">
        <f>"ID:"&amp;SUBSTITUTE(SUBSTITUTE(SUBSTITUTE(SUBSTITUTE(UPPER(TRIM(C138&amp;"")),"!","!E"),"*","!A"),"?","!B"),"~","!C")</f>
        <v>ID:</v>
      </c>
    </row>
    <row r="139" ht="75" customHeight="1">
      <c r="B139" s="31"/>
      <c r="C139" s="31"/>
      <c r="D139" s="31"/>
      <c r="E139" s="31"/>
      <c r="F139" s="31"/>
      <c r="G139" s="34"/>
      <c r="H139" s="34"/>
      <c r="I139" s="34"/>
      <c r="J139" s="34"/>
      <c r="K139" s="31"/>
      <c r="L139" s="31"/>
      <c r="M139" s="31"/>
      <c r="N139" s="31"/>
      <c r="O139" s="31"/>
      <c r="P139" s="35">
        <f>IF(AND(ISNUMBER(J139),'REFERENCIAS'!$Q$8=1),ROUND(J139,'REFERENCIAS'!$K$8),"")</f>
      </c>
      <c r="R139" s="29" t="str">
        <f>"ID:"&amp;SUBSTITUTE(SUBSTITUTE(SUBSTITUTE(SUBSTITUTE(UPPER(TRIM(B139&amp;"")),"!","!E"),"*","!A"),"?","!B"),"~","!C")</f>
        <v>ID:</v>
      </c>
      <c r="S139" s="29" t="str">
        <f>"ID:"&amp;SUBSTITUTE(SUBSTITUTE(SUBSTITUTE(SUBSTITUTE(UPPER(TRIM(C139&amp;"")),"!","!E"),"*","!A"),"?","!B"),"~","!C")</f>
        <v>ID:</v>
      </c>
    </row>
    <row r="140" ht="75" customHeight="1">
      <c r="B140" s="31"/>
      <c r="C140" s="31"/>
      <c r="D140" s="31"/>
      <c r="E140" s="31"/>
      <c r="F140" s="31"/>
      <c r="G140" s="34"/>
      <c r="H140" s="34"/>
      <c r="I140" s="34"/>
      <c r="J140" s="34"/>
      <c r="K140" s="31"/>
      <c r="L140" s="31"/>
      <c r="M140" s="31"/>
      <c r="N140" s="31"/>
      <c r="O140" s="31"/>
      <c r="P140" s="35">
        <f>IF(AND(ISNUMBER(J140),'REFERENCIAS'!$Q$8=1),ROUND(J140,'REFERENCIAS'!$K$8),"")</f>
      </c>
      <c r="R140" s="29" t="str">
        <f>"ID:"&amp;SUBSTITUTE(SUBSTITUTE(SUBSTITUTE(SUBSTITUTE(UPPER(TRIM(B140&amp;"")),"!","!E"),"*","!A"),"?","!B"),"~","!C")</f>
        <v>ID:</v>
      </c>
      <c r="S140" s="29" t="str">
        <f>"ID:"&amp;SUBSTITUTE(SUBSTITUTE(SUBSTITUTE(SUBSTITUTE(UPPER(TRIM(C140&amp;"")),"!","!E"),"*","!A"),"?","!B"),"~","!C")</f>
        <v>ID:</v>
      </c>
    </row>
    <row r="141" ht="75" customHeight="1">
      <c r="B141" s="31"/>
      <c r="C141" s="31"/>
      <c r="D141" s="31"/>
      <c r="E141" s="31"/>
      <c r="F141" s="31"/>
      <c r="G141" s="34"/>
      <c r="H141" s="34"/>
      <c r="I141" s="34"/>
      <c r="J141" s="34"/>
      <c r="K141" s="31"/>
      <c r="L141" s="31"/>
      <c r="M141" s="31"/>
      <c r="N141" s="31"/>
      <c r="O141" s="31"/>
      <c r="P141" s="35">
        <f>IF(AND(ISNUMBER(J141),'REFERENCIAS'!$Q$8=1),ROUND(J141,'REFERENCIAS'!$K$8),"")</f>
      </c>
      <c r="R141" s="29" t="str">
        <f>"ID:"&amp;SUBSTITUTE(SUBSTITUTE(SUBSTITUTE(SUBSTITUTE(UPPER(TRIM(B141&amp;"")),"!","!E"),"*","!A"),"?","!B"),"~","!C")</f>
        <v>ID:</v>
      </c>
      <c r="S141" s="29" t="str">
        <f>"ID:"&amp;SUBSTITUTE(SUBSTITUTE(SUBSTITUTE(SUBSTITUTE(UPPER(TRIM(C141&amp;"")),"!","!E"),"*","!A"),"?","!B"),"~","!C")</f>
        <v>ID:</v>
      </c>
    </row>
    <row r="142" ht="75" customHeight="1">
      <c r="B142" s="31"/>
      <c r="C142" s="31"/>
      <c r="D142" s="31"/>
      <c r="E142" s="31"/>
      <c r="F142" s="31"/>
      <c r="G142" s="34"/>
      <c r="H142" s="34"/>
      <c r="I142" s="34"/>
      <c r="J142" s="34"/>
      <c r="K142" s="31"/>
      <c r="L142" s="31"/>
      <c r="M142" s="31"/>
      <c r="N142" s="31"/>
      <c r="O142" s="31"/>
      <c r="P142" s="35">
        <f>IF(AND(ISNUMBER(J142),'REFERENCIAS'!$Q$8=1),ROUND(J142,'REFERENCIAS'!$K$8),"")</f>
      </c>
      <c r="R142" s="29" t="str">
        <f>"ID:"&amp;SUBSTITUTE(SUBSTITUTE(SUBSTITUTE(SUBSTITUTE(UPPER(TRIM(B142&amp;"")),"!","!E"),"*","!A"),"?","!B"),"~","!C")</f>
        <v>ID:</v>
      </c>
      <c r="S142" s="29" t="str">
        <f>"ID:"&amp;SUBSTITUTE(SUBSTITUTE(SUBSTITUTE(SUBSTITUTE(UPPER(TRIM(C142&amp;"")),"!","!E"),"*","!A"),"?","!B"),"~","!C")</f>
        <v>ID:</v>
      </c>
    </row>
    <row r="143" ht="75" customHeight="1">
      <c r="B143" s="31"/>
      <c r="C143" s="31"/>
      <c r="D143" s="31"/>
      <c r="E143" s="31"/>
      <c r="F143" s="31"/>
      <c r="G143" s="34"/>
      <c r="H143" s="34"/>
      <c r="I143" s="34"/>
      <c r="J143" s="34"/>
      <c r="K143" s="31"/>
      <c r="L143" s="31"/>
      <c r="M143" s="31"/>
      <c r="N143" s="31"/>
      <c r="O143" s="31"/>
      <c r="P143" s="35">
        <f>IF(AND(ISNUMBER(J143),'REFERENCIAS'!$Q$8=1),ROUND(J143,'REFERENCIAS'!$K$8),"")</f>
      </c>
      <c r="R143" s="29" t="str">
        <f>"ID:"&amp;SUBSTITUTE(SUBSTITUTE(SUBSTITUTE(SUBSTITUTE(UPPER(TRIM(B143&amp;"")),"!","!E"),"*","!A"),"?","!B"),"~","!C")</f>
        <v>ID:</v>
      </c>
      <c r="S143" s="29" t="str">
        <f>"ID:"&amp;SUBSTITUTE(SUBSTITUTE(SUBSTITUTE(SUBSTITUTE(UPPER(TRIM(C143&amp;"")),"!","!E"),"*","!A"),"?","!B"),"~","!C")</f>
        <v>ID:</v>
      </c>
    </row>
    <row r="144" ht="75" customHeight="1">
      <c r="B144" s="31"/>
      <c r="C144" s="31"/>
      <c r="D144" s="31"/>
      <c r="E144" s="31"/>
      <c r="F144" s="31"/>
      <c r="G144" s="34"/>
      <c r="H144" s="34"/>
      <c r="I144" s="34"/>
      <c r="J144" s="34"/>
      <c r="K144" s="31"/>
      <c r="L144" s="31"/>
      <c r="M144" s="31"/>
      <c r="N144" s="31"/>
      <c r="O144" s="31"/>
      <c r="P144" s="35">
        <f>IF(AND(ISNUMBER(J144),'REFERENCIAS'!$Q$8=1),ROUND(J144,'REFERENCIAS'!$K$8),"")</f>
      </c>
      <c r="R144" s="29" t="str">
        <f>"ID:"&amp;SUBSTITUTE(SUBSTITUTE(SUBSTITUTE(SUBSTITUTE(UPPER(TRIM(B144&amp;"")),"!","!E"),"*","!A"),"?","!B"),"~","!C")</f>
        <v>ID:</v>
      </c>
      <c r="S144" s="29" t="str">
        <f>"ID:"&amp;SUBSTITUTE(SUBSTITUTE(SUBSTITUTE(SUBSTITUTE(UPPER(TRIM(C144&amp;"")),"!","!E"),"*","!A"),"?","!B"),"~","!C")</f>
        <v>ID:</v>
      </c>
    </row>
    <row r="145" ht="75" customHeight="1">
      <c r="B145" s="31"/>
      <c r="C145" s="31"/>
      <c r="D145" s="31"/>
      <c r="E145" s="31"/>
      <c r="F145" s="31"/>
      <c r="G145" s="34"/>
      <c r="H145" s="34"/>
      <c r="I145" s="34"/>
      <c r="J145" s="34"/>
      <c r="K145" s="31"/>
      <c r="L145" s="31"/>
      <c r="M145" s="31"/>
      <c r="N145" s="31"/>
      <c r="O145" s="31"/>
      <c r="P145" s="35">
        <f>IF(AND(ISNUMBER(J145),'REFERENCIAS'!$Q$8=1),ROUND(J145,'REFERENCIAS'!$K$8),"")</f>
      </c>
      <c r="R145" s="29" t="str">
        <f>"ID:"&amp;SUBSTITUTE(SUBSTITUTE(SUBSTITUTE(SUBSTITUTE(UPPER(TRIM(B145&amp;"")),"!","!E"),"*","!A"),"?","!B"),"~","!C")</f>
        <v>ID:</v>
      </c>
      <c r="S145" s="29" t="str">
        <f>"ID:"&amp;SUBSTITUTE(SUBSTITUTE(SUBSTITUTE(SUBSTITUTE(UPPER(TRIM(C145&amp;"")),"!","!E"),"*","!A"),"?","!B"),"~","!C")</f>
        <v>ID:</v>
      </c>
    </row>
    <row r="146" ht="75" customHeight="1">
      <c r="B146" s="31"/>
      <c r="C146" s="31"/>
      <c r="D146" s="31"/>
      <c r="E146" s="31"/>
      <c r="F146" s="31"/>
      <c r="G146" s="34"/>
      <c r="H146" s="34"/>
      <c r="I146" s="34"/>
      <c r="J146" s="34"/>
      <c r="K146" s="31"/>
      <c r="L146" s="31"/>
      <c r="M146" s="31"/>
      <c r="N146" s="31"/>
      <c r="O146" s="31"/>
      <c r="P146" s="35">
        <f>IF(AND(ISNUMBER(J146),'REFERENCIAS'!$Q$8=1),ROUND(J146,'REFERENCIAS'!$K$8),"")</f>
      </c>
      <c r="R146" s="29" t="str">
        <f>"ID:"&amp;SUBSTITUTE(SUBSTITUTE(SUBSTITUTE(SUBSTITUTE(UPPER(TRIM(B146&amp;"")),"!","!E"),"*","!A"),"?","!B"),"~","!C")</f>
        <v>ID:</v>
      </c>
      <c r="S146" s="29" t="str">
        <f>"ID:"&amp;SUBSTITUTE(SUBSTITUTE(SUBSTITUTE(SUBSTITUTE(UPPER(TRIM(C146&amp;"")),"!","!E"),"*","!A"),"?","!B"),"~","!C")</f>
        <v>ID:</v>
      </c>
    </row>
    <row r="147" ht="75" customHeight="1">
      <c r="B147" s="31"/>
      <c r="C147" s="31"/>
      <c r="D147" s="31"/>
      <c r="E147" s="31"/>
      <c r="F147" s="31"/>
      <c r="G147" s="34"/>
      <c r="H147" s="34"/>
      <c r="I147" s="34"/>
      <c r="J147" s="34"/>
      <c r="K147" s="31"/>
      <c r="L147" s="31"/>
      <c r="M147" s="31"/>
      <c r="N147" s="31"/>
      <c r="O147" s="31"/>
      <c r="P147" s="35">
        <f>IF(AND(ISNUMBER(J147),'REFERENCIAS'!$Q$8=1),ROUND(J147,'REFERENCIAS'!$K$8),"")</f>
      </c>
      <c r="R147" s="29" t="str">
        <f>"ID:"&amp;SUBSTITUTE(SUBSTITUTE(SUBSTITUTE(SUBSTITUTE(UPPER(TRIM(B147&amp;"")),"!","!E"),"*","!A"),"?","!B"),"~","!C")</f>
        <v>ID:</v>
      </c>
      <c r="S147" s="29" t="str">
        <f>"ID:"&amp;SUBSTITUTE(SUBSTITUTE(SUBSTITUTE(SUBSTITUTE(UPPER(TRIM(C147&amp;"")),"!","!E"),"*","!A"),"?","!B"),"~","!C")</f>
        <v>ID:</v>
      </c>
    </row>
    <row r="148" ht="75" customHeight="1">
      <c r="B148" s="31"/>
      <c r="C148" s="31"/>
      <c r="D148" s="31"/>
      <c r="E148" s="31"/>
      <c r="F148" s="31"/>
      <c r="G148" s="34"/>
      <c r="H148" s="34"/>
      <c r="I148" s="34"/>
      <c r="J148" s="34"/>
      <c r="K148" s="31"/>
      <c r="L148" s="31"/>
      <c r="M148" s="31"/>
      <c r="N148" s="31"/>
      <c r="O148" s="31"/>
      <c r="P148" s="35">
        <f>IF(AND(ISNUMBER(J148),'REFERENCIAS'!$Q$8=1),ROUND(J148,'REFERENCIAS'!$K$8),"")</f>
      </c>
      <c r="R148" s="29" t="str">
        <f>"ID:"&amp;SUBSTITUTE(SUBSTITUTE(SUBSTITUTE(SUBSTITUTE(UPPER(TRIM(B148&amp;"")),"!","!E"),"*","!A"),"?","!B"),"~","!C")</f>
        <v>ID:</v>
      </c>
      <c r="S148" s="29" t="str">
        <f>"ID:"&amp;SUBSTITUTE(SUBSTITUTE(SUBSTITUTE(SUBSTITUTE(UPPER(TRIM(C148&amp;"")),"!","!E"),"*","!A"),"?","!B"),"~","!C")</f>
        <v>ID:</v>
      </c>
    </row>
    <row r="149" ht="75" customHeight="1">
      <c r="B149" s="31"/>
      <c r="C149" s="31"/>
      <c r="D149" s="31"/>
      <c r="E149" s="31"/>
      <c r="F149" s="31"/>
      <c r="G149" s="34"/>
      <c r="H149" s="34"/>
      <c r="I149" s="34"/>
      <c r="J149" s="34"/>
      <c r="K149" s="31"/>
      <c r="L149" s="31"/>
      <c r="M149" s="31"/>
      <c r="N149" s="31"/>
      <c r="O149" s="31"/>
      <c r="P149" s="35">
        <f>IF(AND(ISNUMBER(J149),'REFERENCIAS'!$Q$8=1),ROUND(J149,'REFERENCIAS'!$K$8),"")</f>
      </c>
      <c r="R149" s="29" t="str">
        <f>"ID:"&amp;SUBSTITUTE(SUBSTITUTE(SUBSTITUTE(SUBSTITUTE(UPPER(TRIM(B149&amp;"")),"!","!E"),"*","!A"),"?","!B"),"~","!C")</f>
        <v>ID:</v>
      </c>
      <c r="S149" s="29" t="str">
        <f>"ID:"&amp;SUBSTITUTE(SUBSTITUTE(SUBSTITUTE(SUBSTITUTE(UPPER(TRIM(C149&amp;"")),"!","!E"),"*","!A"),"?","!B"),"~","!C")</f>
        <v>ID:</v>
      </c>
    </row>
    <row r="150" ht="75" customHeight="1">
      <c r="B150" s="31"/>
      <c r="C150" s="31"/>
      <c r="D150" s="31"/>
      <c r="E150" s="31"/>
      <c r="F150" s="31"/>
      <c r="G150" s="34"/>
      <c r="H150" s="34"/>
      <c r="I150" s="34"/>
      <c r="J150" s="34"/>
      <c r="K150" s="31"/>
      <c r="L150" s="31"/>
      <c r="M150" s="31"/>
      <c r="N150" s="31"/>
      <c r="O150" s="31"/>
      <c r="P150" s="35">
        <f>IF(AND(ISNUMBER(J150),'REFERENCIAS'!$Q$8=1),ROUND(J150,'REFERENCIAS'!$K$8),"")</f>
      </c>
      <c r="R150" s="29" t="str">
        <f>"ID:"&amp;SUBSTITUTE(SUBSTITUTE(SUBSTITUTE(SUBSTITUTE(UPPER(TRIM(B150&amp;"")),"!","!E"),"*","!A"),"?","!B"),"~","!C")</f>
        <v>ID:</v>
      </c>
      <c r="S150" s="29" t="str">
        <f>"ID:"&amp;SUBSTITUTE(SUBSTITUTE(SUBSTITUTE(SUBSTITUTE(UPPER(TRIM(C150&amp;"")),"!","!E"),"*","!A"),"?","!B"),"~","!C")</f>
        <v>ID:</v>
      </c>
    </row>
    <row r="151" ht="75" customHeight="1">
      <c r="B151" s="31"/>
      <c r="C151" s="31"/>
      <c r="D151" s="31"/>
      <c r="E151" s="31"/>
      <c r="F151" s="31"/>
      <c r="G151" s="34"/>
      <c r="H151" s="34"/>
      <c r="I151" s="34"/>
      <c r="J151" s="34"/>
      <c r="K151" s="31"/>
      <c r="L151" s="31"/>
      <c r="M151" s="31"/>
      <c r="N151" s="31"/>
      <c r="O151" s="31"/>
      <c r="P151" s="35">
        <f>IF(AND(ISNUMBER(J151),'REFERENCIAS'!$Q$8=1),ROUND(J151,'REFERENCIAS'!$K$8),"")</f>
      </c>
      <c r="R151" s="29" t="str">
        <f>"ID:"&amp;SUBSTITUTE(SUBSTITUTE(SUBSTITUTE(SUBSTITUTE(UPPER(TRIM(B151&amp;"")),"!","!E"),"*","!A"),"?","!B"),"~","!C")</f>
        <v>ID:</v>
      </c>
      <c r="S151" s="29" t="str">
        <f>"ID:"&amp;SUBSTITUTE(SUBSTITUTE(SUBSTITUTE(SUBSTITUTE(UPPER(TRIM(C151&amp;"")),"!","!E"),"*","!A"),"?","!B"),"~","!C")</f>
        <v>ID:</v>
      </c>
    </row>
    <row r="152" ht="75" customHeight="1">
      <c r="B152" s="31"/>
      <c r="C152" s="31"/>
      <c r="D152" s="31"/>
      <c r="E152" s="31"/>
      <c r="F152" s="31"/>
      <c r="G152" s="34"/>
      <c r="H152" s="34"/>
      <c r="I152" s="34"/>
      <c r="J152" s="34"/>
      <c r="K152" s="31"/>
      <c r="L152" s="31"/>
      <c r="M152" s="31"/>
      <c r="N152" s="31"/>
      <c r="O152" s="31"/>
      <c r="P152" s="35">
        <f>IF(AND(ISNUMBER(J152),'REFERENCIAS'!$Q$8=1),ROUND(J152,'REFERENCIAS'!$K$8),"")</f>
      </c>
      <c r="R152" s="29" t="str">
        <f>"ID:"&amp;SUBSTITUTE(SUBSTITUTE(SUBSTITUTE(SUBSTITUTE(UPPER(TRIM(B152&amp;"")),"!","!E"),"*","!A"),"?","!B"),"~","!C")</f>
        <v>ID:</v>
      </c>
      <c r="S152" s="29" t="str">
        <f>"ID:"&amp;SUBSTITUTE(SUBSTITUTE(SUBSTITUTE(SUBSTITUTE(UPPER(TRIM(C152&amp;"")),"!","!E"),"*","!A"),"?","!B"),"~","!C")</f>
        <v>ID:</v>
      </c>
    </row>
    <row r="153" ht="75" customHeight="1">
      <c r="B153" s="31"/>
      <c r="C153" s="31"/>
      <c r="D153" s="31"/>
      <c r="E153" s="31"/>
      <c r="F153" s="31"/>
      <c r="G153" s="34"/>
      <c r="H153" s="34"/>
      <c r="I153" s="34"/>
      <c r="J153" s="34"/>
      <c r="K153" s="31"/>
      <c r="L153" s="31"/>
      <c r="M153" s="31"/>
      <c r="N153" s="31"/>
      <c r="O153" s="31"/>
      <c r="P153" s="35">
        <f>IF(AND(ISNUMBER(J153),'REFERENCIAS'!$Q$8=1),ROUND(J153,'REFERENCIAS'!$K$8),"")</f>
      </c>
      <c r="R153" s="29" t="str">
        <f>"ID:"&amp;SUBSTITUTE(SUBSTITUTE(SUBSTITUTE(SUBSTITUTE(UPPER(TRIM(B153&amp;"")),"!","!E"),"*","!A"),"?","!B"),"~","!C")</f>
        <v>ID:</v>
      </c>
      <c r="S153" s="29" t="str">
        <f>"ID:"&amp;SUBSTITUTE(SUBSTITUTE(SUBSTITUTE(SUBSTITUTE(UPPER(TRIM(C153&amp;"")),"!","!E"),"*","!A"),"?","!B"),"~","!C")</f>
        <v>ID:</v>
      </c>
    </row>
    <row r="154" ht="75" customHeight="1">
      <c r="B154" s="31"/>
      <c r="C154" s="31"/>
      <c r="D154" s="31"/>
      <c r="E154" s="31"/>
      <c r="F154" s="31"/>
      <c r="G154" s="34"/>
      <c r="H154" s="34"/>
      <c r="I154" s="34"/>
      <c r="J154" s="34"/>
      <c r="K154" s="31"/>
      <c r="L154" s="31"/>
      <c r="M154" s="31"/>
      <c r="N154" s="31"/>
      <c r="O154" s="31"/>
      <c r="P154" s="35">
        <f>IF(AND(ISNUMBER(J154),'REFERENCIAS'!$Q$8=1),ROUND(J154,'REFERENCIAS'!$K$8),"")</f>
      </c>
      <c r="R154" s="29" t="str">
        <f>"ID:"&amp;SUBSTITUTE(SUBSTITUTE(SUBSTITUTE(SUBSTITUTE(UPPER(TRIM(B154&amp;"")),"!","!E"),"*","!A"),"?","!B"),"~","!C")</f>
        <v>ID:</v>
      </c>
      <c r="S154" s="29" t="str">
        <f>"ID:"&amp;SUBSTITUTE(SUBSTITUTE(SUBSTITUTE(SUBSTITUTE(UPPER(TRIM(C154&amp;"")),"!","!E"),"*","!A"),"?","!B"),"~","!C")</f>
        <v>ID:</v>
      </c>
    </row>
    <row r="155" ht="75" customHeight="1">
      <c r="B155" s="31"/>
      <c r="C155" s="31"/>
      <c r="D155" s="31"/>
      <c r="E155" s="31"/>
      <c r="F155" s="31"/>
      <c r="G155" s="34"/>
      <c r="H155" s="34"/>
      <c r="I155" s="34"/>
      <c r="J155" s="34"/>
      <c r="K155" s="31"/>
      <c r="L155" s="31"/>
      <c r="M155" s="31"/>
      <c r="N155" s="31"/>
      <c r="O155" s="31"/>
      <c r="P155" s="35">
        <f>IF(AND(ISNUMBER(J155),'REFERENCIAS'!$Q$8=1),ROUND(J155,'REFERENCIAS'!$K$8),"")</f>
      </c>
      <c r="R155" s="29" t="str">
        <f>"ID:"&amp;SUBSTITUTE(SUBSTITUTE(SUBSTITUTE(SUBSTITUTE(UPPER(TRIM(B155&amp;"")),"!","!E"),"*","!A"),"?","!B"),"~","!C")</f>
        <v>ID:</v>
      </c>
      <c r="S155" s="29" t="str">
        <f>"ID:"&amp;SUBSTITUTE(SUBSTITUTE(SUBSTITUTE(SUBSTITUTE(UPPER(TRIM(C155&amp;"")),"!","!E"),"*","!A"),"?","!B"),"~","!C")</f>
        <v>ID:</v>
      </c>
    </row>
    <row r="156" ht="75" customHeight="1">
      <c r="B156" s="31"/>
      <c r="C156" s="31"/>
      <c r="D156" s="31"/>
      <c r="E156" s="31"/>
      <c r="F156" s="31"/>
      <c r="G156" s="34"/>
      <c r="H156" s="34"/>
      <c r="I156" s="34"/>
      <c r="J156" s="34"/>
      <c r="K156" s="31"/>
      <c r="L156" s="31"/>
      <c r="M156" s="31"/>
      <c r="N156" s="31"/>
      <c r="O156" s="31"/>
      <c r="P156" s="35">
        <f>IF(AND(ISNUMBER(J156),'REFERENCIAS'!$Q$8=1),ROUND(J156,'REFERENCIAS'!$K$8),"")</f>
      </c>
      <c r="R156" s="29" t="str">
        <f>"ID:"&amp;SUBSTITUTE(SUBSTITUTE(SUBSTITUTE(SUBSTITUTE(UPPER(TRIM(B156&amp;"")),"!","!E"),"*","!A"),"?","!B"),"~","!C")</f>
        <v>ID:</v>
      </c>
      <c r="S156" s="29" t="str">
        <f>"ID:"&amp;SUBSTITUTE(SUBSTITUTE(SUBSTITUTE(SUBSTITUTE(UPPER(TRIM(C156&amp;"")),"!","!E"),"*","!A"),"?","!B"),"~","!C")</f>
        <v>ID:</v>
      </c>
    </row>
    <row r="157" ht="75" customHeight="1">
      <c r="B157" s="31"/>
      <c r="C157" s="31"/>
      <c r="D157" s="31"/>
      <c r="E157" s="31"/>
      <c r="F157" s="31"/>
      <c r="G157" s="34"/>
      <c r="H157" s="34"/>
      <c r="I157" s="34"/>
      <c r="J157" s="34"/>
      <c r="K157" s="31"/>
      <c r="L157" s="31"/>
      <c r="M157" s="31"/>
      <c r="N157" s="31"/>
      <c r="O157" s="31"/>
      <c r="P157" s="35">
        <f>IF(AND(ISNUMBER(J157),'REFERENCIAS'!$Q$8=1),ROUND(J157,'REFERENCIAS'!$K$8),"")</f>
      </c>
      <c r="R157" s="29" t="str">
        <f>"ID:"&amp;SUBSTITUTE(SUBSTITUTE(SUBSTITUTE(SUBSTITUTE(UPPER(TRIM(B157&amp;"")),"!","!E"),"*","!A"),"?","!B"),"~","!C")</f>
        <v>ID:</v>
      </c>
      <c r="S157" s="29" t="str">
        <f>"ID:"&amp;SUBSTITUTE(SUBSTITUTE(SUBSTITUTE(SUBSTITUTE(UPPER(TRIM(C157&amp;"")),"!","!E"),"*","!A"),"?","!B"),"~","!C")</f>
        <v>ID:</v>
      </c>
    </row>
    <row r="158" ht="75" customHeight="1">
      <c r="B158" s="31"/>
      <c r="C158" s="31"/>
      <c r="D158" s="31"/>
      <c r="E158" s="31"/>
      <c r="F158" s="31"/>
      <c r="G158" s="34"/>
      <c r="H158" s="34"/>
      <c r="I158" s="34"/>
      <c r="J158" s="34"/>
      <c r="K158" s="31"/>
      <c r="L158" s="31"/>
      <c r="M158" s="31"/>
      <c r="N158" s="31"/>
      <c r="O158" s="31"/>
      <c r="P158" s="35">
        <f>IF(AND(ISNUMBER(J158),'REFERENCIAS'!$Q$8=1),ROUND(J158,'REFERENCIAS'!$K$8),"")</f>
      </c>
      <c r="R158" s="29" t="str">
        <f>"ID:"&amp;SUBSTITUTE(SUBSTITUTE(SUBSTITUTE(SUBSTITUTE(UPPER(TRIM(B158&amp;"")),"!","!E"),"*","!A"),"?","!B"),"~","!C")</f>
        <v>ID:</v>
      </c>
      <c r="S158" s="29" t="str">
        <f>"ID:"&amp;SUBSTITUTE(SUBSTITUTE(SUBSTITUTE(SUBSTITUTE(UPPER(TRIM(C158&amp;"")),"!","!E"),"*","!A"),"?","!B"),"~","!C")</f>
        <v>ID:</v>
      </c>
    </row>
    <row r="159" ht="75" customHeight="1">
      <c r="B159" s="31"/>
      <c r="C159" s="31"/>
      <c r="D159" s="31"/>
      <c r="E159" s="31"/>
      <c r="F159" s="31"/>
      <c r="G159" s="34"/>
      <c r="H159" s="34"/>
      <c r="I159" s="34"/>
      <c r="J159" s="34"/>
      <c r="K159" s="31"/>
      <c r="L159" s="31"/>
      <c r="M159" s="31"/>
      <c r="N159" s="31"/>
      <c r="O159" s="31"/>
      <c r="P159" s="35">
        <f>IF(AND(ISNUMBER(J159),'REFERENCIAS'!$Q$8=1),ROUND(J159,'REFERENCIAS'!$K$8),"")</f>
      </c>
      <c r="R159" s="29" t="str">
        <f>"ID:"&amp;SUBSTITUTE(SUBSTITUTE(SUBSTITUTE(SUBSTITUTE(UPPER(TRIM(B159&amp;"")),"!","!E"),"*","!A"),"?","!B"),"~","!C")</f>
        <v>ID:</v>
      </c>
      <c r="S159" s="29" t="str">
        <f>"ID:"&amp;SUBSTITUTE(SUBSTITUTE(SUBSTITUTE(SUBSTITUTE(UPPER(TRIM(C159&amp;"")),"!","!E"),"*","!A"),"?","!B"),"~","!C")</f>
        <v>ID:</v>
      </c>
    </row>
    <row r="160" ht="75" customHeight="1">
      <c r="B160" s="31"/>
      <c r="C160" s="31"/>
      <c r="D160" s="31"/>
      <c r="E160" s="31"/>
      <c r="F160" s="31"/>
      <c r="G160" s="34"/>
      <c r="H160" s="34"/>
      <c r="I160" s="34"/>
      <c r="J160" s="34"/>
      <c r="K160" s="31"/>
      <c r="L160" s="31"/>
      <c r="M160" s="31"/>
      <c r="N160" s="31"/>
      <c r="O160" s="31"/>
      <c r="P160" s="35">
        <f>IF(AND(ISNUMBER(J160),'REFERENCIAS'!$Q$8=1),ROUND(J160,'REFERENCIAS'!$K$8),"")</f>
      </c>
      <c r="R160" s="29" t="str">
        <f>"ID:"&amp;SUBSTITUTE(SUBSTITUTE(SUBSTITUTE(SUBSTITUTE(UPPER(TRIM(B160&amp;"")),"!","!E"),"*","!A"),"?","!B"),"~","!C")</f>
        <v>ID:</v>
      </c>
      <c r="S160" s="29" t="str">
        <f>"ID:"&amp;SUBSTITUTE(SUBSTITUTE(SUBSTITUTE(SUBSTITUTE(UPPER(TRIM(C160&amp;"")),"!","!E"),"*","!A"),"?","!B"),"~","!C")</f>
        <v>ID:</v>
      </c>
    </row>
    <row r="161" ht="75" customHeight="1">
      <c r="B161" s="31"/>
      <c r="C161" s="31"/>
      <c r="D161" s="31"/>
      <c r="E161" s="31"/>
      <c r="F161" s="31"/>
      <c r="G161" s="34"/>
      <c r="H161" s="34"/>
      <c r="I161" s="34"/>
      <c r="J161" s="34"/>
      <c r="K161" s="31"/>
      <c r="L161" s="31"/>
      <c r="M161" s="31"/>
      <c r="N161" s="31"/>
      <c r="O161" s="31"/>
      <c r="P161" s="35">
        <f>IF(AND(ISNUMBER(J161),'REFERENCIAS'!$Q$8=1),ROUND(J161,'REFERENCIAS'!$K$8),"")</f>
      </c>
      <c r="R161" s="29" t="str">
        <f>"ID:"&amp;SUBSTITUTE(SUBSTITUTE(SUBSTITUTE(SUBSTITUTE(UPPER(TRIM(B161&amp;"")),"!","!E"),"*","!A"),"?","!B"),"~","!C")</f>
        <v>ID:</v>
      </c>
      <c r="S161" s="29" t="str">
        <f>"ID:"&amp;SUBSTITUTE(SUBSTITUTE(SUBSTITUTE(SUBSTITUTE(UPPER(TRIM(C161&amp;"")),"!","!E"),"*","!A"),"?","!B"),"~","!C")</f>
        <v>ID:</v>
      </c>
    </row>
    <row r="162" ht="75" customHeight="1">
      <c r="B162" s="31"/>
      <c r="C162" s="31"/>
      <c r="D162" s="31"/>
      <c r="E162" s="31"/>
      <c r="F162" s="31"/>
      <c r="G162" s="34"/>
      <c r="H162" s="34"/>
      <c r="I162" s="34"/>
      <c r="J162" s="34"/>
      <c r="K162" s="31"/>
      <c r="L162" s="31"/>
      <c r="M162" s="31"/>
      <c r="N162" s="31"/>
      <c r="O162" s="31"/>
      <c r="P162" s="35">
        <f>IF(AND(ISNUMBER(J162),'REFERENCIAS'!$Q$8=1),ROUND(J162,'REFERENCIAS'!$K$8),"")</f>
      </c>
      <c r="R162" s="29" t="str">
        <f>"ID:"&amp;SUBSTITUTE(SUBSTITUTE(SUBSTITUTE(SUBSTITUTE(UPPER(TRIM(B162&amp;"")),"!","!E"),"*","!A"),"?","!B"),"~","!C")</f>
        <v>ID:</v>
      </c>
      <c r="S162" s="29" t="str">
        <f>"ID:"&amp;SUBSTITUTE(SUBSTITUTE(SUBSTITUTE(SUBSTITUTE(UPPER(TRIM(C162&amp;"")),"!","!E"),"*","!A"),"?","!B"),"~","!C")</f>
        <v>ID:</v>
      </c>
    </row>
    <row r="163" ht="75" customHeight="1">
      <c r="B163" s="31"/>
      <c r="C163" s="31"/>
      <c r="D163" s="31"/>
      <c r="E163" s="31"/>
      <c r="F163" s="31"/>
      <c r="G163" s="34"/>
      <c r="H163" s="34"/>
      <c r="I163" s="34"/>
      <c r="J163" s="34"/>
      <c r="K163" s="31"/>
      <c r="L163" s="31"/>
      <c r="M163" s="31"/>
      <c r="N163" s="31"/>
      <c r="O163" s="31"/>
      <c r="P163" s="35">
        <f>IF(AND(ISNUMBER(J163),'REFERENCIAS'!$Q$8=1),ROUND(J163,'REFERENCIAS'!$K$8),"")</f>
      </c>
      <c r="R163" s="29" t="str">
        <f>"ID:"&amp;SUBSTITUTE(SUBSTITUTE(SUBSTITUTE(SUBSTITUTE(UPPER(TRIM(B163&amp;"")),"!","!E"),"*","!A"),"?","!B"),"~","!C")</f>
        <v>ID:</v>
      </c>
      <c r="S163" s="29" t="str">
        <f>"ID:"&amp;SUBSTITUTE(SUBSTITUTE(SUBSTITUTE(SUBSTITUTE(UPPER(TRIM(C163&amp;"")),"!","!E"),"*","!A"),"?","!B"),"~","!C")</f>
        <v>ID:</v>
      </c>
    </row>
    <row r="164" ht="75" customHeight="1">
      <c r="B164" s="31"/>
      <c r="C164" s="31"/>
      <c r="D164" s="31"/>
      <c r="E164" s="31"/>
      <c r="F164" s="31"/>
      <c r="G164" s="34"/>
      <c r="H164" s="34"/>
      <c r="I164" s="34"/>
      <c r="J164" s="34"/>
      <c r="K164" s="31"/>
      <c r="L164" s="31"/>
      <c r="M164" s="31"/>
      <c r="N164" s="31"/>
      <c r="O164" s="31"/>
      <c r="P164" s="35">
        <f>IF(AND(ISNUMBER(J164),'REFERENCIAS'!$Q$8=1),ROUND(J164,'REFERENCIAS'!$K$8),"")</f>
      </c>
      <c r="R164" s="29" t="str">
        <f>"ID:"&amp;SUBSTITUTE(SUBSTITUTE(SUBSTITUTE(SUBSTITUTE(UPPER(TRIM(B164&amp;"")),"!","!E"),"*","!A"),"?","!B"),"~","!C")</f>
        <v>ID:</v>
      </c>
      <c r="S164" s="29" t="str">
        <f>"ID:"&amp;SUBSTITUTE(SUBSTITUTE(SUBSTITUTE(SUBSTITUTE(UPPER(TRIM(C164&amp;"")),"!","!E"),"*","!A"),"?","!B"),"~","!C")</f>
        <v>ID:</v>
      </c>
    </row>
    <row r="165" ht="75" customHeight="1">
      <c r="B165" s="31"/>
      <c r="C165" s="31"/>
      <c r="D165" s="31"/>
      <c r="E165" s="31"/>
      <c r="F165" s="31"/>
      <c r="G165" s="34"/>
      <c r="H165" s="34"/>
      <c r="I165" s="34"/>
      <c r="J165" s="34"/>
      <c r="K165" s="31"/>
      <c r="L165" s="31"/>
      <c r="M165" s="31"/>
      <c r="N165" s="31"/>
      <c r="O165" s="31"/>
      <c r="P165" s="35">
        <f>IF(AND(ISNUMBER(J165),'REFERENCIAS'!$Q$8=1),ROUND(J165,'REFERENCIAS'!$K$8),"")</f>
      </c>
      <c r="R165" s="29" t="str">
        <f>"ID:"&amp;SUBSTITUTE(SUBSTITUTE(SUBSTITUTE(SUBSTITUTE(UPPER(TRIM(B165&amp;"")),"!","!E"),"*","!A"),"?","!B"),"~","!C")</f>
        <v>ID:</v>
      </c>
      <c r="S165" s="29" t="str">
        <f>"ID:"&amp;SUBSTITUTE(SUBSTITUTE(SUBSTITUTE(SUBSTITUTE(UPPER(TRIM(C165&amp;"")),"!","!E"),"*","!A"),"?","!B"),"~","!C")</f>
        <v>ID:</v>
      </c>
    </row>
    <row r="166" ht="75" customHeight="1">
      <c r="B166" s="31"/>
      <c r="C166" s="31"/>
      <c r="D166" s="31"/>
      <c r="E166" s="31"/>
      <c r="F166" s="31"/>
      <c r="G166" s="34"/>
      <c r="H166" s="34"/>
      <c r="I166" s="34"/>
      <c r="J166" s="34"/>
      <c r="K166" s="31"/>
      <c r="L166" s="31"/>
      <c r="M166" s="31"/>
      <c r="N166" s="31"/>
      <c r="O166" s="31"/>
      <c r="P166" s="35">
        <f>IF(AND(ISNUMBER(J166),'REFERENCIAS'!$Q$8=1),ROUND(J166,'REFERENCIAS'!$K$8),"")</f>
      </c>
      <c r="R166" s="29" t="str">
        <f>"ID:"&amp;SUBSTITUTE(SUBSTITUTE(SUBSTITUTE(SUBSTITUTE(UPPER(TRIM(B166&amp;"")),"!","!E"),"*","!A"),"?","!B"),"~","!C")</f>
        <v>ID:</v>
      </c>
      <c r="S166" s="29" t="str">
        <f>"ID:"&amp;SUBSTITUTE(SUBSTITUTE(SUBSTITUTE(SUBSTITUTE(UPPER(TRIM(C166&amp;"")),"!","!E"),"*","!A"),"?","!B"),"~","!C")</f>
        <v>ID:</v>
      </c>
    </row>
    <row r="167" ht="75" customHeight="1">
      <c r="B167" s="31"/>
      <c r="C167" s="31"/>
      <c r="D167" s="31"/>
      <c r="E167" s="31"/>
      <c r="F167" s="31"/>
      <c r="G167" s="34"/>
      <c r="H167" s="34"/>
      <c r="I167" s="34"/>
      <c r="J167" s="34"/>
      <c r="K167" s="31"/>
      <c r="L167" s="31"/>
      <c r="M167" s="31"/>
      <c r="N167" s="31"/>
      <c r="O167" s="31"/>
      <c r="P167" s="35">
        <f>IF(AND(ISNUMBER(J167),'REFERENCIAS'!$Q$8=1),ROUND(J167,'REFERENCIAS'!$K$8),"")</f>
      </c>
      <c r="R167" s="29" t="str">
        <f>"ID:"&amp;SUBSTITUTE(SUBSTITUTE(SUBSTITUTE(SUBSTITUTE(UPPER(TRIM(B167&amp;"")),"!","!E"),"*","!A"),"?","!B"),"~","!C")</f>
        <v>ID:</v>
      </c>
      <c r="S167" s="29" t="str">
        <f>"ID:"&amp;SUBSTITUTE(SUBSTITUTE(SUBSTITUTE(SUBSTITUTE(UPPER(TRIM(C167&amp;"")),"!","!E"),"*","!A"),"?","!B"),"~","!C")</f>
        <v>ID:</v>
      </c>
    </row>
    <row r="168" ht="75" customHeight="1">
      <c r="B168" s="31"/>
      <c r="C168" s="31"/>
      <c r="D168" s="31"/>
      <c r="E168" s="31"/>
      <c r="F168" s="31"/>
      <c r="G168" s="34"/>
      <c r="H168" s="34"/>
      <c r="I168" s="34"/>
      <c r="J168" s="34"/>
      <c r="K168" s="31"/>
      <c r="L168" s="31"/>
      <c r="M168" s="31"/>
      <c r="N168" s="31"/>
      <c r="O168" s="31"/>
      <c r="P168" s="35">
        <f>IF(AND(ISNUMBER(J168),'REFERENCIAS'!$Q$8=1),ROUND(J168,'REFERENCIAS'!$K$8),"")</f>
      </c>
      <c r="R168" s="29" t="str">
        <f>"ID:"&amp;SUBSTITUTE(SUBSTITUTE(SUBSTITUTE(SUBSTITUTE(UPPER(TRIM(B168&amp;"")),"!","!E"),"*","!A"),"?","!B"),"~","!C")</f>
        <v>ID:</v>
      </c>
      <c r="S168" s="29" t="str">
        <f>"ID:"&amp;SUBSTITUTE(SUBSTITUTE(SUBSTITUTE(SUBSTITUTE(UPPER(TRIM(C168&amp;"")),"!","!E"),"*","!A"),"?","!B"),"~","!C")</f>
        <v>ID:</v>
      </c>
    </row>
    <row r="169" ht="75" customHeight="1">
      <c r="B169" s="31"/>
      <c r="C169" s="31"/>
      <c r="D169" s="31"/>
      <c r="E169" s="31"/>
      <c r="F169" s="31"/>
      <c r="G169" s="34"/>
      <c r="H169" s="34"/>
      <c r="I169" s="34"/>
      <c r="J169" s="34"/>
      <c r="K169" s="31"/>
      <c r="L169" s="31"/>
      <c r="M169" s="31"/>
      <c r="N169" s="31"/>
      <c r="O169" s="31"/>
      <c r="P169" s="35">
        <f>IF(AND(ISNUMBER(J169),'REFERENCIAS'!$Q$8=1),ROUND(J169,'REFERENCIAS'!$K$8),"")</f>
      </c>
      <c r="R169" s="29" t="str">
        <f>"ID:"&amp;SUBSTITUTE(SUBSTITUTE(SUBSTITUTE(SUBSTITUTE(UPPER(TRIM(B169&amp;"")),"!","!E"),"*","!A"),"?","!B"),"~","!C")</f>
        <v>ID:</v>
      </c>
      <c r="S169" s="29" t="str">
        <f>"ID:"&amp;SUBSTITUTE(SUBSTITUTE(SUBSTITUTE(SUBSTITUTE(UPPER(TRIM(C169&amp;"")),"!","!E"),"*","!A"),"?","!B"),"~","!C")</f>
        <v>ID:</v>
      </c>
    </row>
    <row r="170" ht="75" customHeight="1">
      <c r="B170" s="31"/>
      <c r="C170" s="31"/>
      <c r="D170" s="31"/>
      <c r="E170" s="31"/>
      <c r="F170" s="31"/>
      <c r="G170" s="34"/>
      <c r="H170" s="34"/>
      <c r="I170" s="34"/>
      <c r="J170" s="34"/>
      <c r="K170" s="31"/>
      <c r="L170" s="31"/>
      <c r="M170" s="31"/>
      <c r="N170" s="31"/>
      <c r="O170" s="31"/>
      <c r="P170" s="35">
        <f>IF(AND(ISNUMBER(J170),'REFERENCIAS'!$Q$8=1),ROUND(J170,'REFERENCIAS'!$K$8),"")</f>
      </c>
      <c r="R170" s="29" t="str">
        <f>"ID:"&amp;SUBSTITUTE(SUBSTITUTE(SUBSTITUTE(SUBSTITUTE(UPPER(TRIM(B170&amp;"")),"!","!E"),"*","!A"),"?","!B"),"~","!C")</f>
        <v>ID:</v>
      </c>
      <c r="S170" s="29" t="str">
        <f>"ID:"&amp;SUBSTITUTE(SUBSTITUTE(SUBSTITUTE(SUBSTITUTE(UPPER(TRIM(C170&amp;"")),"!","!E"),"*","!A"),"?","!B"),"~","!C")</f>
        <v>ID:</v>
      </c>
    </row>
    <row r="171" ht="75" customHeight="1">
      <c r="B171" s="31"/>
      <c r="C171" s="31"/>
      <c r="D171" s="31"/>
      <c r="E171" s="31"/>
      <c r="F171" s="31"/>
      <c r="G171" s="34"/>
      <c r="H171" s="34"/>
      <c r="I171" s="34"/>
      <c r="J171" s="34"/>
      <c r="K171" s="31"/>
      <c r="L171" s="31"/>
      <c r="M171" s="31"/>
      <c r="N171" s="31"/>
      <c r="O171" s="31"/>
      <c r="P171" s="35">
        <f>IF(AND(ISNUMBER(J171),'REFERENCIAS'!$Q$8=1),ROUND(J171,'REFERENCIAS'!$K$8),"")</f>
      </c>
      <c r="R171" s="29" t="str">
        <f>"ID:"&amp;SUBSTITUTE(SUBSTITUTE(SUBSTITUTE(SUBSTITUTE(UPPER(TRIM(B171&amp;"")),"!","!E"),"*","!A"),"?","!B"),"~","!C")</f>
        <v>ID:</v>
      </c>
      <c r="S171" s="29" t="str">
        <f>"ID:"&amp;SUBSTITUTE(SUBSTITUTE(SUBSTITUTE(SUBSTITUTE(UPPER(TRIM(C171&amp;"")),"!","!E"),"*","!A"),"?","!B"),"~","!C")</f>
        <v>ID:</v>
      </c>
    </row>
    <row r="172" ht="75" customHeight="1">
      <c r="B172" s="31"/>
      <c r="C172" s="31"/>
      <c r="D172" s="31"/>
      <c r="E172" s="31"/>
      <c r="F172" s="31"/>
      <c r="G172" s="34"/>
      <c r="H172" s="34"/>
      <c r="I172" s="34"/>
      <c r="J172" s="34"/>
      <c r="K172" s="31"/>
      <c r="L172" s="31"/>
      <c r="M172" s="31"/>
      <c r="N172" s="31"/>
      <c r="O172" s="31"/>
      <c r="P172" s="35">
        <f>IF(AND(ISNUMBER(J172),'REFERENCIAS'!$Q$8=1),ROUND(J172,'REFERENCIAS'!$K$8),"")</f>
      </c>
      <c r="R172" s="29" t="str">
        <f>"ID:"&amp;SUBSTITUTE(SUBSTITUTE(SUBSTITUTE(SUBSTITUTE(UPPER(TRIM(B172&amp;"")),"!","!E"),"*","!A"),"?","!B"),"~","!C")</f>
        <v>ID:</v>
      </c>
      <c r="S172" s="29" t="str">
        <f>"ID:"&amp;SUBSTITUTE(SUBSTITUTE(SUBSTITUTE(SUBSTITUTE(UPPER(TRIM(C172&amp;"")),"!","!E"),"*","!A"),"?","!B"),"~","!C")</f>
        <v>ID:</v>
      </c>
    </row>
    <row r="173" ht="75" customHeight="1">
      <c r="B173" s="31"/>
      <c r="C173" s="31"/>
      <c r="D173" s="31"/>
      <c r="E173" s="31"/>
      <c r="F173" s="31"/>
      <c r="G173" s="34"/>
      <c r="H173" s="34"/>
      <c r="I173" s="34"/>
      <c r="J173" s="34"/>
      <c r="K173" s="31"/>
      <c r="L173" s="31"/>
      <c r="M173" s="31"/>
      <c r="N173" s="31"/>
      <c r="O173" s="31"/>
      <c r="P173" s="35">
        <f>IF(AND(ISNUMBER(J173),'REFERENCIAS'!$Q$8=1),ROUND(J173,'REFERENCIAS'!$K$8),"")</f>
      </c>
      <c r="R173" s="29" t="str">
        <f>"ID:"&amp;SUBSTITUTE(SUBSTITUTE(SUBSTITUTE(SUBSTITUTE(UPPER(TRIM(B173&amp;"")),"!","!E"),"*","!A"),"?","!B"),"~","!C")</f>
        <v>ID:</v>
      </c>
      <c r="S173" s="29" t="str">
        <f>"ID:"&amp;SUBSTITUTE(SUBSTITUTE(SUBSTITUTE(SUBSTITUTE(UPPER(TRIM(C173&amp;"")),"!","!E"),"*","!A"),"?","!B"),"~","!C")</f>
        <v>ID:</v>
      </c>
    </row>
    <row r="174" ht="75" customHeight="1">
      <c r="B174" s="31"/>
      <c r="C174" s="31"/>
      <c r="D174" s="31"/>
      <c r="E174" s="31"/>
      <c r="F174" s="31"/>
      <c r="G174" s="34"/>
      <c r="H174" s="34"/>
      <c r="I174" s="34"/>
      <c r="J174" s="34"/>
      <c r="K174" s="31"/>
      <c r="L174" s="31"/>
      <c r="M174" s="31"/>
      <c r="N174" s="31"/>
      <c r="O174" s="31"/>
      <c r="P174" s="35">
        <f>IF(AND(ISNUMBER(J174),'REFERENCIAS'!$Q$8=1),ROUND(J174,'REFERENCIAS'!$K$8),"")</f>
      </c>
      <c r="R174" s="29" t="str">
        <f>"ID:"&amp;SUBSTITUTE(SUBSTITUTE(SUBSTITUTE(SUBSTITUTE(UPPER(TRIM(B174&amp;"")),"!","!E"),"*","!A"),"?","!B"),"~","!C")</f>
        <v>ID:</v>
      </c>
      <c r="S174" s="29" t="str">
        <f>"ID:"&amp;SUBSTITUTE(SUBSTITUTE(SUBSTITUTE(SUBSTITUTE(UPPER(TRIM(C174&amp;"")),"!","!E"),"*","!A"),"?","!B"),"~","!C")</f>
        <v>ID:</v>
      </c>
    </row>
    <row r="175" ht="75" customHeight="1">
      <c r="B175" s="31"/>
      <c r="C175" s="31"/>
      <c r="D175" s="31"/>
      <c r="E175" s="31"/>
      <c r="F175" s="31"/>
      <c r="G175" s="34"/>
      <c r="H175" s="34"/>
      <c r="I175" s="34"/>
      <c r="J175" s="34"/>
      <c r="K175" s="31"/>
      <c r="L175" s="31"/>
      <c r="M175" s="31"/>
      <c r="N175" s="31"/>
      <c r="O175" s="31"/>
      <c r="P175" s="35">
        <f>IF(AND(ISNUMBER(J175),'REFERENCIAS'!$Q$8=1),ROUND(J175,'REFERENCIAS'!$K$8),"")</f>
      </c>
      <c r="R175" s="29" t="str">
        <f>"ID:"&amp;SUBSTITUTE(SUBSTITUTE(SUBSTITUTE(SUBSTITUTE(UPPER(TRIM(B175&amp;"")),"!","!E"),"*","!A"),"?","!B"),"~","!C")</f>
        <v>ID:</v>
      </c>
      <c r="S175" s="29" t="str">
        <f>"ID:"&amp;SUBSTITUTE(SUBSTITUTE(SUBSTITUTE(SUBSTITUTE(UPPER(TRIM(C175&amp;"")),"!","!E"),"*","!A"),"?","!B"),"~","!C")</f>
        <v>ID:</v>
      </c>
    </row>
    <row r="176" ht="75" customHeight="1">
      <c r="B176" s="31"/>
      <c r="C176" s="31"/>
      <c r="D176" s="31"/>
      <c r="E176" s="31"/>
      <c r="F176" s="31"/>
      <c r="G176" s="34"/>
      <c r="H176" s="34"/>
      <c r="I176" s="34"/>
      <c r="J176" s="34"/>
      <c r="K176" s="31"/>
      <c r="L176" s="31"/>
      <c r="M176" s="31"/>
      <c r="N176" s="31"/>
      <c r="O176" s="31"/>
      <c r="P176" s="35">
        <f>IF(AND(ISNUMBER(J176),'REFERENCIAS'!$Q$8=1),ROUND(J176,'REFERENCIAS'!$K$8),"")</f>
      </c>
      <c r="R176" s="29" t="str">
        <f>"ID:"&amp;SUBSTITUTE(SUBSTITUTE(SUBSTITUTE(SUBSTITUTE(UPPER(TRIM(B176&amp;"")),"!","!E"),"*","!A"),"?","!B"),"~","!C")</f>
        <v>ID:</v>
      </c>
      <c r="S176" s="29" t="str">
        <f>"ID:"&amp;SUBSTITUTE(SUBSTITUTE(SUBSTITUTE(SUBSTITUTE(UPPER(TRIM(C176&amp;"")),"!","!E"),"*","!A"),"?","!B"),"~","!C")</f>
        <v>ID:</v>
      </c>
    </row>
    <row r="177" ht="75" customHeight="1">
      <c r="B177" s="31"/>
      <c r="C177" s="31"/>
      <c r="D177" s="31"/>
      <c r="E177" s="31"/>
      <c r="F177" s="31"/>
      <c r="G177" s="34"/>
      <c r="H177" s="34"/>
      <c r="I177" s="34"/>
      <c r="J177" s="34"/>
      <c r="K177" s="31"/>
      <c r="L177" s="31"/>
      <c r="M177" s="31"/>
      <c r="N177" s="31"/>
      <c r="O177" s="31"/>
      <c r="P177" s="35">
        <f>IF(AND(ISNUMBER(J177),'REFERENCIAS'!$Q$8=1),ROUND(J177,'REFERENCIAS'!$K$8),"")</f>
      </c>
      <c r="R177" s="29" t="str">
        <f>"ID:"&amp;SUBSTITUTE(SUBSTITUTE(SUBSTITUTE(SUBSTITUTE(UPPER(TRIM(B177&amp;"")),"!","!E"),"*","!A"),"?","!B"),"~","!C")</f>
        <v>ID:</v>
      </c>
      <c r="S177" s="29" t="str">
        <f>"ID:"&amp;SUBSTITUTE(SUBSTITUTE(SUBSTITUTE(SUBSTITUTE(UPPER(TRIM(C177&amp;"")),"!","!E"),"*","!A"),"?","!B"),"~","!C")</f>
        <v>ID:</v>
      </c>
    </row>
    <row r="178" ht="75" customHeight="1">
      <c r="B178" s="31"/>
      <c r="C178" s="31"/>
      <c r="D178" s="31"/>
      <c r="E178" s="31"/>
      <c r="F178" s="31"/>
      <c r="G178" s="34"/>
      <c r="H178" s="34"/>
      <c r="I178" s="34"/>
      <c r="J178" s="34"/>
      <c r="K178" s="31"/>
      <c r="L178" s="31"/>
      <c r="M178" s="31"/>
      <c r="N178" s="31"/>
      <c r="O178" s="31"/>
      <c r="P178" s="35">
        <f>IF(AND(ISNUMBER(J178),'REFERENCIAS'!$Q$8=1),ROUND(J178,'REFERENCIAS'!$K$8),"")</f>
      </c>
      <c r="R178" s="29" t="str">
        <f>"ID:"&amp;SUBSTITUTE(SUBSTITUTE(SUBSTITUTE(SUBSTITUTE(UPPER(TRIM(B178&amp;"")),"!","!E"),"*","!A"),"?","!B"),"~","!C")</f>
        <v>ID:</v>
      </c>
      <c r="S178" s="29" t="str">
        <f>"ID:"&amp;SUBSTITUTE(SUBSTITUTE(SUBSTITUTE(SUBSTITUTE(UPPER(TRIM(C178&amp;"")),"!","!E"),"*","!A"),"?","!B"),"~","!C")</f>
        <v>ID:</v>
      </c>
    </row>
    <row r="179" ht="75" customHeight="1">
      <c r="B179" s="31"/>
      <c r="C179" s="31"/>
      <c r="D179" s="31"/>
      <c r="E179" s="31"/>
      <c r="F179" s="31"/>
      <c r="G179" s="34"/>
      <c r="H179" s="34"/>
      <c r="I179" s="34"/>
      <c r="J179" s="34"/>
      <c r="K179" s="31"/>
      <c r="L179" s="31"/>
      <c r="M179" s="31"/>
      <c r="N179" s="31"/>
      <c r="O179" s="31"/>
      <c r="P179" s="35">
        <f>IF(AND(ISNUMBER(J179),'REFERENCIAS'!$Q$8=1),ROUND(J179,'REFERENCIAS'!$K$8),"")</f>
      </c>
      <c r="R179" s="29" t="str">
        <f>"ID:"&amp;SUBSTITUTE(SUBSTITUTE(SUBSTITUTE(SUBSTITUTE(UPPER(TRIM(B179&amp;"")),"!","!E"),"*","!A"),"?","!B"),"~","!C")</f>
        <v>ID:</v>
      </c>
      <c r="S179" s="29" t="str">
        <f>"ID:"&amp;SUBSTITUTE(SUBSTITUTE(SUBSTITUTE(SUBSTITUTE(UPPER(TRIM(C179&amp;"")),"!","!E"),"*","!A"),"?","!B"),"~","!C")</f>
        <v>ID:</v>
      </c>
    </row>
    <row r="180" ht="75" customHeight="1">
      <c r="B180" s="31"/>
      <c r="C180" s="31"/>
      <c r="D180" s="31"/>
      <c r="E180" s="31"/>
      <c r="F180" s="31"/>
      <c r="G180" s="34"/>
      <c r="H180" s="34"/>
      <c r="I180" s="34"/>
      <c r="J180" s="34"/>
      <c r="K180" s="31"/>
      <c r="L180" s="31"/>
      <c r="M180" s="31"/>
      <c r="N180" s="31"/>
      <c r="O180" s="31"/>
      <c r="P180" s="35">
        <f>IF(AND(ISNUMBER(J180),'REFERENCIAS'!$Q$8=1),ROUND(J180,'REFERENCIAS'!$K$8),"")</f>
      </c>
      <c r="R180" s="29" t="str">
        <f>"ID:"&amp;SUBSTITUTE(SUBSTITUTE(SUBSTITUTE(SUBSTITUTE(UPPER(TRIM(B180&amp;"")),"!","!E"),"*","!A"),"?","!B"),"~","!C")</f>
        <v>ID:</v>
      </c>
      <c r="S180" s="29" t="str">
        <f>"ID:"&amp;SUBSTITUTE(SUBSTITUTE(SUBSTITUTE(SUBSTITUTE(UPPER(TRIM(C180&amp;"")),"!","!E"),"*","!A"),"?","!B"),"~","!C")</f>
        <v>ID:</v>
      </c>
    </row>
    <row r="181" ht="75" customHeight="1">
      <c r="B181" s="31"/>
      <c r="C181" s="31"/>
      <c r="D181" s="31"/>
      <c r="E181" s="31"/>
      <c r="F181" s="31"/>
      <c r="G181" s="34"/>
      <c r="H181" s="34"/>
      <c r="I181" s="34"/>
      <c r="J181" s="34"/>
      <c r="K181" s="31"/>
      <c r="L181" s="31"/>
      <c r="M181" s="31"/>
      <c r="N181" s="31"/>
      <c r="O181" s="31"/>
      <c r="P181" s="35">
        <f>IF(AND(ISNUMBER(J181),'REFERENCIAS'!$Q$8=1),ROUND(J181,'REFERENCIAS'!$K$8),"")</f>
      </c>
      <c r="R181" s="29" t="str">
        <f>"ID:"&amp;SUBSTITUTE(SUBSTITUTE(SUBSTITUTE(SUBSTITUTE(UPPER(TRIM(B181&amp;"")),"!","!E"),"*","!A"),"?","!B"),"~","!C")</f>
        <v>ID:</v>
      </c>
      <c r="S181" s="29" t="str">
        <f>"ID:"&amp;SUBSTITUTE(SUBSTITUTE(SUBSTITUTE(SUBSTITUTE(UPPER(TRIM(C181&amp;"")),"!","!E"),"*","!A"),"?","!B"),"~","!C")</f>
        <v>ID:</v>
      </c>
    </row>
    <row r="182" ht="75" customHeight="1">
      <c r="B182" s="31"/>
      <c r="C182" s="31"/>
      <c r="D182" s="31"/>
      <c r="E182" s="31"/>
      <c r="F182" s="31"/>
      <c r="G182" s="34"/>
      <c r="H182" s="34"/>
      <c r="I182" s="34"/>
      <c r="J182" s="34"/>
      <c r="K182" s="31"/>
      <c r="L182" s="31"/>
      <c r="M182" s="31"/>
      <c r="N182" s="31"/>
      <c r="O182" s="31"/>
      <c r="P182" s="35">
        <f>IF(AND(ISNUMBER(J182),'REFERENCIAS'!$Q$8=1),ROUND(J182,'REFERENCIAS'!$K$8),"")</f>
      </c>
      <c r="R182" s="29" t="str">
        <f>"ID:"&amp;SUBSTITUTE(SUBSTITUTE(SUBSTITUTE(SUBSTITUTE(UPPER(TRIM(B182&amp;"")),"!","!E"),"*","!A"),"?","!B"),"~","!C")</f>
        <v>ID:</v>
      </c>
      <c r="S182" s="29" t="str">
        <f>"ID:"&amp;SUBSTITUTE(SUBSTITUTE(SUBSTITUTE(SUBSTITUTE(UPPER(TRIM(C182&amp;"")),"!","!E"),"*","!A"),"?","!B"),"~","!C")</f>
        <v>ID:</v>
      </c>
    </row>
    <row r="183" ht="75" customHeight="1">
      <c r="B183" s="31"/>
      <c r="C183" s="31"/>
      <c r="D183" s="31"/>
      <c r="E183" s="31"/>
      <c r="F183" s="31"/>
      <c r="G183" s="34"/>
      <c r="H183" s="34"/>
      <c r="I183" s="34"/>
      <c r="J183" s="34"/>
      <c r="K183" s="31"/>
      <c r="L183" s="31"/>
      <c r="M183" s="31"/>
      <c r="N183" s="31"/>
      <c r="O183" s="31"/>
      <c r="P183" s="35">
        <f>IF(AND(ISNUMBER(J183),'REFERENCIAS'!$Q$8=1),ROUND(J183,'REFERENCIAS'!$K$8),"")</f>
      </c>
      <c r="R183" s="29" t="str">
        <f>"ID:"&amp;SUBSTITUTE(SUBSTITUTE(SUBSTITUTE(SUBSTITUTE(UPPER(TRIM(B183&amp;"")),"!","!E"),"*","!A"),"?","!B"),"~","!C")</f>
        <v>ID:</v>
      </c>
      <c r="S183" s="29" t="str">
        <f>"ID:"&amp;SUBSTITUTE(SUBSTITUTE(SUBSTITUTE(SUBSTITUTE(UPPER(TRIM(C183&amp;"")),"!","!E"),"*","!A"),"?","!B"),"~","!C")</f>
        <v>ID:</v>
      </c>
    </row>
    <row r="184" ht="75" customHeight="1">
      <c r="B184" s="31"/>
      <c r="C184" s="31"/>
      <c r="D184" s="31"/>
      <c r="E184" s="31"/>
      <c r="F184" s="31"/>
      <c r="G184" s="34"/>
      <c r="H184" s="34"/>
      <c r="I184" s="34"/>
      <c r="J184" s="34"/>
      <c r="K184" s="31"/>
      <c r="L184" s="31"/>
      <c r="M184" s="31"/>
      <c r="N184" s="31"/>
      <c r="O184" s="31"/>
      <c r="P184" s="35">
        <f>IF(AND(ISNUMBER(J184),'REFERENCIAS'!$Q$8=1),ROUND(J184,'REFERENCIAS'!$K$8),"")</f>
      </c>
      <c r="R184" s="29" t="str">
        <f>"ID:"&amp;SUBSTITUTE(SUBSTITUTE(SUBSTITUTE(SUBSTITUTE(UPPER(TRIM(B184&amp;"")),"!","!E"),"*","!A"),"?","!B"),"~","!C")</f>
        <v>ID:</v>
      </c>
      <c r="S184" s="29" t="str">
        <f>"ID:"&amp;SUBSTITUTE(SUBSTITUTE(SUBSTITUTE(SUBSTITUTE(UPPER(TRIM(C184&amp;"")),"!","!E"),"*","!A"),"?","!B"),"~","!C")</f>
        <v>ID:</v>
      </c>
    </row>
    <row r="185" ht="75" customHeight="1">
      <c r="B185" s="31"/>
      <c r="C185" s="31"/>
      <c r="D185" s="31"/>
      <c r="E185" s="31"/>
      <c r="F185" s="31"/>
      <c r="G185" s="34"/>
      <c r="H185" s="34"/>
      <c r="I185" s="34"/>
      <c r="J185" s="34"/>
      <c r="K185" s="31"/>
      <c r="L185" s="31"/>
      <c r="M185" s="31"/>
      <c r="N185" s="31"/>
      <c r="O185" s="31"/>
      <c r="P185" s="35">
        <f>IF(AND(ISNUMBER(J185),'REFERENCIAS'!$Q$8=1),ROUND(J185,'REFERENCIAS'!$K$8),"")</f>
      </c>
      <c r="R185" s="29" t="str">
        <f>"ID:"&amp;SUBSTITUTE(SUBSTITUTE(SUBSTITUTE(SUBSTITUTE(UPPER(TRIM(B185&amp;"")),"!","!E"),"*","!A"),"?","!B"),"~","!C")</f>
        <v>ID:</v>
      </c>
      <c r="S185" s="29" t="str">
        <f>"ID:"&amp;SUBSTITUTE(SUBSTITUTE(SUBSTITUTE(SUBSTITUTE(UPPER(TRIM(C185&amp;"")),"!","!E"),"*","!A"),"?","!B"),"~","!C")</f>
        <v>ID:</v>
      </c>
    </row>
    <row r="186" ht="75" customHeight="1">
      <c r="B186" s="31"/>
      <c r="C186" s="31"/>
      <c r="D186" s="31"/>
      <c r="E186" s="31"/>
      <c r="F186" s="31"/>
      <c r="G186" s="34"/>
      <c r="H186" s="34"/>
      <c r="I186" s="34"/>
      <c r="J186" s="34"/>
      <c r="K186" s="31"/>
      <c r="L186" s="31"/>
      <c r="M186" s="31"/>
      <c r="N186" s="31"/>
      <c r="O186" s="31"/>
      <c r="P186" s="35">
        <f>IF(AND(ISNUMBER(J186),'REFERENCIAS'!$Q$8=1),ROUND(J186,'REFERENCIAS'!$K$8),"")</f>
      </c>
      <c r="R186" s="29" t="str">
        <f>"ID:"&amp;SUBSTITUTE(SUBSTITUTE(SUBSTITUTE(SUBSTITUTE(UPPER(TRIM(B186&amp;"")),"!","!E"),"*","!A"),"?","!B"),"~","!C")</f>
        <v>ID:</v>
      </c>
      <c r="S186" s="29" t="str">
        <f>"ID:"&amp;SUBSTITUTE(SUBSTITUTE(SUBSTITUTE(SUBSTITUTE(UPPER(TRIM(C186&amp;"")),"!","!E"),"*","!A"),"?","!B"),"~","!C")</f>
        <v>ID:</v>
      </c>
    </row>
    <row r="187" ht="75" customHeight="1">
      <c r="B187" s="31"/>
      <c r="C187" s="31"/>
      <c r="D187" s="31"/>
      <c r="E187" s="31"/>
      <c r="F187" s="31"/>
      <c r="G187" s="34"/>
      <c r="H187" s="34"/>
      <c r="I187" s="34"/>
      <c r="J187" s="34"/>
      <c r="K187" s="31"/>
      <c r="L187" s="31"/>
      <c r="M187" s="31"/>
      <c r="N187" s="31"/>
      <c r="O187" s="31"/>
      <c r="P187" s="35">
        <f>IF(AND(ISNUMBER(J187),'REFERENCIAS'!$Q$8=1),ROUND(J187,'REFERENCIAS'!$K$8),"")</f>
      </c>
      <c r="R187" s="29" t="str">
        <f>"ID:"&amp;SUBSTITUTE(SUBSTITUTE(SUBSTITUTE(SUBSTITUTE(UPPER(TRIM(B187&amp;"")),"!","!E"),"*","!A"),"?","!B"),"~","!C")</f>
        <v>ID:</v>
      </c>
      <c r="S187" s="29" t="str">
        <f>"ID:"&amp;SUBSTITUTE(SUBSTITUTE(SUBSTITUTE(SUBSTITUTE(UPPER(TRIM(C187&amp;"")),"!","!E"),"*","!A"),"?","!B"),"~","!C")</f>
        <v>ID:</v>
      </c>
    </row>
    <row r="188" ht="75" customHeight="1">
      <c r="B188" s="31"/>
      <c r="C188" s="31"/>
      <c r="D188" s="31"/>
      <c r="E188" s="31"/>
      <c r="F188" s="31"/>
      <c r="G188" s="34"/>
      <c r="H188" s="34"/>
      <c r="I188" s="34"/>
      <c r="J188" s="34"/>
      <c r="K188" s="31"/>
      <c r="L188" s="31"/>
      <c r="M188" s="31"/>
      <c r="N188" s="31"/>
      <c r="O188" s="31"/>
      <c r="P188" s="35">
        <f>IF(AND(ISNUMBER(J188),'REFERENCIAS'!$Q$8=1),ROUND(J188,'REFERENCIAS'!$K$8),"")</f>
      </c>
      <c r="R188" s="29" t="str">
        <f>"ID:"&amp;SUBSTITUTE(SUBSTITUTE(SUBSTITUTE(SUBSTITUTE(UPPER(TRIM(B188&amp;"")),"!","!E"),"*","!A"),"?","!B"),"~","!C")</f>
        <v>ID:</v>
      </c>
      <c r="S188" s="29" t="str">
        <f>"ID:"&amp;SUBSTITUTE(SUBSTITUTE(SUBSTITUTE(SUBSTITUTE(UPPER(TRIM(C188&amp;"")),"!","!E"),"*","!A"),"?","!B"),"~","!C")</f>
        <v>ID:</v>
      </c>
    </row>
    <row r="189" ht="75" customHeight="1">
      <c r="B189" s="31"/>
      <c r="C189" s="31"/>
      <c r="D189" s="31"/>
      <c r="E189" s="31"/>
      <c r="F189" s="31"/>
      <c r="G189" s="34"/>
      <c r="H189" s="34"/>
      <c r="I189" s="34"/>
      <c r="J189" s="34"/>
      <c r="K189" s="31"/>
      <c r="L189" s="31"/>
      <c r="M189" s="31"/>
      <c r="N189" s="31"/>
      <c r="O189" s="31"/>
      <c r="P189" s="35">
        <f>IF(AND(ISNUMBER(J189),'REFERENCIAS'!$Q$8=1),ROUND(J189,'REFERENCIAS'!$K$8),"")</f>
      </c>
      <c r="R189" s="29" t="str">
        <f>"ID:"&amp;SUBSTITUTE(SUBSTITUTE(SUBSTITUTE(SUBSTITUTE(UPPER(TRIM(B189&amp;"")),"!","!E"),"*","!A"),"?","!B"),"~","!C")</f>
        <v>ID:</v>
      </c>
      <c r="S189" s="29" t="str">
        <f>"ID:"&amp;SUBSTITUTE(SUBSTITUTE(SUBSTITUTE(SUBSTITUTE(UPPER(TRIM(C189&amp;"")),"!","!E"),"*","!A"),"?","!B"),"~","!C")</f>
        <v>ID:</v>
      </c>
    </row>
    <row r="190" ht="75" customHeight="1">
      <c r="B190" s="31"/>
      <c r="C190" s="31"/>
      <c r="D190" s="31"/>
      <c r="E190" s="31"/>
      <c r="F190" s="31"/>
      <c r="G190" s="34"/>
      <c r="H190" s="34"/>
      <c r="I190" s="34"/>
      <c r="J190" s="34"/>
      <c r="K190" s="31"/>
      <c r="L190" s="31"/>
      <c r="M190" s="31"/>
      <c r="N190" s="31"/>
      <c r="O190" s="31"/>
      <c r="P190" s="35">
        <f>IF(AND(ISNUMBER(J190),'REFERENCIAS'!$Q$8=1),ROUND(J190,'REFERENCIAS'!$K$8),"")</f>
      </c>
      <c r="R190" s="29" t="str">
        <f>"ID:"&amp;SUBSTITUTE(SUBSTITUTE(SUBSTITUTE(SUBSTITUTE(UPPER(TRIM(B190&amp;"")),"!","!E"),"*","!A"),"?","!B"),"~","!C")</f>
        <v>ID:</v>
      </c>
      <c r="S190" s="29" t="str">
        <f>"ID:"&amp;SUBSTITUTE(SUBSTITUTE(SUBSTITUTE(SUBSTITUTE(UPPER(TRIM(C190&amp;"")),"!","!E"),"*","!A"),"?","!B"),"~","!C")</f>
        <v>ID:</v>
      </c>
    </row>
    <row r="191" ht="75" customHeight="1">
      <c r="B191" s="31"/>
      <c r="C191" s="31"/>
      <c r="D191" s="31"/>
      <c r="E191" s="31"/>
      <c r="F191" s="31"/>
      <c r="G191" s="34"/>
      <c r="H191" s="34"/>
      <c r="I191" s="34"/>
      <c r="J191" s="34"/>
      <c r="K191" s="31"/>
      <c r="L191" s="31"/>
      <c r="M191" s="31"/>
      <c r="N191" s="31"/>
      <c r="O191" s="31"/>
      <c r="P191" s="35">
        <f>IF(AND(ISNUMBER(J191),'REFERENCIAS'!$Q$8=1),ROUND(J191,'REFERENCIAS'!$K$8),"")</f>
      </c>
      <c r="R191" s="29" t="str">
        <f>"ID:"&amp;SUBSTITUTE(SUBSTITUTE(SUBSTITUTE(SUBSTITUTE(UPPER(TRIM(B191&amp;"")),"!","!E"),"*","!A"),"?","!B"),"~","!C")</f>
        <v>ID:</v>
      </c>
      <c r="S191" s="29" t="str">
        <f>"ID:"&amp;SUBSTITUTE(SUBSTITUTE(SUBSTITUTE(SUBSTITUTE(UPPER(TRIM(C191&amp;"")),"!","!E"),"*","!A"),"?","!B"),"~","!C")</f>
        <v>ID:</v>
      </c>
    </row>
    <row r="192" ht="75" customHeight="1">
      <c r="B192" s="31"/>
      <c r="C192" s="31"/>
      <c r="D192" s="31"/>
      <c r="E192" s="31"/>
      <c r="F192" s="31"/>
      <c r="G192" s="34"/>
      <c r="H192" s="34"/>
      <c r="I192" s="34"/>
      <c r="J192" s="34"/>
      <c r="K192" s="31"/>
      <c r="L192" s="31"/>
      <c r="M192" s="31"/>
      <c r="N192" s="31"/>
      <c r="O192" s="31"/>
      <c r="P192" s="35">
        <f>IF(AND(ISNUMBER(J192),'REFERENCIAS'!$Q$8=1),ROUND(J192,'REFERENCIAS'!$K$8),"")</f>
      </c>
      <c r="R192" s="29" t="str">
        <f>"ID:"&amp;SUBSTITUTE(SUBSTITUTE(SUBSTITUTE(SUBSTITUTE(UPPER(TRIM(B192&amp;"")),"!","!E"),"*","!A"),"?","!B"),"~","!C")</f>
        <v>ID:</v>
      </c>
      <c r="S192" s="29" t="str">
        <f>"ID:"&amp;SUBSTITUTE(SUBSTITUTE(SUBSTITUTE(SUBSTITUTE(UPPER(TRIM(C192&amp;"")),"!","!E"),"*","!A"),"?","!B"),"~","!C")</f>
        <v>ID:</v>
      </c>
    </row>
    <row r="193" ht="75" customHeight="1">
      <c r="B193" s="31"/>
      <c r="C193" s="31"/>
      <c r="D193" s="31"/>
      <c r="E193" s="31"/>
      <c r="F193" s="31"/>
      <c r="G193" s="34"/>
      <c r="H193" s="34"/>
      <c r="I193" s="34"/>
      <c r="J193" s="34"/>
      <c r="K193" s="31"/>
      <c r="L193" s="31"/>
      <c r="M193" s="31"/>
      <c r="N193" s="31"/>
      <c r="O193" s="31"/>
      <c r="P193" s="35">
        <f>IF(AND(ISNUMBER(J193),'REFERENCIAS'!$Q$8=1),ROUND(J193,'REFERENCIAS'!$K$8),"")</f>
      </c>
      <c r="R193" s="29" t="str">
        <f>"ID:"&amp;SUBSTITUTE(SUBSTITUTE(SUBSTITUTE(SUBSTITUTE(UPPER(TRIM(B193&amp;"")),"!","!E"),"*","!A"),"?","!B"),"~","!C")</f>
        <v>ID:</v>
      </c>
      <c r="S193" s="29" t="str">
        <f>"ID:"&amp;SUBSTITUTE(SUBSTITUTE(SUBSTITUTE(SUBSTITUTE(UPPER(TRIM(C193&amp;"")),"!","!E"),"*","!A"),"?","!B"),"~","!C")</f>
        <v>ID:</v>
      </c>
    </row>
    <row r="194" ht="75" customHeight="1">
      <c r="B194" s="31"/>
      <c r="C194" s="31"/>
      <c r="D194" s="31"/>
      <c r="E194" s="31"/>
      <c r="F194" s="31"/>
      <c r="G194" s="34"/>
      <c r="H194" s="34"/>
      <c r="I194" s="34"/>
      <c r="J194" s="34"/>
      <c r="K194" s="31"/>
      <c r="L194" s="31"/>
      <c r="M194" s="31"/>
      <c r="N194" s="31"/>
      <c r="O194" s="31"/>
      <c r="P194" s="35">
        <f>IF(AND(ISNUMBER(J194),'REFERENCIAS'!$Q$8=1),ROUND(J194,'REFERENCIAS'!$K$8),"")</f>
      </c>
      <c r="R194" s="29" t="str">
        <f>"ID:"&amp;SUBSTITUTE(SUBSTITUTE(SUBSTITUTE(SUBSTITUTE(UPPER(TRIM(B194&amp;"")),"!","!E"),"*","!A"),"?","!B"),"~","!C")</f>
        <v>ID:</v>
      </c>
      <c r="S194" s="29" t="str">
        <f>"ID:"&amp;SUBSTITUTE(SUBSTITUTE(SUBSTITUTE(SUBSTITUTE(UPPER(TRIM(C194&amp;"")),"!","!E"),"*","!A"),"?","!B"),"~","!C")</f>
        <v>ID:</v>
      </c>
    </row>
    <row r="195" ht="75" customHeight="1">
      <c r="B195" s="31"/>
      <c r="C195" s="31"/>
      <c r="D195" s="31"/>
      <c r="E195" s="31"/>
      <c r="F195" s="31"/>
      <c r="G195" s="34"/>
      <c r="H195" s="34"/>
      <c r="I195" s="34"/>
      <c r="J195" s="34"/>
      <c r="K195" s="31"/>
      <c r="L195" s="31"/>
      <c r="M195" s="31"/>
      <c r="N195" s="31"/>
      <c r="O195" s="31"/>
      <c r="P195" s="35">
        <f>IF(AND(ISNUMBER(J195),'REFERENCIAS'!$Q$8=1),ROUND(J195,'REFERENCIAS'!$K$8),"")</f>
      </c>
      <c r="R195" s="29" t="str">
        <f>"ID:"&amp;SUBSTITUTE(SUBSTITUTE(SUBSTITUTE(SUBSTITUTE(UPPER(TRIM(B195&amp;"")),"!","!E"),"*","!A"),"?","!B"),"~","!C")</f>
        <v>ID:</v>
      </c>
      <c r="S195" s="29" t="str">
        <f>"ID:"&amp;SUBSTITUTE(SUBSTITUTE(SUBSTITUTE(SUBSTITUTE(UPPER(TRIM(C195&amp;"")),"!","!E"),"*","!A"),"?","!B"),"~","!C")</f>
        <v>ID:</v>
      </c>
    </row>
    <row r="196" ht="75" customHeight="1">
      <c r="B196" s="31"/>
      <c r="C196" s="31"/>
      <c r="D196" s="31"/>
      <c r="E196" s="31"/>
      <c r="F196" s="31"/>
      <c r="G196" s="34"/>
      <c r="H196" s="34"/>
      <c r="I196" s="34"/>
      <c r="J196" s="34"/>
      <c r="K196" s="31"/>
      <c r="L196" s="31"/>
      <c r="M196" s="31"/>
      <c r="N196" s="31"/>
      <c r="O196" s="31"/>
      <c r="P196" s="35">
        <f>IF(AND(ISNUMBER(J196),'REFERENCIAS'!$Q$8=1),ROUND(J196,'REFERENCIAS'!$K$8),"")</f>
      </c>
      <c r="R196" s="29" t="str">
        <f>"ID:"&amp;SUBSTITUTE(SUBSTITUTE(SUBSTITUTE(SUBSTITUTE(UPPER(TRIM(B196&amp;"")),"!","!E"),"*","!A"),"?","!B"),"~","!C")</f>
        <v>ID:</v>
      </c>
      <c r="S196" s="29" t="str">
        <f>"ID:"&amp;SUBSTITUTE(SUBSTITUTE(SUBSTITUTE(SUBSTITUTE(UPPER(TRIM(C196&amp;"")),"!","!E"),"*","!A"),"?","!B"),"~","!C")</f>
        <v>ID:</v>
      </c>
    </row>
    <row r="197" ht="75" customHeight="1">
      <c r="B197" s="31"/>
      <c r="C197" s="31"/>
      <c r="D197" s="31"/>
      <c r="E197" s="31"/>
      <c r="F197" s="31"/>
      <c r="G197" s="34"/>
      <c r="H197" s="34"/>
      <c r="I197" s="34"/>
      <c r="J197" s="34"/>
      <c r="K197" s="31"/>
      <c r="L197" s="31"/>
      <c r="M197" s="31"/>
      <c r="N197" s="31"/>
      <c r="O197" s="31"/>
      <c r="P197" s="35">
        <f>IF(AND(ISNUMBER(J197),'REFERENCIAS'!$Q$8=1),ROUND(J197,'REFERENCIAS'!$K$8),"")</f>
      </c>
      <c r="R197" s="29" t="str">
        <f>"ID:"&amp;SUBSTITUTE(SUBSTITUTE(SUBSTITUTE(SUBSTITUTE(UPPER(TRIM(B197&amp;"")),"!","!E"),"*","!A"),"?","!B"),"~","!C")</f>
        <v>ID:</v>
      </c>
      <c r="S197" s="29" t="str">
        <f>"ID:"&amp;SUBSTITUTE(SUBSTITUTE(SUBSTITUTE(SUBSTITUTE(UPPER(TRIM(C197&amp;"")),"!","!E"),"*","!A"),"?","!B"),"~","!C")</f>
        <v>ID:</v>
      </c>
    </row>
    <row r="198" ht="75" customHeight="1">
      <c r="B198" s="31"/>
      <c r="C198" s="31"/>
      <c r="D198" s="31"/>
      <c r="E198" s="31"/>
      <c r="F198" s="31"/>
      <c r="G198" s="34"/>
      <c r="H198" s="34"/>
      <c r="I198" s="34"/>
      <c r="J198" s="34"/>
      <c r="K198" s="31"/>
      <c r="L198" s="31"/>
      <c r="M198" s="31"/>
      <c r="N198" s="31"/>
      <c r="O198" s="31"/>
      <c r="P198" s="35">
        <f>IF(AND(ISNUMBER(J198),'REFERENCIAS'!$Q$8=1),ROUND(J198,'REFERENCIAS'!$K$8),"")</f>
      </c>
      <c r="R198" s="29" t="str">
        <f>"ID:"&amp;SUBSTITUTE(SUBSTITUTE(SUBSTITUTE(SUBSTITUTE(UPPER(TRIM(B198&amp;"")),"!","!E"),"*","!A"),"?","!B"),"~","!C")</f>
        <v>ID:</v>
      </c>
      <c r="S198" s="29" t="str">
        <f>"ID:"&amp;SUBSTITUTE(SUBSTITUTE(SUBSTITUTE(SUBSTITUTE(UPPER(TRIM(C198&amp;"")),"!","!E"),"*","!A"),"?","!B"),"~","!C")</f>
        <v>ID:</v>
      </c>
    </row>
    <row r="199" ht="75" customHeight="1">
      <c r="B199" s="31"/>
      <c r="C199" s="31"/>
      <c r="D199" s="31"/>
      <c r="E199" s="31"/>
      <c r="F199" s="31"/>
      <c r="G199" s="34"/>
      <c r="H199" s="34"/>
      <c r="I199" s="34"/>
      <c r="J199" s="34"/>
      <c r="K199" s="31"/>
      <c r="L199" s="31"/>
      <c r="M199" s="31"/>
      <c r="N199" s="31"/>
      <c r="O199" s="31"/>
      <c r="P199" s="35">
        <f>IF(AND(ISNUMBER(J199),'REFERENCIAS'!$Q$8=1),ROUND(J199,'REFERENCIAS'!$K$8),"")</f>
      </c>
      <c r="R199" s="29" t="str">
        <f>"ID:"&amp;SUBSTITUTE(SUBSTITUTE(SUBSTITUTE(SUBSTITUTE(UPPER(TRIM(B199&amp;"")),"!","!E"),"*","!A"),"?","!B"),"~","!C")</f>
        <v>ID:</v>
      </c>
      <c r="S199" s="29" t="str">
        <f>"ID:"&amp;SUBSTITUTE(SUBSTITUTE(SUBSTITUTE(SUBSTITUTE(UPPER(TRIM(C199&amp;"")),"!","!E"),"*","!A"),"?","!B"),"~","!C")</f>
        <v>ID:</v>
      </c>
    </row>
    <row r="200" ht="75" customHeight="1">
      <c r="B200" s="31"/>
      <c r="C200" s="31"/>
      <c r="D200" s="31"/>
      <c r="E200" s="31"/>
      <c r="F200" s="31"/>
      <c r="G200" s="34"/>
      <c r="H200" s="34"/>
      <c r="I200" s="34"/>
      <c r="J200" s="34"/>
      <c r="K200" s="31"/>
      <c r="L200" s="31"/>
      <c r="M200" s="31"/>
      <c r="N200" s="31"/>
      <c r="O200" s="31"/>
      <c r="P200" s="35">
        <f>IF(AND(ISNUMBER(J200),'REFERENCIAS'!$Q$8=1),ROUND(J200,'REFERENCIAS'!$K$8),"")</f>
      </c>
      <c r="R200" s="29" t="str">
        <f>"ID:"&amp;SUBSTITUTE(SUBSTITUTE(SUBSTITUTE(SUBSTITUTE(UPPER(TRIM(B200&amp;"")),"!","!E"),"*","!A"),"?","!B"),"~","!C")</f>
        <v>ID:</v>
      </c>
      <c r="S200" s="29" t="str">
        <f>"ID:"&amp;SUBSTITUTE(SUBSTITUTE(SUBSTITUTE(SUBSTITUTE(UPPER(TRIM(C200&amp;"")),"!","!E"),"*","!A"),"?","!B"),"~","!C")</f>
        <v>ID:</v>
      </c>
    </row>
    <row r="201" ht="75" customHeight="1">
      <c r="B201" s="31"/>
      <c r="C201" s="31"/>
      <c r="D201" s="31"/>
      <c r="E201" s="31"/>
      <c r="F201" s="31"/>
      <c r="G201" s="34"/>
      <c r="H201" s="34"/>
      <c r="I201" s="34"/>
      <c r="J201" s="34"/>
      <c r="K201" s="31"/>
      <c r="L201" s="31"/>
      <c r="M201" s="31"/>
      <c r="N201" s="31"/>
      <c r="O201" s="31"/>
      <c r="P201" s="35">
        <f>IF(AND(ISNUMBER(J201),'REFERENCIAS'!$Q$8=1),ROUND(J201,'REFERENCIAS'!$K$8),"")</f>
      </c>
      <c r="R201" s="29" t="str">
        <f>"ID:"&amp;SUBSTITUTE(SUBSTITUTE(SUBSTITUTE(SUBSTITUTE(UPPER(TRIM(B201&amp;"")),"!","!E"),"*","!A"),"?","!B"),"~","!C")</f>
        <v>ID:</v>
      </c>
      <c r="S201" s="29" t="str">
        <f>"ID:"&amp;SUBSTITUTE(SUBSTITUTE(SUBSTITUTE(SUBSTITUTE(UPPER(TRIM(C201&amp;"")),"!","!E"),"*","!A"),"?","!B"),"~","!C")</f>
        <v>ID:</v>
      </c>
    </row>
    <row r="202" ht="75" customHeight="1">
      <c r="B202" s="31"/>
      <c r="C202" s="31"/>
      <c r="D202" s="31"/>
      <c r="E202" s="31"/>
      <c r="F202" s="31"/>
      <c r="G202" s="34"/>
      <c r="H202" s="34"/>
      <c r="I202" s="34"/>
      <c r="J202" s="34"/>
      <c r="K202" s="31"/>
      <c r="L202" s="31"/>
      <c r="M202" s="31"/>
      <c r="N202" s="31"/>
      <c r="O202" s="31"/>
      <c r="P202" s="35">
        <f>IF(AND(ISNUMBER(J202),'REFERENCIAS'!$Q$8=1),ROUND(J202,'REFERENCIAS'!$K$8),"")</f>
      </c>
      <c r="R202" s="29" t="str">
        <f>"ID:"&amp;SUBSTITUTE(SUBSTITUTE(SUBSTITUTE(SUBSTITUTE(UPPER(TRIM(B202&amp;"")),"!","!E"),"*","!A"),"?","!B"),"~","!C")</f>
        <v>ID:</v>
      </c>
      <c r="S202" s="29" t="str">
        <f>"ID:"&amp;SUBSTITUTE(SUBSTITUTE(SUBSTITUTE(SUBSTITUTE(UPPER(TRIM(C202&amp;"")),"!","!E"),"*","!A"),"?","!B"),"~","!C")</f>
        <v>ID:</v>
      </c>
    </row>
    <row r="203" ht="75" customHeight="1">
      <c r="B203" s="31"/>
      <c r="C203" s="31"/>
      <c r="D203" s="31"/>
      <c r="E203" s="31"/>
      <c r="F203" s="31"/>
      <c r="G203" s="34"/>
      <c r="H203" s="34"/>
      <c r="I203" s="34"/>
      <c r="J203" s="34"/>
      <c r="K203" s="31"/>
      <c r="L203" s="31"/>
      <c r="M203" s="31"/>
      <c r="N203" s="31"/>
      <c r="O203" s="31"/>
      <c r="P203" s="35">
        <f>IF(AND(ISNUMBER(J203),'REFERENCIAS'!$Q$8=1),ROUND(J203,'REFERENCIAS'!$K$8),"")</f>
      </c>
      <c r="R203" s="29" t="str">
        <f>"ID:"&amp;SUBSTITUTE(SUBSTITUTE(SUBSTITUTE(SUBSTITUTE(UPPER(TRIM(B203&amp;"")),"!","!E"),"*","!A"),"?","!B"),"~","!C")</f>
        <v>ID:</v>
      </c>
      <c r="S203" s="29" t="str">
        <f>"ID:"&amp;SUBSTITUTE(SUBSTITUTE(SUBSTITUTE(SUBSTITUTE(UPPER(TRIM(C203&amp;"")),"!","!E"),"*","!A"),"?","!B"),"~","!C")</f>
        <v>ID:</v>
      </c>
    </row>
    <row r="204" ht="75" customHeight="1">
      <c r="B204" s="31"/>
      <c r="C204" s="31"/>
      <c r="D204" s="31"/>
      <c r="E204" s="31"/>
      <c r="F204" s="31"/>
      <c r="G204" s="34"/>
      <c r="H204" s="34"/>
      <c r="I204" s="34"/>
      <c r="J204" s="34"/>
      <c r="K204" s="31"/>
      <c r="L204" s="31"/>
      <c r="M204" s="31"/>
      <c r="N204" s="31"/>
      <c r="O204" s="31"/>
      <c r="P204" s="35">
        <f>IF(AND(ISNUMBER(J204),'REFERENCIAS'!$Q$8=1),ROUND(J204,'REFERENCIAS'!$K$8),"")</f>
      </c>
      <c r="R204" s="29" t="str">
        <f>"ID:"&amp;SUBSTITUTE(SUBSTITUTE(SUBSTITUTE(SUBSTITUTE(UPPER(TRIM(B204&amp;"")),"!","!E"),"*","!A"),"?","!B"),"~","!C")</f>
        <v>ID:</v>
      </c>
      <c r="S204" s="29" t="str">
        <f>"ID:"&amp;SUBSTITUTE(SUBSTITUTE(SUBSTITUTE(SUBSTITUTE(UPPER(TRIM(C204&amp;"")),"!","!E"),"*","!A"),"?","!B"),"~","!C")</f>
        <v>ID:</v>
      </c>
    </row>
    <row r="205" ht="75" customHeight="1">
      <c r="B205" s="31"/>
      <c r="C205" s="31"/>
      <c r="D205" s="31"/>
      <c r="E205" s="31"/>
      <c r="F205" s="31"/>
      <c r="G205" s="34"/>
      <c r="H205" s="34"/>
      <c r="I205" s="34"/>
      <c r="J205" s="34"/>
      <c r="K205" s="31"/>
      <c r="L205" s="31"/>
      <c r="M205" s="31"/>
      <c r="N205" s="31"/>
      <c r="O205" s="31"/>
      <c r="P205" s="35">
        <f>IF(AND(ISNUMBER(J205),'REFERENCIAS'!$Q$8=1),ROUND(J205,'REFERENCIAS'!$K$8),"")</f>
      </c>
      <c r="R205" s="29" t="str">
        <f>"ID:"&amp;SUBSTITUTE(SUBSTITUTE(SUBSTITUTE(SUBSTITUTE(UPPER(TRIM(B205&amp;"")),"!","!E"),"*","!A"),"?","!B"),"~","!C")</f>
        <v>ID:</v>
      </c>
      <c r="S205" s="29" t="str">
        <f>"ID:"&amp;SUBSTITUTE(SUBSTITUTE(SUBSTITUTE(SUBSTITUTE(UPPER(TRIM(C205&amp;"")),"!","!E"),"*","!A"),"?","!B"),"~","!C")</f>
        <v>ID:</v>
      </c>
    </row>
    <row r="206" ht="75" customHeight="1">
      <c r="B206" s="31"/>
      <c r="C206" s="31"/>
      <c r="D206" s="31"/>
      <c r="E206" s="31"/>
      <c r="F206" s="31"/>
      <c r="G206" s="34"/>
      <c r="H206" s="34"/>
      <c r="I206" s="34"/>
      <c r="J206" s="34"/>
      <c r="K206" s="31"/>
      <c r="L206" s="31"/>
      <c r="M206" s="31"/>
      <c r="N206" s="31"/>
      <c r="O206" s="31"/>
      <c r="P206" s="35">
        <f>IF(AND(ISNUMBER(J206),'REFERENCIAS'!$Q$8=1),ROUND(J206,'REFERENCIAS'!$K$8),"")</f>
      </c>
      <c r="R206" s="29" t="str">
        <f>"ID:"&amp;SUBSTITUTE(SUBSTITUTE(SUBSTITUTE(SUBSTITUTE(UPPER(TRIM(B206&amp;"")),"!","!E"),"*","!A"),"?","!B"),"~","!C")</f>
        <v>ID:</v>
      </c>
      <c r="S206" s="29" t="str">
        <f>"ID:"&amp;SUBSTITUTE(SUBSTITUTE(SUBSTITUTE(SUBSTITUTE(UPPER(TRIM(C206&amp;"")),"!","!E"),"*","!A"),"?","!B"),"~","!C")</f>
        <v>ID:</v>
      </c>
    </row>
    <row r="207" ht="75" customHeight="1">
      <c r="B207" s="31"/>
      <c r="C207" s="31"/>
      <c r="D207" s="31"/>
      <c r="E207" s="31"/>
      <c r="F207" s="31"/>
      <c r="G207" s="34"/>
      <c r="H207" s="34"/>
      <c r="I207" s="34"/>
      <c r="J207" s="34"/>
      <c r="K207" s="31"/>
      <c r="L207" s="31"/>
      <c r="M207" s="31"/>
      <c r="N207" s="31"/>
      <c r="O207" s="31"/>
      <c r="P207" s="35">
        <f>IF(AND(ISNUMBER(J207),'REFERENCIAS'!$Q$8=1),ROUND(J207,'REFERENCIAS'!$K$8),"")</f>
      </c>
      <c r="R207" s="29" t="str">
        <f>"ID:"&amp;SUBSTITUTE(SUBSTITUTE(SUBSTITUTE(SUBSTITUTE(UPPER(TRIM(B207&amp;"")),"!","!E"),"*","!A"),"?","!B"),"~","!C")</f>
        <v>ID:</v>
      </c>
      <c r="S207" s="29" t="str">
        <f>"ID:"&amp;SUBSTITUTE(SUBSTITUTE(SUBSTITUTE(SUBSTITUTE(UPPER(TRIM(C207&amp;"")),"!","!E"),"*","!A"),"?","!B"),"~","!C")</f>
        <v>ID:</v>
      </c>
    </row>
    <row r="208" ht="75" customHeight="1">
      <c r="B208" s="31"/>
      <c r="C208" s="31"/>
      <c r="D208" s="31"/>
      <c r="E208" s="31"/>
      <c r="F208" s="31"/>
      <c r="G208" s="34"/>
      <c r="H208" s="34"/>
      <c r="I208" s="34"/>
      <c r="J208" s="34"/>
      <c r="K208" s="31"/>
      <c r="L208" s="31"/>
      <c r="M208" s="31"/>
      <c r="N208" s="31"/>
      <c r="O208" s="31"/>
      <c r="P208" s="35">
        <f>IF(AND(ISNUMBER(J208),'REFERENCIAS'!$Q$8=1),ROUND(J208,'REFERENCIAS'!$K$8),"")</f>
      </c>
      <c r="R208" s="29" t="str">
        <f>"ID:"&amp;SUBSTITUTE(SUBSTITUTE(SUBSTITUTE(SUBSTITUTE(UPPER(TRIM(B208&amp;"")),"!","!E"),"*","!A"),"?","!B"),"~","!C")</f>
        <v>ID:</v>
      </c>
      <c r="S208" s="29" t="str">
        <f>"ID:"&amp;SUBSTITUTE(SUBSTITUTE(SUBSTITUTE(SUBSTITUTE(UPPER(TRIM(C208&amp;"")),"!","!E"),"*","!A"),"?","!B"),"~","!C")</f>
        <v>ID:</v>
      </c>
    </row>
    <row r="209" ht="75" customHeight="1">
      <c r="B209" s="31"/>
      <c r="C209" s="31"/>
      <c r="D209" s="31"/>
      <c r="E209" s="31"/>
      <c r="F209" s="31"/>
      <c r="G209" s="34"/>
      <c r="H209" s="34"/>
      <c r="I209" s="34"/>
      <c r="J209" s="34"/>
      <c r="K209" s="31"/>
      <c r="L209" s="31"/>
      <c r="M209" s="31"/>
      <c r="N209" s="31"/>
      <c r="O209" s="31"/>
      <c r="P209" s="35">
        <f>IF(AND(ISNUMBER(J209),'REFERENCIAS'!$Q$8=1),ROUND(J209,'REFERENCIAS'!$K$8),"")</f>
      </c>
      <c r="R209" s="29" t="str">
        <f>"ID:"&amp;SUBSTITUTE(SUBSTITUTE(SUBSTITUTE(SUBSTITUTE(UPPER(TRIM(B209&amp;"")),"!","!E"),"*","!A"),"?","!B"),"~","!C")</f>
        <v>ID:</v>
      </c>
      <c r="S209" s="29" t="str">
        <f>"ID:"&amp;SUBSTITUTE(SUBSTITUTE(SUBSTITUTE(SUBSTITUTE(UPPER(TRIM(C209&amp;"")),"!","!E"),"*","!A"),"?","!B"),"~","!C")</f>
        <v>ID:</v>
      </c>
    </row>
    <row r="210" ht="75" customHeight="1">
      <c r="B210" s="31"/>
      <c r="C210" s="31"/>
      <c r="D210" s="31"/>
      <c r="E210" s="31"/>
      <c r="F210" s="31"/>
      <c r="G210" s="34"/>
      <c r="H210" s="34"/>
      <c r="I210" s="34"/>
      <c r="J210" s="34"/>
      <c r="K210" s="31"/>
      <c r="L210" s="31"/>
      <c r="M210" s="31"/>
      <c r="N210" s="31"/>
      <c r="O210" s="31"/>
      <c r="P210" s="35">
        <f>IF(AND(ISNUMBER(J210),'REFERENCIAS'!$Q$8=1),ROUND(J210,'REFERENCIAS'!$K$8),"")</f>
      </c>
      <c r="R210" s="29" t="str">
        <f>"ID:"&amp;SUBSTITUTE(SUBSTITUTE(SUBSTITUTE(SUBSTITUTE(UPPER(TRIM(B210&amp;"")),"!","!E"),"*","!A"),"?","!B"),"~","!C")</f>
        <v>ID:</v>
      </c>
      <c r="S210" s="29" t="str">
        <f>"ID:"&amp;SUBSTITUTE(SUBSTITUTE(SUBSTITUTE(SUBSTITUTE(UPPER(TRIM(C210&amp;"")),"!","!E"),"*","!A"),"?","!B"),"~","!C")</f>
        <v>ID:</v>
      </c>
    </row>
    <row r="211" ht="75" customHeight="1">
      <c r="B211" s="31"/>
      <c r="C211" s="31"/>
      <c r="D211" s="31"/>
      <c r="E211" s="31"/>
      <c r="F211" s="31"/>
      <c r="G211" s="34"/>
      <c r="H211" s="34"/>
      <c r="I211" s="34"/>
      <c r="J211" s="34"/>
      <c r="K211" s="31"/>
      <c r="L211" s="31"/>
      <c r="M211" s="31"/>
      <c r="N211" s="31"/>
      <c r="O211" s="31"/>
      <c r="P211" s="35">
        <f>IF(AND(ISNUMBER(J211),'REFERENCIAS'!$Q$8=1),ROUND(J211,'REFERENCIAS'!$K$8),"")</f>
      </c>
      <c r="R211" s="29" t="str">
        <f>"ID:"&amp;SUBSTITUTE(SUBSTITUTE(SUBSTITUTE(SUBSTITUTE(UPPER(TRIM(B211&amp;"")),"!","!E"),"*","!A"),"?","!B"),"~","!C")</f>
        <v>ID:</v>
      </c>
      <c r="S211" s="29" t="str">
        <f>"ID:"&amp;SUBSTITUTE(SUBSTITUTE(SUBSTITUTE(SUBSTITUTE(UPPER(TRIM(C211&amp;"")),"!","!E"),"*","!A"),"?","!B"),"~","!C")</f>
        <v>ID:</v>
      </c>
    </row>
    <row r="212" ht="75" customHeight="1">
      <c r="B212" s="31"/>
      <c r="C212" s="31"/>
      <c r="D212" s="31"/>
      <c r="E212" s="31"/>
      <c r="F212" s="31"/>
      <c r="G212" s="34"/>
      <c r="H212" s="34"/>
      <c r="I212" s="34"/>
      <c r="J212" s="34"/>
      <c r="K212" s="31"/>
      <c r="L212" s="31"/>
      <c r="M212" s="31"/>
      <c r="N212" s="31"/>
      <c r="O212" s="31"/>
      <c r="P212" s="35">
        <f>IF(AND(ISNUMBER(J212),'REFERENCIAS'!$Q$8=1),ROUND(J212,'REFERENCIAS'!$K$8),"")</f>
      </c>
      <c r="R212" s="29" t="str">
        <f>"ID:"&amp;SUBSTITUTE(SUBSTITUTE(SUBSTITUTE(SUBSTITUTE(UPPER(TRIM(B212&amp;"")),"!","!E"),"*","!A"),"?","!B"),"~","!C")</f>
        <v>ID:</v>
      </c>
      <c r="S212" s="29" t="str">
        <f>"ID:"&amp;SUBSTITUTE(SUBSTITUTE(SUBSTITUTE(SUBSTITUTE(UPPER(TRIM(C212&amp;"")),"!","!E"),"*","!A"),"?","!B"),"~","!C")</f>
        <v>ID:</v>
      </c>
    </row>
    <row r="213" ht="75" customHeight="1">
      <c r="B213" s="31"/>
      <c r="C213" s="31"/>
      <c r="D213" s="31"/>
      <c r="E213" s="31"/>
      <c r="F213" s="31"/>
      <c r="G213" s="34"/>
      <c r="H213" s="34"/>
      <c r="I213" s="34"/>
      <c r="J213" s="34"/>
      <c r="K213" s="31"/>
      <c r="L213" s="31"/>
      <c r="M213" s="31"/>
      <c r="N213" s="31"/>
      <c r="O213" s="31"/>
      <c r="P213" s="35">
        <f>IF(AND(ISNUMBER(J213),'REFERENCIAS'!$Q$8=1),ROUND(J213,'REFERENCIAS'!$K$8),"")</f>
      </c>
      <c r="R213" s="29" t="str">
        <f>"ID:"&amp;SUBSTITUTE(SUBSTITUTE(SUBSTITUTE(SUBSTITUTE(UPPER(TRIM(B213&amp;"")),"!","!E"),"*","!A"),"?","!B"),"~","!C")</f>
        <v>ID:</v>
      </c>
      <c r="S213" s="29" t="str">
        <f>"ID:"&amp;SUBSTITUTE(SUBSTITUTE(SUBSTITUTE(SUBSTITUTE(UPPER(TRIM(C213&amp;"")),"!","!E"),"*","!A"),"?","!B"),"~","!C")</f>
        <v>ID:</v>
      </c>
    </row>
    <row r="214" ht="75" customHeight="1">
      <c r="B214" s="31"/>
      <c r="C214" s="31"/>
      <c r="D214" s="31"/>
      <c r="E214" s="31"/>
      <c r="F214" s="31"/>
      <c r="G214" s="34"/>
      <c r="H214" s="34"/>
      <c r="I214" s="34"/>
      <c r="J214" s="34"/>
      <c r="K214" s="31"/>
      <c r="L214" s="31"/>
      <c r="M214" s="31"/>
      <c r="N214" s="31"/>
      <c r="O214" s="31"/>
      <c r="P214" s="35">
        <f>IF(AND(ISNUMBER(J214),'REFERENCIAS'!$Q$8=1),ROUND(J214,'REFERENCIAS'!$K$8),"")</f>
      </c>
      <c r="R214" s="29" t="str">
        <f>"ID:"&amp;SUBSTITUTE(SUBSTITUTE(SUBSTITUTE(SUBSTITUTE(UPPER(TRIM(B214&amp;"")),"!","!E"),"*","!A"),"?","!B"),"~","!C")</f>
        <v>ID:</v>
      </c>
      <c r="S214" s="29" t="str">
        <f>"ID:"&amp;SUBSTITUTE(SUBSTITUTE(SUBSTITUTE(SUBSTITUTE(UPPER(TRIM(C214&amp;"")),"!","!E"),"*","!A"),"?","!B"),"~","!C")</f>
        <v>ID:</v>
      </c>
    </row>
    <row r="215" ht="75" customHeight="1">
      <c r="B215" s="31"/>
      <c r="C215" s="31"/>
      <c r="D215" s="31"/>
      <c r="E215" s="31"/>
      <c r="F215" s="31"/>
      <c r="G215" s="34"/>
      <c r="H215" s="34"/>
      <c r="I215" s="34"/>
      <c r="J215" s="34"/>
      <c r="K215" s="31"/>
      <c r="L215" s="31"/>
      <c r="M215" s="31"/>
      <c r="N215" s="31"/>
      <c r="O215" s="31"/>
      <c r="P215" s="35">
        <f>IF(AND(ISNUMBER(J215),'REFERENCIAS'!$Q$8=1),ROUND(J215,'REFERENCIAS'!$K$8),"")</f>
      </c>
      <c r="R215" s="29" t="str">
        <f>"ID:"&amp;SUBSTITUTE(SUBSTITUTE(SUBSTITUTE(SUBSTITUTE(UPPER(TRIM(B215&amp;"")),"!","!E"),"*","!A"),"?","!B"),"~","!C")</f>
        <v>ID:</v>
      </c>
      <c r="S215" s="29" t="str">
        <f>"ID:"&amp;SUBSTITUTE(SUBSTITUTE(SUBSTITUTE(SUBSTITUTE(UPPER(TRIM(C215&amp;"")),"!","!E"),"*","!A"),"?","!B"),"~","!C")</f>
        <v>ID:</v>
      </c>
    </row>
    <row r="216" ht="75" customHeight="1">
      <c r="B216" s="31"/>
      <c r="C216" s="31"/>
      <c r="D216" s="31"/>
      <c r="E216" s="31"/>
      <c r="F216" s="31"/>
      <c r="G216" s="34"/>
      <c r="H216" s="34"/>
      <c r="I216" s="34"/>
      <c r="J216" s="34"/>
      <c r="K216" s="31"/>
      <c r="L216" s="31"/>
      <c r="M216" s="31"/>
      <c r="N216" s="31"/>
      <c r="O216" s="31"/>
      <c r="P216" s="35">
        <f>IF(AND(ISNUMBER(J216),'REFERENCIAS'!$Q$8=1),ROUND(J216,'REFERENCIAS'!$K$8),"")</f>
      </c>
      <c r="R216" s="29" t="str">
        <f>"ID:"&amp;SUBSTITUTE(SUBSTITUTE(SUBSTITUTE(SUBSTITUTE(UPPER(TRIM(B216&amp;"")),"!","!E"),"*","!A"),"?","!B"),"~","!C")</f>
        <v>ID:</v>
      </c>
      <c r="S216" s="29" t="str">
        <f>"ID:"&amp;SUBSTITUTE(SUBSTITUTE(SUBSTITUTE(SUBSTITUTE(UPPER(TRIM(C216&amp;"")),"!","!E"),"*","!A"),"?","!B"),"~","!C")</f>
        <v>ID:</v>
      </c>
    </row>
    <row r="217" ht="75" customHeight="1">
      <c r="B217" s="31"/>
      <c r="C217" s="31"/>
      <c r="D217" s="31"/>
      <c r="E217" s="31"/>
      <c r="F217" s="31"/>
      <c r="G217" s="34"/>
      <c r="H217" s="34"/>
      <c r="I217" s="34"/>
      <c r="J217" s="34"/>
      <c r="K217" s="31"/>
      <c r="L217" s="31"/>
      <c r="M217" s="31"/>
      <c r="N217" s="31"/>
      <c r="O217" s="31"/>
      <c r="P217" s="35">
        <f>IF(AND(ISNUMBER(J217),'REFERENCIAS'!$Q$8=1),ROUND(J217,'REFERENCIAS'!$K$8),"")</f>
      </c>
      <c r="R217" s="29" t="str">
        <f>"ID:"&amp;SUBSTITUTE(SUBSTITUTE(SUBSTITUTE(SUBSTITUTE(UPPER(TRIM(B217&amp;"")),"!","!E"),"*","!A"),"?","!B"),"~","!C")</f>
        <v>ID:</v>
      </c>
      <c r="S217" s="29" t="str">
        <f>"ID:"&amp;SUBSTITUTE(SUBSTITUTE(SUBSTITUTE(SUBSTITUTE(UPPER(TRIM(C217&amp;"")),"!","!E"),"*","!A"),"?","!B"),"~","!C")</f>
        <v>ID:</v>
      </c>
    </row>
    <row r="218" ht="75" customHeight="1">
      <c r="B218" s="31"/>
      <c r="C218" s="31"/>
      <c r="D218" s="31"/>
      <c r="E218" s="31"/>
      <c r="F218" s="31"/>
      <c r="G218" s="34"/>
      <c r="H218" s="34"/>
      <c r="I218" s="34"/>
      <c r="J218" s="34"/>
      <c r="K218" s="31"/>
      <c r="L218" s="31"/>
      <c r="M218" s="31"/>
      <c r="N218" s="31"/>
      <c r="O218" s="31"/>
      <c r="P218" s="35">
        <f>IF(AND(ISNUMBER(J218),'REFERENCIAS'!$Q$8=1),ROUND(J218,'REFERENCIAS'!$K$8),"")</f>
      </c>
      <c r="R218" s="29" t="str">
        <f>"ID:"&amp;SUBSTITUTE(SUBSTITUTE(SUBSTITUTE(SUBSTITUTE(UPPER(TRIM(B218&amp;"")),"!","!E"),"*","!A"),"?","!B"),"~","!C")</f>
        <v>ID:</v>
      </c>
      <c r="S218" s="29" t="str">
        <f>"ID:"&amp;SUBSTITUTE(SUBSTITUTE(SUBSTITUTE(SUBSTITUTE(UPPER(TRIM(C218&amp;"")),"!","!E"),"*","!A"),"?","!B"),"~","!C")</f>
        <v>ID:</v>
      </c>
    </row>
    <row r="219" ht="75" customHeight="1">
      <c r="B219" s="31"/>
      <c r="C219" s="31"/>
      <c r="D219" s="31"/>
      <c r="E219" s="31"/>
      <c r="F219" s="31"/>
      <c r="G219" s="34"/>
      <c r="H219" s="34"/>
      <c r="I219" s="34"/>
      <c r="J219" s="34"/>
      <c r="K219" s="31"/>
      <c r="L219" s="31"/>
      <c r="M219" s="31"/>
      <c r="N219" s="31"/>
      <c r="O219" s="31"/>
      <c r="P219" s="35">
        <f>IF(AND(ISNUMBER(J219),'REFERENCIAS'!$Q$8=1),ROUND(J219,'REFERENCIAS'!$K$8),"")</f>
      </c>
      <c r="R219" s="29" t="str">
        <f>"ID:"&amp;SUBSTITUTE(SUBSTITUTE(SUBSTITUTE(SUBSTITUTE(UPPER(TRIM(B219&amp;"")),"!","!E"),"*","!A"),"?","!B"),"~","!C")</f>
        <v>ID:</v>
      </c>
      <c r="S219" s="29" t="str">
        <f>"ID:"&amp;SUBSTITUTE(SUBSTITUTE(SUBSTITUTE(SUBSTITUTE(UPPER(TRIM(C219&amp;"")),"!","!E"),"*","!A"),"?","!B"),"~","!C")</f>
        <v>ID:</v>
      </c>
    </row>
    <row r="220" ht="75" customHeight="1">
      <c r="B220" s="31"/>
      <c r="C220" s="31"/>
      <c r="D220" s="31"/>
      <c r="E220" s="31"/>
      <c r="F220" s="31"/>
      <c r="G220" s="34"/>
      <c r="H220" s="34"/>
      <c r="I220" s="34"/>
      <c r="J220" s="34"/>
      <c r="K220" s="31"/>
      <c r="L220" s="31"/>
      <c r="M220" s="31"/>
      <c r="N220" s="31"/>
      <c r="O220" s="31"/>
      <c r="P220" s="35">
        <f>IF(AND(ISNUMBER(J220),'REFERENCIAS'!$Q$8=1),ROUND(J220,'REFERENCIAS'!$K$8),"")</f>
      </c>
      <c r="R220" s="29" t="str">
        <f>"ID:"&amp;SUBSTITUTE(SUBSTITUTE(SUBSTITUTE(SUBSTITUTE(UPPER(TRIM(B220&amp;"")),"!","!E"),"*","!A"),"?","!B"),"~","!C")</f>
        <v>ID:</v>
      </c>
      <c r="S220" s="29" t="str">
        <f>"ID:"&amp;SUBSTITUTE(SUBSTITUTE(SUBSTITUTE(SUBSTITUTE(UPPER(TRIM(C220&amp;"")),"!","!E"),"*","!A"),"?","!B"),"~","!C")</f>
        <v>ID:</v>
      </c>
    </row>
    <row r="221" ht="75" customHeight="1">
      <c r="B221" s="31"/>
      <c r="C221" s="31"/>
      <c r="D221" s="31"/>
      <c r="E221" s="31"/>
      <c r="F221" s="31"/>
      <c r="G221" s="34"/>
      <c r="H221" s="34"/>
      <c r="I221" s="34"/>
      <c r="J221" s="34"/>
      <c r="K221" s="31"/>
      <c r="L221" s="31"/>
      <c r="M221" s="31"/>
      <c r="N221" s="31"/>
      <c r="O221" s="31"/>
      <c r="P221" s="35">
        <f>IF(AND(ISNUMBER(J221),'REFERENCIAS'!$Q$8=1),ROUND(J221,'REFERENCIAS'!$K$8),"")</f>
      </c>
      <c r="R221" s="29" t="str">
        <f>"ID:"&amp;SUBSTITUTE(SUBSTITUTE(SUBSTITUTE(SUBSTITUTE(UPPER(TRIM(B221&amp;"")),"!","!E"),"*","!A"),"?","!B"),"~","!C")</f>
        <v>ID:</v>
      </c>
      <c r="S221" s="29" t="str">
        <f>"ID:"&amp;SUBSTITUTE(SUBSTITUTE(SUBSTITUTE(SUBSTITUTE(UPPER(TRIM(C221&amp;"")),"!","!E"),"*","!A"),"?","!B"),"~","!C")</f>
        <v>ID:</v>
      </c>
    </row>
    <row r="222" ht="75" customHeight="1">
      <c r="B222" s="31"/>
      <c r="C222" s="31"/>
      <c r="D222" s="31"/>
      <c r="E222" s="31"/>
      <c r="F222" s="31"/>
      <c r="G222" s="34"/>
      <c r="H222" s="34"/>
      <c r="I222" s="34"/>
      <c r="J222" s="34"/>
      <c r="K222" s="31"/>
      <c r="L222" s="31"/>
      <c r="M222" s="31"/>
      <c r="N222" s="31"/>
      <c r="O222" s="31"/>
      <c r="P222" s="35">
        <f>IF(AND(ISNUMBER(J222),'REFERENCIAS'!$Q$8=1),ROUND(J222,'REFERENCIAS'!$K$8),"")</f>
      </c>
      <c r="R222" s="29" t="str">
        <f>"ID:"&amp;SUBSTITUTE(SUBSTITUTE(SUBSTITUTE(SUBSTITUTE(UPPER(TRIM(B222&amp;"")),"!","!E"),"*","!A"),"?","!B"),"~","!C")</f>
        <v>ID:</v>
      </c>
      <c r="S222" s="29" t="str">
        <f>"ID:"&amp;SUBSTITUTE(SUBSTITUTE(SUBSTITUTE(SUBSTITUTE(UPPER(TRIM(C222&amp;"")),"!","!E"),"*","!A"),"?","!B"),"~","!C")</f>
        <v>ID:</v>
      </c>
    </row>
    <row r="223" ht="75" customHeight="1">
      <c r="B223" s="31"/>
      <c r="C223" s="31"/>
      <c r="D223" s="31"/>
      <c r="E223" s="31"/>
      <c r="F223" s="31"/>
      <c r="G223" s="34"/>
      <c r="H223" s="34"/>
      <c r="I223" s="34"/>
      <c r="J223" s="34"/>
      <c r="K223" s="31"/>
      <c r="L223" s="31"/>
      <c r="M223" s="31"/>
      <c r="N223" s="31"/>
      <c r="O223" s="31"/>
      <c r="P223" s="35">
        <f>IF(AND(ISNUMBER(J223),'REFERENCIAS'!$Q$8=1),ROUND(J223,'REFERENCIAS'!$K$8),"")</f>
      </c>
      <c r="R223" s="29" t="str">
        <f>"ID:"&amp;SUBSTITUTE(SUBSTITUTE(SUBSTITUTE(SUBSTITUTE(UPPER(TRIM(B223&amp;"")),"!","!E"),"*","!A"),"?","!B"),"~","!C")</f>
        <v>ID:</v>
      </c>
      <c r="S223" s="29" t="str">
        <f>"ID:"&amp;SUBSTITUTE(SUBSTITUTE(SUBSTITUTE(SUBSTITUTE(UPPER(TRIM(C223&amp;"")),"!","!E"),"*","!A"),"?","!B"),"~","!C")</f>
        <v>ID:</v>
      </c>
    </row>
    <row r="224" ht="75" customHeight="1">
      <c r="B224" s="31"/>
      <c r="C224" s="31"/>
      <c r="D224" s="31"/>
      <c r="E224" s="31"/>
      <c r="F224" s="31"/>
      <c r="G224" s="34"/>
      <c r="H224" s="34"/>
      <c r="I224" s="34"/>
      <c r="J224" s="34"/>
      <c r="K224" s="31"/>
      <c r="L224" s="31"/>
      <c r="M224" s="31"/>
      <c r="N224" s="31"/>
      <c r="O224" s="31"/>
      <c r="P224" s="35">
        <f>IF(AND(ISNUMBER(J224),'REFERENCIAS'!$Q$8=1),ROUND(J224,'REFERENCIAS'!$K$8),"")</f>
      </c>
      <c r="R224" s="29" t="str">
        <f>"ID:"&amp;SUBSTITUTE(SUBSTITUTE(SUBSTITUTE(SUBSTITUTE(UPPER(TRIM(B224&amp;"")),"!","!E"),"*","!A"),"?","!B"),"~","!C")</f>
        <v>ID:</v>
      </c>
      <c r="S224" s="29" t="str">
        <f>"ID:"&amp;SUBSTITUTE(SUBSTITUTE(SUBSTITUTE(SUBSTITUTE(UPPER(TRIM(C224&amp;"")),"!","!E"),"*","!A"),"?","!B"),"~","!C")</f>
        <v>ID:</v>
      </c>
    </row>
    <row r="225" ht="75" customHeight="1">
      <c r="B225" s="31"/>
      <c r="C225" s="31"/>
      <c r="D225" s="31"/>
      <c r="E225" s="31"/>
      <c r="F225" s="31"/>
      <c r="G225" s="34"/>
      <c r="H225" s="34"/>
      <c r="I225" s="34"/>
      <c r="J225" s="34"/>
      <c r="K225" s="31"/>
      <c r="L225" s="31"/>
      <c r="M225" s="31"/>
      <c r="N225" s="31"/>
      <c r="O225" s="31"/>
      <c r="P225" s="35">
        <f>IF(AND(ISNUMBER(J225),'REFERENCIAS'!$Q$8=1),ROUND(J225,'REFERENCIAS'!$K$8),"")</f>
      </c>
      <c r="R225" s="29" t="str">
        <f>"ID:"&amp;SUBSTITUTE(SUBSTITUTE(SUBSTITUTE(SUBSTITUTE(UPPER(TRIM(B225&amp;"")),"!","!E"),"*","!A"),"?","!B"),"~","!C")</f>
        <v>ID:</v>
      </c>
      <c r="S225" s="29" t="str">
        <f>"ID:"&amp;SUBSTITUTE(SUBSTITUTE(SUBSTITUTE(SUBSTITUTE(UPPER(TRIM(C225&amp;"")),"!","!E"),"*","!A"),"?","!B"),"~","!C")</f>
        <v>ID:</v>
      </c>
    </row>
    <row r="226" ht="75" customHeight="1">
      <c r="B226" s="31"/>
      <c r="C226" s="31"/>
      <c r="D226" s="31"/>
      <c r="E226" s="31"/>
      <c r="F226" s="31"/>
      <c r="G226" s="34"/>
      <c r="H226" s="34"/>
      <c r="I226" s="34"/>
      <c r="J226" s="34"/>
      <c r="K226" s="31"/>
      <c r="L226" s="31"/>
      <c r="M226" s="31"/>
      <c r="N226" s="31"/>
      <c r="O226" s="31"/>
      <c r="P226" s="35">
        <f>IF(AND(ISNUMBER(J226),'REFERENCIAS'!$Q$8=1),ROUND(J226,'REFERENCIAS'!$K$8),"")</f>
      </c>
      <c r="R226" s="29" t="str">
        <f>"ID:"&amp;SUBSTITUTE(SUBSTITUTE(SUBSTITUTE(SUBSTITUTE(UPPER(TRIM(B226&amp;"")),"!","!E"),"*","!A"),"?","!B"),"~","!C")</f>
        <v>ID:</v>
      </c>
      <c r="S226" s="29" t="str">
        <f>"ID:"&amp;SUBSTITUTE(SUBSTITUTE(SUBSTITUTE(SUBSTITUTE(UPPER(TRIM(C226&amp;"")),"!","!E"),"*","!A"),"?","!B"),"~","!C")</f>
        <v>ID:</v>
      </c>
    </row>
    <row r="227" ht="75" customHeight="1">
      <c r="B227" s="31"/>
      <c r="C227" s="31"/>
      <c r="D227" s="31"/>
      <c r="E227" s="31"/>
      <c r="F227" s="31"/>
      <c r="G227" s="34"/>
      <c r="H227" s="34"/>
      <c r="I227" s="34"/>
      <c r="J227" s="34"/>
      <c r="K227" s="31"/>
      <c r="L227" s="31"/>
      <c r="M227" s="31"/>
      <c r="N227" s="31"/>
      <c r="O227" s="31"/>
      <c r="P227" s="35">
        <f>IF(AND(ISNUMBER(J227),'REFERENCIAS'!$Q$8=1),ROUND(J227,'REFERENCIAS'!$K$8),"")</f>
      </c>
      <c r="R227" s="29" t="str">
        <f>"ID:"&amp;SUBSTITUTE(SUBSTITUTE(SUBSTITUTE(SUBSTITUTE(UPPER(TRIM(B227&amp;"")),"!","!E"),"*","!A"),"?","!B"),"~","!C")</f>
        <v>ID:</v>
      </c>
      <c r="S227" s="29" t="str">
        <f>"ID:"&amp;SUBSTITUTE(SUBSTITUTE(SUBSTITUTE(SUBSTITUTE(UPPER(TRIM(C227&amp;"")),"!","!E"),"*","!A"),"?","!B"),"~","!C")</f>
        <v>ID:</v>
      </c>
    </row>
    <row r="228" ht="75" customHeight="1">
      <c r="B228" s="31"/>
      <c r="C228" s="31"/>
      <c r="D228" s="31"/>
      <c r="E228" s="31"/>
      <c r="F228" s="31"/>
      <c r="G228" s="34"/>
      <c r="H228" s="34"/>
      <c r="I228" s="34"/>
      <c r="J228" s="34"/>
      <c r="K228" s="31"/>
      <c r="L228" s="31"/>
      <c r="M228" s="31"/>
      <c r="N228" s="31"/>
      <c r="O228" s="31"/>
      <c r="P228" s="35">
        <f>IF(AND(ISNUMBER(J228),'REFERENCIAS'!$Q$8=1),ROUND(J228,'REFERENCIAS'!$K$8),"")</f>
      </c>
      <c r="R228" s="29" t="str">
        <f>"ID:"&amp;SUBSTITUTE(SUBSTITUTE(SUBSTITUTE(SUBSTITUTE(UPPER(TRIM(B228&amp;"")),"!","!E"),"*","!A"),"?","!B"),"~","!C")</f>
        <v>ID:</v>
      </c>
      <c r="S228" s="29" t="str">
        <f>"ID:"&amp;SUBSTITUTE(SUBSTITUTE(SUBSTITUTE(SUBSTITUTE(UPPER(TRIM(C228&amp;"")),"!","!E"),"*","!A"),"?","!B"),"~","!C")</f>
        <v>ID:</v>
      </c>
    </row>
    <row r="229" ht="75" customHeight="1">
      <c r="B229" s="31"/>
      <c r="C229" s="31"/>
      <c r="D229" s="31"/>
      <c r="E229" s="31"/>
      <c r="F229" s="31"/>
      <c r="G229" s="34"/>
      <c r="H229" s="34"/>
      <c r="I229" s="34"/>
      <c r="J229" s="34"/>
      <c r="K229" s="31"/>
      <c r="L229" s="31"/>
      <c r="M229" s="31"/>
      <c r="N229" s="31"/>
      <c r="O229" s="31"/>
      <c r="P229" s="35">
        <f>IF(AND(ISNUMBER(J229),'REFERENCIAS'!$Q$8=1),ROUND(J229,'REFERENCIAS'!$K$8),"")</f>
      </c>
      <c r="R229" s="29" t="str">
        <f>"ID:"&amp;SUBSTITUTE(SUBSTITUTE(SUBSTITUTE(SUBSTITUTE(UPPER(TRIM(B229&amp;"")),"!","!E"),"*","!A"),"?","!B"),"~","!C")</f>
        <v>ID:</v>
      </c>
      <c r="S229" s="29" t="str">
        <f>"ID:"&amp;SUBSTITUTE(SUBSTITUTE(SUBSTITUTE(SUBSTITUTE(UPPER(TRIM(C229&amp;"")),"!","!E"),"*","!A"),"?","!B"),"~","!C")</f>
        <v>ID:</v>
      </c>
    </row>
    <row r="230" ht="75" customHeight="1">
      <c r="B230" s="31"/>
      <c r="C230" s="31"/>
      <c r="D230" s="31"/>
      <c r="E230" s="31"/>
      <c r="F230" s="31"/>
      <c r="G230" s="34"/>
      <c r="H230" s="34"/>
      <c r="I230" s="34"/>
      <c r="J230" s="34"/>
      <c r="K230" s="31"/>
      <c r="L230" s="31"/>
      <c r="M230" s="31"/>
      <c r="N230" s="31"/>
      <c r="O230" s="31"/>
      <c r="P230" s="35">
        <f>IF(AND(ISNUMBER(J230),'REFERENCIAS'!$Q$8=1),ROUND(J230,'REFERENCIAS'!$K$8),"")</f>
      </c>
      <c r="R230" s="29" t="str">
        <f>"ID:"&amp;SUBSTITUTE(SUBSTITUTE(SUBSTITUTE(SUBSTITUTE(UPPER(TRIM(B230&amp;"")),"!","!E"),"*","!A"),"?","!B"),"~","!C")</f>
        <v>ID:</v>
      </c>
      <c r="S230" s="29" t="str">
        <f>"ID:"&amp;SUBSTITUTE(SUBSTITUTE(SUBSTITUTE(SUBSTITUTE(UPPER(TRIM(C230&amp;"")),"!","!E"),"*","!A"),"?","!B"),"~","!C")</f>
        <v>ID:</v>
      </c>
    </row>
    <row r="231" ht="75" customHeight="1">
      <c r="B231" s="31"/>
      <c r="C231" s="31"/>
      <c r="D231" s="31"/>
      <c r="E231" s="31"/>
      <c r="F231" s="31"/>
      <c r="G231" s="34"/>
      <c r="H231" s="34"/>
      <c r="I231" s="34"/>
      <c r="J231" s="34"/>
      <c r="K231" s="31"/>
      <c r="L231" s="31"/>
      <c r="M231" s="31"/>
      <c r="N231" s="31"/>
      <c r="O231" s="31"/>
      <c r="P231" s="35">
        <f>IF(AND(ISNUMBER(J231),'REFERENCIAS'!$Q$8=1),ROUND(J231,'REFERENCIAS'!$K$8),"")</f>
      </c>
      <c r="R231" s="29" t="str">
        <f>"ID:"&amp;SUBSTITUTE(SUBSTITUTE(SUBSTITUTE(SUBSTITUTE(UPPER(TRIM(B231&amp;"")),"!","!E"),"*","!A"),"?","!B"),"~","!C")</f>
        <v>ID:</v>
      </c>
      <c r="S231" s="29" t="str">
        <f>"ID:"&amp;SUBSTITUTE(SUBSTITUTE(SUBSTITUTE(SUBSTITUTE(UPPER(TRIM(C231&amp;"")),"!","!E"),"*","!A"),"?","!B"),"~","!C")</f>
        <v>ID:</v>
      </c>
    </row>
    <row r="232" ht="75" customHeight="1">
      <c r="B232" s="31"/>
      <c r="C232" s="31"/>
      <c r="D232" s="31"/>
      <c r="E232" s="31"/>
      <c r="F232" s="31"/>
      <c r="G232" s="34"/>
      <c r="H232" s="34"/>
      <c r="I232" s="34"/>
      <c r="J232" s="34"/>
      <c r="K232" s="31"/>
      <c r="L232" s="31"/>
      <c r="M232" s="31"/>
      <c r="N232" s="31"/>
      <c r="O232" s="31"/>
      <c r="P232" s="35">
        <f>IF(AND(ISNUMBER(J232),'REFERENCIAS'!$Q$8=1),ROUND(J232,'REFERENCIAS'!$K$8),"")</f>
      </c>
      <c r="R232" s="29" t="str">
        <f>"ID:"&amp;SUBSTITUTE(SUBSTITUTE(SUBSTITUTE(SUBSTITUTE(UPPER(TRIM(B232&amp;"")),"!","!E"),"*","!A"),"?","!B"),"~","!C")</f>
        <v>ID:</v>
      </c>
      <c r="S232" s="29" t="str">
        <f>"ID:"&amp;SUBSTITUTE(SUBSTITUTE(SUBSTITUTE(SUBSTITUTE(UPPER(TRIM(C232&amp;"")),"!","!E"),"*","!A"),"?","!B"),"~","!C")</f>
        <v>ID:</v>
      </c>
    </row>
    <row r="233" ht="75" customHeight="1">
      <c r="B233" s="31"/>
      <c r="C233" s="31"/>
      <c r="D233" s="31"/>
      <c r="E233" s="31"/>
      <c r="F233" s="31"/>
      <c r="G233" s="34"/>
      <c r="H233" s="34"/>
      <c r="I233" s="34"/>
      <c r="J233" s="34"/>
      <c r="K233" s="31"/>
      <c r="L233" s="31"/>
      <c r="M233" s="31"/>
      <c r="N233" s="31"/>
      <c r="O233" s="31"/>
      <c r="P233" s="35">
        <f>IF(AND(ISNUMBER(J233),'REFERENCIAS'!$Q$8=1),ROUND(J233,'REFERENCIAS'!$K$8),"")</f>
      </c>
      <c r="R233" s="29" t="str">
        <f>"ID:"&amp;SUBSTITUTE(SUBSTITUTE(SUBSTITUTE(SUBSTITUTE(UPPER(TRIM(B233&amp;"")),"!","!E"),"*","!A"),"?","!B"),"~","!C")</f>
        <v>ID:</v>
      </c>
      <c r="S233" s="29" t="str">
        <f>"ID:"&amp;SUBSTITUTE(SUBSTITUTE(SUBSTITUTE(SUBSTITUTE(UPPER(TRIM(C233&amp;"")),"!","!E"),"*","!A"),"?","!B"),"~","!C")</f>
        <v>ID:</v>
      </c>
    </row>
    <row r="234" ht="75" customHeight="1">
      <c r="B234" s="31"/>
      <c r="C234" s="31"/>
      <c r="D234" s="31"/>
      <c r="E234" s="31"/>
      <c r="F234" s="31"/>
      <c r="G234" s="34"/>
      <c r="H234" s="34"/>
      <c r="I234" s="34"/>
      <c r="J234" s="34"/>
      <c r="K234" s="31"/>
      <c r="L234" s="31"/>
      <c r="M234" s="31"/>
      <c r="N234" s="31"/>
      <c r="O234" s="31"/>
      <c r="P234" s="35">
        <f>IF(AND(ISNUMBER(J234),'REFERENCIAS'!$Q$8=1),ROUND(J234,'REFERENCIAS'!$K$8),"")</f>
      </c>
      <c r="R234" s="29" t="str">
        <f>"ID:"&amp;SUBSTITUTE(SUBSTITUTE(SUBSTITUTE(SUBSTITUTE(UPPER(TRIM(B234&amp;"")),"!","!E"),"*","!A"),"?","!B"),"~","!C")</f>
        <v>ID:</v>
      </c>
      <c r="S234" s="29" t="str">
        <f>"ID:"&amp;SUBSTITUTE(SUBSTITUTE(SUBSTITUTE(SUBSTITUTE(UPPER(TRIM(C234&amp;"")),"!","!E"),"*","!A"),"?","!B"),"~","!C")</f>
        <v>ID:</v>
      </c>
    </row>
    <row r="235" ht="75" customHeight="1">
      <c r="B235" s="31"/>
      <c r="C235" s="31"/>
      <c r="D235" s="31"/>
      <c r="E235" s="31"/>
      <c r="F235" s="31"/>
      <c r="G235" s="34"/>
      <c r="H235" s="34"/>
      <c r="I235" s="34"/>
      <c r="J235" s="34"/>
      <c r="K235" s="31"/>
      <c r="L235" s="31"/>
      <c r="M235" s="31"/>
      <c r="N235" s="31"/>
      <c r="O235" s="31"/>
      <c r="P235" s="35">
        <f>IF(AND(ISNUMBER(J235),'REFERENCIAS'!$Q$8=1),ROUND(J235,'REFERENCIAS'!$K$8),"")</f>
      </c>
      <c r="R235" s="29" t="str">
        <f>"ID:"&amp;SUBSTITUTE(SUBSTITUTE(SUBSTITUTE(SUBSTITUTE(UPPER(TRIM(B235&amp;"")),"!","!E"),"*","!A"),"?","!B"),"~","!C")</f>
        <v>ID:</v>
      </c>
      <c r="S235" s="29" t="str">
        <f>"ID:"&amp;SUBSTITUTE(SUBSTITUTE(SUBSTITUTE(SUBSTITUTE(UPPER(TRIM(C235&amp;"")),"!","!E"),"*","!A"),"?","!B"),"~","!C")</f>
        <v>ID:</v>
      </c>
    </row>
    <row r="236" ht="75" customHeight="1">
      <c r="B236" s="31"/>
      <c r="C236" s="31"/>
      <c r="D236" s="31"/>
      <c r="E236" s="31"/>
      <c r="F236" s="31"/>
      <c r="G236" s="34"/>
      <c r="H236" s="34"/>
      <c r="I236" s="34"/>
      <c r="J236" s="34"/>
      <c r="K236" s="31"/>
      <c r="L236" s="31"/>
      <c r="M236" s="31"/>
      <c r="N236" s="31"/>
      <c r="O236" s="31"/>
      <c r="P236" s="35">
        <f>IF(AND(ISNUMBER(J236),'REFERENCIAS'!$Q$8=1),ROUND(J236,'REFERENCIAS'!$K$8),"")</f>
      </c>
      <c r="R236" s="29" t="str">
        <f>"ID:"&amp;SUBSTITUTE(SUBSTITUTE(SUBSTITUTE(SUBSTITUTE(UPPER(TRIM(B236&amp;"")),"!","!E"),"*","!A"),"?","!B"),"~","!C")</f>
        <v>ID:</v>
      </c>
      <c r="S236" s="29" t="str">
        <f>"ID:"&amp;SUBSTITUTE(SUBSTITUTE(SUBSTITUTE(SUBSTITUTE(UPPER(TRIM(C236&amp;"")),"!","!E"),"*","!A"),"?","!B"),"~","!C")</f>
        <v>ID:</v>
      </c>
    </row>
    <row r="237" ht="75" customHeight="1">
      <c r="B237" s="31"/>
      <c r="C237" s="31"/>
      <c r="D237" s="31"/>
      <c r="E237" s="31"/>
      <c r="F237" s="31"/>
      <c r="G237" s="34"/>
      <c r="H237" s="34"/>
      <c r="I237" s="34"/>
      <c r="J237" s="34"/>
      <c r="K237" s="31"/>
      <c r="L237" s="31"/>
      <c r="M237" s="31"/>
      <c r="N237" s="31"/>
      <c r="O237" s="31"/>
      <c r="P237" s="35">
        <f>IF(AND(ISNUMBER(J237),'REFERENCIAS'!$Q$8=1),ROUND(J237,'REFERENCIAS'!$K$8),"")</f>
      </c>
      <c r="R237" s="29" t="str">
        <f>"ID:"&amp;SUBSTITUTE(SUBSTITUTE(SUBSTITUTE(SUBSTITUTE(UPPER(TRIM(B237&amp;"")),"!","!E"),"*","!A"),"?","!B"),"~","!C")</f>
        <v>ID:</v>
      </c>
      <c r="S237" s="29" t="str">
        <f>"ID:"&amp;SUBSTITUTE(SUBSTITUTE(SUBSTITUTE(SUBSTITUTE(UPPER(TRIM(C237&amp;"")),"!","!E"),"*","!A"),"?","!B"),"~","!C")</f>
        <v>ID:</v>
      </c>
    </row>
    <row r="238" ht="75" customHeight="1">
      <c r="B238" s="31"/>
      <c r="C238" s="31"/>
      <c r="D238" s="31"/>
      <c r="E238" s="31"/>
      <c r="F238" s="31"/>
      <c r="G238" s="34"/>
      <c r="H238" s="34"/>
      <c r="I238" s="34"/>
      <c r="J238" s="34"/>
      <c r="K238" s="31"/>
      <c r="L238" s="31"/>
      <c r="M238" s="31"/>
      <c r="N238" s="31"/>
      <c r="O238" s="31"/>
      <c r="P238" s="35">
        <f>IF(AND(ISNUMBER(J238),'REFERENCIAS'!$Q$8=1),ROUND(J238,'REFERENCIAS'!$K$8),"")</f>
      </c>
      <c r="R238" s="29" t="str">
        <f>"ID:"&amp;SUBSTITUTE(SUBSTITUTE(SUBSTITUTE(SUBSTITUTE(UPPER(TRIM(B238&amp;"")),"!","!E"),"*","!A"),"?","!B"),"~","!C")</f>
        <v>ID:</v>
      </c>
      <c r="S238" s="29" t="str">
        <f>"ID:"&amp;SUBSTITUTE(SUBSTITUTE(SUBSTITUTE(SUBSTITUTE(UPPER(TRIM(C238&amp;"")),"!","!E"),"*","!A"),"?","!B"),"~","!C")</f>
        <v>ID:</v>
      </c>
    </row>
    <row r="239" ht="75" customHeight="1">
      <c r="B239" s="31"/>
      <c r="C239" s="31"/>
      <c r="D239" s="31"/>
      <c r="E239" s="31"/>
      <c r="F239" s="31"/>
      <c r="G239" s="34"/>
      <c r="H239" s="34"/>
      <c r="I239" s="34"/>
      <c r="J239" s="34"/>
      <c r="K239" s="31"/>
      <c r="L239" s="31"/>
      <c r="M239" s="31"/>
      <c r="N239" s="31"/>
      <c r="O239" s="31"/>
      <c r="P239" s="35">
        <f>IF(AND(ISNUMBER(J239),'REFERENCIAS'!$Q$8=1),ROUND(J239,'REFERENCIAS'!$K$8),"")</f>
      </c>
      <c r="R239" s="29" t="str">
        <f>"ID:"&amp;SUBSTITUTE(SUBSTITUTE(SUBSTITUTE(SUBSTITUTE(UPPER(TRIM(B239&amp;"")),"!","!E"),"*","!A"),"?","!B"),"~","!C")</f>
        <v>ID:</v>
      </c>
      <c r="S239" s="29" t="str">
        <f>"ID:"&amp;SUBSTITUTE(SUBSTITUTE(SUBSTITUTE(SUBSTITUTE(UPPER(TRIM(C239&amp;"")),"!","!E"),"*","!A"),"?","!B"),"~","!C")</f>
        <v>ID:</v>
      </c>
    </row>
    <row r="240" ht="75" customHeight="1">
      <c r="B240" s="31"/>
      <c r="C240" s="31"/>
      <c r="D240" s="31"/>
      <c r="E240" s="31"/>
      <c r="F240" s="31"/>
      <c r="G240" s="34"/>
      <c r="H240" s="34"/>
      <c r="I240" s="34"/>
      <c r="J240" s="34"/>
      <c r="K240" s="31"/>
      <c r="L240" s="31"/>
      <c r="M240" s="31"/>
      <c r="N240" s="31"/>
      <c r="O240" s="31"/>
      <c r="P240" s="35">
        <f>IF(AND(ISNUMBER(J240),'REFERENCIAS'!$Q$8=1),ROUND(J240,'REFERENCIAS'!$K$8),"")</f>
      </c>
      <c r="R240" s="29" t="str">
        <f>"ID:"&amp;SUBSTITUTE(SUBSTITUTE(SUBSTITUTE(SUBSTITUTE(UPPER(TRIM(B240&amp;"")),"!","!E"),"*","!A"),"?","!B"),"~","!C")</f>
        <v>ID:</v>
      </c>
      <c r="S240" s="29" t="str">
        <f>"ID:"&amp;SUBSTITUTE(SUBSTITUTE(SUBSTITUTE(SUBSTITUTE(UPPER(TRIM(C240&amp;"")),"!","!E"),"*","!A"),"?","!B"),"~","!C")</f>
        <v>ID:</v>
      </c>
    </row>
    <row r="241" ht="75" customHeight="1">
      <c r="B241" s="31"/>
      <c r="C241" s="31"/>
      <c r="D241" s="31"/>
      <c r="E241" s="31"/>
      <c r="F241" s="31"/>
      <c r="G241" s="34"/>
      <c r="H241" s="34"/>
      <c r="I241" s="34"/>
      <c r="J241" s="34"/>
      <c r="K241" s="31"/>
      <c r="L241" s="31"/>
      <c r="M241" s="31"/>
      <c r="N241" s="31"/>
      <c r="O241" s="31"/>
      <c r="P241" s="35">
        <f>IF(AND(ISNUMBER(J241),'REFERENCIAS'!$Q$8=1),ROUND(J241,'REFERENCIAS'!$K$8),"")</f>
      </c>
      <c r="R241" s="29" t="str">
        <f>"ID:"&amp;SUBSTITUTE(SUBSTITUTE(SUBSTITUTE(SUBSTITUTE(UPPER(TRIM(B241&amp;"")),"!","!E"),"*","!A"),"?","!B"),"~","!C")</f>
        <v>ID:</v>
      </c>
      <c r="S241" s="29" t="str">
        <f>"ID:"&amp;SUBSTITUTE(SUBSTITUTE(SUBSTITUTE(SUBSTITUTE(UPPER(TRIM(C241&amp;"")),"!","!E"),"*","!A"),"?","!B"),"~","!C")</f>
        <v>ID:</v>
      </c>
    </row>
    <row r="242" ht="75" customHeight="1">
      <c r="B242" s="31"/>
      <c r="C242" s="31"/>
      <c r="D242" s="31"/>
      <c r="E242" s="31"/>
      <c r="F242" s="31"/>
      <c r="G242" s="34"/>
      <c r="H242" s="34"/>
      <c r="I242" s="34"/>
      <c r="J242" s="34"/>
      <c r="K242" s="31"/>
      <c r="L242" s="31"/>
      <c r="M242" s="31"/>
      <c r="N242" s="31"/>
      <c r="O242" s="31"/>
      <c r="P242" s="35">
        <f>IF(AND(ISNUMBER(J242),'REFERENCIAS'!$Q$8=1),ROUND(J242,'REFERENCIAS'!$K$8),"")</f>
      </c>
      <c r="R242" s="29" t="str">
        <f>"ID:"&amp;SUBSTITUTE(SUBSTITUTE(SUBSTITUTE(SUBSTITUTE(UPPER(TRIM(B242&amp;"")),"!","!E"),"*","!A"),"?","!B"),"~","!C")</f>
        <v>ID:</v>
      </c>
      <c r="S242" s="29" t="str">
        <f>"ID:"&amp;SUBSTITUTE(SUBSTITUTE(SUBSTITUTE(SUBSTITUTE(UPPER(TRIM(C242&amp;"")),"!","!E"),"*","!A"),"?","!B"),"~","!C")</f>
        <v>ID:</v>
      </c>
    </row>
    <row r="243" ht="75" customHeight="1">
      <c r="B243" s="31"/>
      <c r="C243" s="31"/>
      <c r="D243" s="31"/>
      <c r="E243" s="31"/>
      <c r="F243" s="31"/>
      <c r="G243" s="34"/>
      <c r="H243" s="34"/>
      <c r="I243" s="34"/>
      <c r="J243" s="34"/>
      <c r="K243" s="31"/>
      <c r="L243" s="31"/>
      <c r="M243" s="31"/>
      <c r="N243" s="31"/>
      <c r="O243" s="31"/>
      <c r="P243" s="35">
        <f>IF(AND(ISNUMBER(J243),'REFERENCIAS'!$Q$8=1),ROUND(J243,'REFERENCIAS'!$K$8),"")</f>
      </c>
      <c r="R243" s="29" t="str">
        <f>"ID:"&amp;SUBSTITUTE(SUBSTITUTE(SUBSTITUTE(SUBSTITUTE(UPPER(TRIM(B243&amp;"")),"!","!E"),"*","!A"),"?","!B"),"~","!C")</f>
        <v>ID:</v>
      </c>
      <c r="S243" s="29" t="str">
        <f>"ID:"&amp;SUBSTITUTE(SUBSTITUTE(SUBSTITUTE(SUBSTITUTE(UPPER(TRIM(C243&amp;"")),"!","!E"),"*","!A"),"?","!B"),"~","!C")</f>
        <v>ID:</v>
      </c>
    </row>
    <row r="244" ht="75" customHeight="1">
      <c r="B244" s="31"/>
      <c r="C244" s="31"/>
      <c r="D244" s="31"/>
      <c r="E244" s="31"/>
      <c r="F244" s="31"/>
      <c r="G244" s="34"/>
      <c r="H244" s="34"/>
      <c r="I244" s="34"/>
      <c r="J244" s="34"/>
      <c r="K244" s="31"/>
      <c r="L244" s="31"/>
      <c r="M244" s="31"/>
      <c r="N244" s="31"/>
      <c r="O244" s="31"/>
      <c r="P244" s="35">
        <f>IF(AND(ISNUMBER(J244),'REFERENCIAS'!$Q$8=1),ROUND(J244,'REFERENCIAS'!$K$8),"")</f>
      </c>
      <c r="R244" s="29" t="str">
        <f>"ID:"&amp;SUBSTITUTE(SUBSTITUTE(SUBSTITUTE(SUBSTITUTE(UPPER(TRIM(B244&amp;"")),"!","!E"),"*","!A"),"?","!B"),"~","!C")</f>
        <v>ID:</v>
      </c>
      <c r="S244" s="29" t="str">
        <f>"ID:"&amp;SUBSTITUTE(SUBSTITUTE(SUBSTITUTE(SUBSTITUTE(UPPER(TRIM(C244&amp;"")),"!","!E"),"*","!A"),"?","!B"),"~","!C")</f>
        <v>ID:</v>
      </c>
    </row>
    <row r="245" ht="75" customHeight="1">
      <c r="B245" s="31"/>
      <c r="C245" s="31"/>
      <c r="D245" s="31"/>
      <c r="E245" s="31"/>
      <c r="F245" s="31"/>
      <c r="G245" s="34"/>
      <c r="H245" s="34"/>
      <c r="I245" s="34"/>
      <c r="J245" s="34"/>
      <c r="K245" s="31"/>
      <c r="L245" s="31"/>
      <c r="M245" s="31"/>
      <c r="N245" s="31"/>
      <c r="O245" s="31"/>
      <c r="P245" s="35">
        <f>IF(AND(ISNUMBER(J245),'REFERENCIAS'!$Q$8=1),ROUND(J245,'REFERENCIAS'!$K$8),"")</f>
      </c>
      <c r="R245" s="29" t="str">
        <f>"ID:"&amp;SUBSTITUTE(SUBSTITUTE(SUBSTITUTE(SUBSTITUTE(UPPER(TRIM(B245&amp;"")),"!","!E"),"*","!A"),"?","!B"),"~","!C")</f>
        <v>ID:</v>
      </c>
      <c r="S245" s="29" t="str">
        <f>"ID:"&amp;SUBSTITUTE(SUBSTITUTE(SUBSTITUTE(SUBSTITUTE(UPPER(TRIM(C245&amp;"")),"!","!E"),"*","!A"),"?","!B"),"~","!C")</f>
        <v>ID:</v>
      </c>
    </row>
    <row r="246" ht="75" customHeight="1">
      <c r="B246" s="31"/>
      <c r="C246" s="31"/>
      <c r="D246" s="31"/>
      <c r="E246" s="31"/>
      <c r="F246" s="31"/>
      <c r="G246" s="34"/>
      <c r="H246" s="34"/>
      <c r="I246" s="34"/>
      <c r="J246" s="34"/>
      <c r="K246" s="31"/>
      <c r="L246" s="31"/>
      <c r="M246" s="31"/>
      <c r="N246" s="31"/>
      <c r="O246" s="31"/>
      <c r="P246" s="35">
        <f>IF(AND(ISNUMBER(J246),'REFERENCIAS'!$Q$8=1),ROUND(J246,'REFERENCIAS'!$K$8),"")</f>
      </c>
      <c r="R246" s="29" t="str">
        <f>"ID:"&amp;SUBSTITUTE(SUBSTITUTE(SUBSTITUTE(SUBSTITUTE(UPPER(TRIM(B246&amp;"")),"!","!E"),"*","!A"),"?","!B"),"~","!C")</f>
        <v>ID:</v>
      </c>
      <c r="S246" s="29" t="str">
        <f>"ID:"&amp;SUBSTITUTE(SUBSTITUTE(SUBSTITUTE(SUBSTITUTE(UPPER(TRIM(C246&amp;"")),"!","!E"),"*","!A"),"?","!B"),"~","!C")</f>
        <v>ID:</v>
      </c>
    </row>
    <row r="247" ht="75" customHeight="1">
      <c r="B247" s="31"/>
      <c r="C247" s="31"/>
      <c r="D247" s="31"/>
      <c r="E247" s="31"/>
      <c r="F247" s="31"/>
      <c r="G247" s="34"/>
      <c r="H247" s="34"/>
      <c r="I247" s="34"/>
      <c r="J247" s="34"/>
      <c r="K247" s="31"/>
      <c r="L247" s="31"/>
      <c r="M247" s="31"/>
      <c r="N247" s="31"/>
      <c r="O247" s="31"/>
      <c r="P247" s="35">
        <f>IF(AND(ISNUMBER(J247),'REFERENCIAS'!$Q$8=1),ROUND(J247,'REFERENCIAS'!$K$8),"")</f>
      </c>
      <c r="R247" s="29" t="str">
        <f>"ID:"&amp;SUBSTITUTE(SUBSTITUTE(SUBSTITUTE(SUBSTITUTE(UPPER(TRIM(B247&amp;"")),"!","!E"),"*","!A"),"?","!B"),"~","!C")</f>
        <v>ID:</v>
      </c>
      <c r="S247" s="29" t="str">
        <f>"ID:"&amp;SUBSTITUTE(SUBSTITUTE(SUBSTITUTE(SUBSTITUTE(UPPER(TRIM(C247&amp;"")),"!","!E"),"*","!A"),"?","!B"),"~","!C")</f>
        <v>ID:</v>
      </c>
    </row>
    <row r="248" ht="75" customHeight="1">
      <c r="B248" s="31"/>
      <c r="C248" s="31"/>
      <c r="D248" s="31"/>
      <c r="E248" s="31"/>
      <c r="F248" s="31"/>
      <c r="G248" s="34"/>
      <c r="H248" s="34"/>
      <c r="I248" s="34"/>
      <c r="J248" s="34"/>
      <c r="K248" s="31"/>
      <c r="L248" s="31"/>
      <c r="M248" s="31"/>
      <c r="N248" s="31"/>
      <c r="O248" s="31"/>
      <c r="P248" s="35">
        <f>IF(AND(ISNUMBER(J248),'REFERENCIAS'!$Q$8=1),ROUND(J248,'REFERENCIAS'!$K$8),"")</f>
      </c>
      <c r="R248" s="29" t="str">
        <f>"ID:"&amp;SUBSTITUTE(SUBSTITUTE(SUBSTITUTE(SUBSTITUTE(UPPER(TRIM(B248&amp;"")),"!","!E"),"*","!A"),"?","!B"),"~","!C")</f>
        <v>ID:</v>
      </c>
      <c r="S248" s="29" t="str">
        <f>"ID:"&amp;SUBSTITUTE(SUBSTITUTE(SUBSTITUTE(SUBSTITUTE(UPPER(TRIM(C248&amp;"")),"!","!E"),"*","!A"),"?","!B"),"~","!C")</f>
        <v>ID:</v>
      </c>
    </row>
    <row r="249" ht="75" customHeight="1">
      <c r="B249" s="31"/>
      <c r="C249" s="31"/>
      <c r="D249" s="31"/>
      <c r="E249" s="31"/>
      <c r="F249" s="31"/>
      <c r="G249" s="34"/>
      <c r="H249" s="34"/>
      <c r="I249" s="34"/>
      <c r="J249" s="34"/>
      <c r="K249" s="31"/>
      <c r="L249" s="31"/>
      <c r="M249" s="31"/>
      <c r="N249" s="31"/>
      <c r="O249" s="31"/>
      <c r="P249" s="35">
        <f>IF(AND(ISNUMBER(J249),'REFERENCIAS'!$Q$8=1),ROUND(J249,'REFERENCIAS'!$K$8),"")</f>
      </c>
      <c r="R249" s="29" t="str">
        <f>"ID:"&amp;SUBSTITUTE(SUBSTITUTE(SUBSTITUTE(SUBSTITUTE(UPPER(TRIM(B249&amp;"")),"!","!E"),"*","!A"),"?","!B"),"~","!C")</f>
        <v>ID:</v>
      </c>
      <c r="S249" s="29" t="str">
        <f>"ID:"&amp;SUBSTITUTE(SUBSTITUTE(SUBSTITUTE(SUBSTITUTE(UPPER(TRIM(C249&amp;"")),"!","!E"),"*","!A"),"?","!B"),"~","!C")</f>
        <v>ID:</v>
      </c>
    </row>
    <row r="250" ht="75" customHeight="1">
      <c r="B250" s="31"/>
      <c r="C250" s="31"/>
      <c r="D250" s="31"/>
      <c r="E250" s="31"/>
      <c r="F250" s="31"/>
      <c r="G250" s="34"/>
      <c r="H250" s="34"/>
      <c r="I250" s="34"/>
      <c r="J250" s="34"/>
      <c r="K250" s="31"/>
      <c r="L250" s="31"/>
      <c r="M250" s="31"/>
      <c r="N250" s="31"/>
      <c r="O250" s="31"/>
      <c r="P250" s="35">
        <f>IF(AND(ISNUMBER(J250),'REFERENCIAS'!$Q$8=1),ROUND(J250,'REFERENCIAS'!$K$8),"")</f>
      </c>
      <c r="R250" s="29" t="str">
        <f>"ID:"&amp;SUBSTITUTE(SUBSTITUTE(SUBSTITUTE(SUBSTITUTE(UPPER(TRIM(B250&amp;"")),"!","!E"),"*","!A"),"?","!B"),"~","!C")</f>
        <v>ID:</v>
      </c>
      <c r="S250" s="29" t="str">
        <f>"ID:"&amp;SUBSTITUTE(SUBSTITUTE(SUBSTITUTE(SUBSTITUTE(UPPER(TRIM(C250&amp;"")),"!","!E"),"*","!A"),"?","!B"),"~","!C")</f>
        <v>ID:</v>
      </c>
    </row>
    <row r="251" ht="75" customHeight="1">
      <c r="B251" s="31"/>
      <c r="C251" s="31"/>
      <c r="D251" s="31"/>
      <c r="E251" s="31"/>
      <c r="F251" s="31"/>
      <c r="G251" s="34"/>
      <c r="H251" s="34"/>
      <c r="I251" s="34"/>
      <c r="J251" s="34"/>
      <c r="K251" s="31"/>
      <c r="L251" s="31"/>
      <c r="M251" s="31"/>
      <c r="N251" s="31"/>
      <c r="O251" s="31"/>
      <c r="P251" s="35">
        <f>IF(AND(ISNUMBER(J251),'REFERENCIAS'!$Q$8=1),ROUND(J251,'REFERENCIAS'!$K$8),"")</f>
      </c>
      <c r="R251" s="29" t="str">
        <f>"ID:"&amp;SUBSTITUTE(SUBSTITUTE(SUBSTITUTE(SUBSTITUTE(UPPER(TRIM(B251&amp;"")),"!","!E"),"*","!A"),"?","!B"),"~","!C")</f>
        <v>ID:</v>
      </c>
      <c r="S251" s="29" t="str">
        <f>"ID:"&amp;SUBSTITUTE(SUBSTITUTE(SUBSTITUTE(SUBSTITUTE(UPPER(TRIM(C251&amp;"")),"!","!E"),"*","!A"),"?","!B"),"~","!C")</f>
        <v>ID:</v>
      </c>
    </row>
    <row r="252" ht="75" customHeight="1">
      <c r="B252" s="31"/>
      <c r="C252" s="31"/>
      <c r="D252" s="31"/>
      <c r="E252" s="31"/>
      <c r="F252" s="31"/>
      <c r="G252" s="34"/>
      <c r="H252" s="34"/>
      <c r="I252" s="34"/>
      <c r="J252" s="34"/>
      <c r="K252" s="31"/>
      <c r="L252" s="31"/>
      <c r="M252" s="31"/>
      <c r="N252" s="31"/>
      <c r="O252" s="31"/>
      <c r="P252" s="35">
        <f>IF(AND(ISNUMBER(J252),'REFERENCIAS'!$Q$8=1),ROUND(J252,'REFERENCIAS'!$K$8),"")</f>
      </c>
      <c r="R252" s="29" t="str">
        <f>"ID:"&amp;SUBSTITUTE(SUBSTITUTE(SUBSTITUTE(SUBSTITUTE(UPPER(TRIM(B252&amp;"")),"!","!E"),"*","!A"),"?","!B"),"~","!C")</f>
        <v>ID:</v>
      </c>
      <c r="S252" s="29" t="str">
        <f>"ID:"&amp;SUBSTITUTE(SUBSTITUTE(SUBSTITUTE(SUBSTITUTE(UPPER(TRIM(C252&amp;"")),"!","!E"),"*","!A"),"?","!B"),"~","!C")</f>
        <v>ID:</v>
      </c>
    </row>
    <row r="253" ht="75" customHeight="1">
      <c r="B253" s="31"/>
      <c r="C253" s="31"/>
      <c r="D253" s="31"/>
      <c r="E253" s="31"/>
      <c r="F253" s="31"/>
      <c r="G253" s="34"/>
      <c r="H253" s="34"/>
      <c r="I253" s="34"/>
      <c r="J253" s="34"/>
      <c r="K253" s="31"/>
      <c r="L253" s="31"/>
      <c r="M253" s="31"/>
      <c r="N253" s="31"/>
      <c r="O253" s="31"/>
      <c r="P253" s="35">
        <f>IF(AND(ISNUMBER(J253),'REFERENCIAS'!$Q$8=1),ROUND(J253,'REFERENCIAS'!$K$8),"")</f>
      </c>
      <c r="R253" s="29" t="str">
        <f>"ID:"&amp;SUBSTITUTE(SUBSTITUTE(SUBSTITUTE(SUBSTITUTE(UPPER(TRIM(B253&amp;"")),"!","!E"),"*","!A"),"?","!B"),"~","!C")</f>
        <v>ID:</v>
      </c>
      <c r="S253" s="29" t="str">
        <f>"ID:"&amp;SUBSTITUTE(SUBSTITUTE(SUBSTITUTE(SUBSTITUTE(UPPER(TRIM(C253&amp;"")),"!","!E"),"*","!A"),"?","!B"),"~","!C")</f>
        <v>ID:</v>
      </c>
    </row>
    <row r="254" ht="75" customHeight="1">
      <c r="B254" s="31"/>
      <c r="C254" s="31"/>
      <c r="D254" s="31"/>
      <c r="E254" s="31"/>
      <c r="F254" s="31"/>
      <c r="G254" s="34"/>
      <c r="H254" s="34"/>
      <c r="I254" s="34"/>
      <c r="J254" s="34"/>
      <c r="K254" s="31"/>
      <c r="L254" s="31"/>
      <c r="M254" s="31"/>
      <c r="N254" s="31"/>
      <c r="O254" s="31"/>
      <c r="P254" s="35">
        <f>IF(AND(ISNUMBER(J254),'REFERENCIAS'!$Q$8=1),ROUND(J254,'REFERENCIAS'!$K$8),"")</f>
      </c>
      <c r="R254" s="29" t="str">
        <f>"ID:"&amp;SUBSTITUTE(SUBSTITUTE(SUBSTITUTE(SUBSTITUTE(UPPER(TRIM(B254&amp;"")),"!","!E"),"*","!A"),"?","!B"),"~","!C")</f>
        <v>ID:</v>
      </c>
      <c r="S254" s="29" t="str">
        <f>"ID:"&amp;SUBSTITUTE(SUBSTITUTE(SUBSTITUTE(SUBSTITUTE(UPPER(TRIM(C254&amp;"")),"!","!E"),"*","!A"),"?","!B"),"~","!C")</f>
        <v>ID:</v>
      </c>
    </row>
    <row r="255" ht="75" customHeight="1">
      <c r="B255" s="31"/>
      <c r="C255" s="31"/>
      <c r="D255" s="31"/>
      <c r="E255" s="31"/>
      <c r="F255" s="31"/>
      <c r="G255" s="34"/>
      <c r="H255" s="34"/>
      <c r="I255" s="34"/>
      <c r="J255" s="34"/>
      <c r="K255" s="31"/>
      <c r="L255" s="31"/>
      <c r="M255" s="31"/>
      <c r="N255" s="31"/>
      <c r="O255" s="31"/>
      <c r="P255" s="35">
        <f>IF(AND(ISNUMBER(J255),'REFERENCIAS'!$Q$8=1),ROUND(J255,'REFERENCIAS'!$K$8),"")</f>
      </c>
      <c r="R255" s="29" t="str">
        <f>"ID:"&amp;SUBSTITUTE(SUBSTITUTE(SUBSTITUTE(SUBSTITUTE(UPPER(TRIM(B255&amp;"")),"!","!E"),"*","!A"),"?","!B"),"~","!C")</f>
        <v>ID:</v>
      </c>
      <c r="S255" s="29" t="str">
        <f>"ID:"&amp;SUBSTITUTE(SUBSTITUTE(SUBSTITUTE(SUBSTITUTE(UPPER(TRIM(C255&amp;"")),"!","!E"),"*","!A"),"?","!B"),"~","!C")</f>
        <v>ID:</v>
      </c>
    </row>
    <row r="256" ht="75" customHeight="1">
      <c r="B256" s="31"/>
      <c r="C256" s="31"/>
      <c r="D256" s="31"/>
      <c r="E256" s="31"/>
      <c r="F256" s="31"/>
      <c r="G256" s="34"/>
      <c r="H256" s="34"/>
      <c r="I256" s="34"/>
      <c r="J256" s="34"/>
      <c r="K256" s="31"/>
      <c r="L256" s="31"/>
      <c r="M256" s="31"/>
      <c r="N256" s="31"/>
      <c r="O256" s="31"/>
      <c r="P256" s="35">
        <f>IF(AND(ISNUMBER(J256),'REFERENCIAS'!$Q$8=1),ROUND(J256,'REFERENCIAS'!$K$8),"")</f>
      </c>
      <c r="R256" s="29" t="str">
        <f>"ID:"&amp;SUBSTITUTE(SUBSTITUTE(SUBSTITUTE(SUBSTITUTE(UPPER(TRIM(B256&amp;"")),"!","!E"),"*","!A"),"?","!B"),"~","!C")</f>
        <v>ID:</v>
      </c>
      <c r="S256" s="29" t="str">
        <f>"ID:"&amp;SUBSTITUTE(SUBSTITUTE(SUBSTITUTE(SUBSTITUTE(UPPER(TRIM(C256&amp;"")),"!","!E"),"*","!A"),"?","!B"),"~","!C")</f>
        <v>ID:</v>
      </c>
    </row>
    <row r="257" ht="75" customHeight="1">
      <c r="B257" s="31"/>
      <c r="C257" s="31"/>
      <c r="D257" s="31"/>
      <c r="E257" s="31"/>
      <c r="F257" s="31"/>
      <c r="G257" s="34"/>
      <c r="H257" s="34"/>
      <c r="I257" s="34"/>
      <c r="J257" s="34"/>
      <c r="K257" s="31"/>
      <c r="L257" s="31"/>
      <c r="M257" s="31"/>
      <c r="N257" s="31"/>
      <c r="O257" s="31"/>
      <c r="P257" s="35">
        <f>IF(AND(ISNUMBER(J257),'REFERENCIAS'!$Q$8=1),ROUND(J257,'REFERENCIAS'!$K$8),"")</f>
      </c>
      <c r="R257" s="29" t="str">
        <f>"ID:"&amp;SUBSTITUTE(SUBSTITUTE(SUBSTITUTE(SUBSTITUTE(UPPER(TRIM(B257&amp;"")),"!","!E"),"*","!A"),"?","!B"),"~","!C")</f>
        <v>ID:</v>
      </c>
      <c r="S257" s="29" t="str">
        <f>"ID:"&amp;SUBSTITUTE(SUBSTITUTE(SUBSTITUTE(SUBSTITUTE(UPPER(TRIM(C257&amp;"")),"!","!E"),"*","!A"),"?","!B"),"~","!C")</f>
        <v>ID:</v>
      </c>
    </row>
    <row r="258" ht="75" customHeight="1">
      <c r="B258" s="31"/>
      <c r="C258" s="31"/>
      <c r="D258" s="31"/>
      <c r="E258" s="31"/>
      <c r="F258" s="31"/>
      <c r="G258" s="34"/>
      <c r="H258" s="34"/>
      <c r="I258" s="34"/>
      <c r="J258" s="34"/>
      <c r="K258" s="31"/>
      <c r="L258" s="31"/>
      <c r="M258" s="31"/>
      <c r="N258" s="31"/>
      <c r="O258" s="31"/>
      <c r="P258" s="35">
        <f>IF(AND(ISNUMBER(J258),'REFERENCIAS'!$Q$8=1),ROUND(J258,'REFERENCIAS'!$K$8),"")</f>
      </c>
      <c r="R258" s="29" t="str">
        <f>"ID:"&amp;SUBSTITUTE(SUBSTITUTE(SUBSTITUTE(SUBSTITUTE(UPPER(TRIM(B258&amp;"")),"!","!E"),"*","!A"),"?","!B"),"~","!C")</f>
        <v>ID:</v>
      </c>
      <c r="S258" s="29" t="str">
        <f>"ID:"&amp;SUBSTITUTE(SUBSTITUTE(SUBSTITUTE(SUBSTITUTE(UPPER(TRIM(C258&amp;"")),"!","!E"),"*","!A"),"?","!B"),"~","!C")</f>
        <v>ID:</v>
      </c>
    </row>
    <row r="259" ht="75" customHeight="1">
      <c r="B259" s="31"/>
      <c r="C259" s="31"/>
      <c r="D259" s="31"/>
      <c r="E259" s="31"/>
      <c r="F259" s="31"/>
      <c r="G259" s="34"/>
      <c r="H259" s="34"/>
      <c r="I259" s="34"/>
      <c r="J259" s="34"/>
      <c r="K259" s="31"/>
      <c r="L259" s="31"/>
      <c r="M259" s="31"/>
      <c r="N259" s="31"/>
      <c r="O259" s="31"/>
      <c r="P259" s="35">
        <f>IF(AND(ISNUMBER(J259),'REFERENCIAS'!$Q$8=1),ROUND(J259,'REFERENCIAS'!$K$8),"")</f>
      </c>
      <c r="R259" s="29" t="str">
        <f>"ID:"&amp;SUBSTITUTE(SUBSTITUTE(SUBSTITUTE(SUBSTITUTE(UPPER(TRIM(B259&amp;"")),"!","!E"),"*","!A"),"?","!B"),"~","!C")</f>
        <v>ID:</v>
      </c>
      <c r="S259" s="29" t="str">
        <f>"ID:"&amp;SUBSTITUTE(SUBSTITUTE(SUBSTITUTE(SUBSTITUTE(UPPER(TRIM(C259&amp;"")),"!","!E"),"*","!A"),"?","!B"),"~","!C")</f>
        <v>ID:</v>
      </c>
    </row>
    <row r="260" ht="75" customHeight="1">
      <c r="B260" s="31"/>
      <c r="C260" s="31"/>
      <c r="D260" s="31"/>
      <c r="E260" s="31"/>
      <c r="F260" s="31"/>
      <c r="G260" s="34"/>
      <c r="H260" s="34"/>
      <c r="I260" s="34"/>
      <c r="J260" s="34"/>
      <c r="K260" s="31"/>
      <c r="L260" s="31"/>
      <c r="M260" s="31"/>
      <c r="N260" s="31"/>
      <c r="O260" s="31"/>
      <c r="P260" s="35">
        <f>IF(AND(ISNUMBER(J260),'REFERENCIAS'!$Q$8=1),ROUND(J260,'REFERENCIAS'!$K$8),"")</f>
      </c>
      <c r="R260" s="29" t="str">
        <f>"ID:"&amp;SUBSTITUTE(SUBSTITUTE(SUBSTITUTE(SUBSTITUTE(UPPER(TRIM(B260&amp;"")),"!","!E"),"*","!A"),"?","!B"),"~","!C")</f>
        <v>ID:</v>
      </c>
      <c r="S260" s="29" t="str">
        <f>"ID:"&amp;SUBSTITUTE(SUBSTITUTE(SUBSTITUTE(SUBSTITUTE(UPPER(TRIM(C260&amp;"")),"!","!E"),"*","!A"),"?","!B"),"~","!C")</f>
        <v>ID:</v>
      </c>
    </row>
    <row r="261" ht="75" customHeight="1">
      <c r="B261" s="31"/>
      <c r="C261" s="31"/>
      <c r="D261" s="31"/>
      <c r="E261" s="31"/>
      <c r="F261" s="31"/>
      <c r="G261" s="34"/>
      <c r="H261" s="34"/>
      <c r="I261" s="34"/>
      <c r="J261" s="34"/>
      <c r="K261" s="31"/>
      <c r="L261" s="31"/>
      <c r="M261" s="31"/>
      <c r="N261" s="31"/>
      <c r="O261" s="31"/>
      <c r="P261" s="35">
        <f>IF(AND(ISNUMBER(J261),'REFERENCIAS'!$Q$8=1),ROUND(J261,'REFERENCIAS'!$K$8),"")</f>
      </c>
      <c r="R261" s="29" t="str">
        <f>"ID:"&amp;SUBSTITUTE(SUBSTITUTE(SUBSTITUTE(SUBSTITUTE(UPPER(TRIM(B261&amp;"")),"!","!E"),"*","!A"),"?","!B"),"~","!C")</f>
        <v>ID:</v>
      </c>
      <c r="S261" s="29" t="str">
        <f>"ID:"&amp;SUBSTITUTE(SUBSTITUTE(SUBSTITUTE(SUBSTITUTE(UPPER(TRIM(C261&amp;"")),"!","!E"),"*","!A"),"?","!B"),"~","!C")</f>
        <v>ID:</v>
      </c>
    </row>
    <row r="262" ht="75" customHeight="1">
      <c r="B262" s="31"/>
      <c r="C262" s="31"/>
      <c r="D262" s="31"/>
      <c r="E262" s="31"/>
      <c r="F262" s="31"/>
      <c r="G262" s="34"/>
      <c r="H262" s="34"/>
      <c r="I262" s="34"/>
      <c r="J262" s="34"/>
      <c r="K262" s="31"/>
      <c r="L262" s="31"/>
      <c r="M262" s="31"/>
      <c r="N262" s="31"/>
      <c r="O262" s="31"/>
      <c r="P262" s="35">
        <f>IF(AND(ISNUMBER(J262),'REFERENCIAS'!$Q$8=1),ROUND(J262,'REFERENCIAS'!$K$8),"")</f>
      </c>
      <c r="R262" s="29" t="str">
        <f>"ID:"&amp;SUBSTITUTE(SUBSTITUTE(SUBSTITUTE(SUBSTITUTE(UPPER(TRIM(B262&amp;"")),"!","!E"),"*","!A"),"?","!B"),"~","!C")</f>
        <v>ID:</v>
      </c>
      <c r="S262" s="29" t="str">
        <f>"ID:"&amp;SUBSTITUTE(SUBSTITUTE(SUBSTITUTE(SUBSTITUTE(UPPER(TRIM(C262&amp;"")),"!","!E"),"*","!A"),"?","!B"),"~","!C")</f>
        <v>ID:</v>
      </c>
    </row>
    <row r="263" ht="75" customHeight="1">
      <c r="B263" s="31"/>
      <c r="C263" s="31"/>
      <c r="D263" s="31"/>
      <c r="E263" s="31"/>
      <c r="F263" s="31"/>
      <c r="G263" s="34"/>
      <c r="H263" s="34"/>
      <c r="I263" s="34"/>
      <c r="J263" s="34"/>
      <c r="K263" s="31"/>
      <c r="L263" s="31"/>
      <c r="M263" s="31"/>
      <c r="N263" s="31"/>
      <c r="O263" s="31"/>
      <c r="P263" s="35">
        <f>IF(AND(ISNUMBER(J263),'REFERENCIAS'!$Q$8=1),ROUND(J263,'REFERENCIAS'!$K$8),"")</f>
      </c>
      <c r="R263" s="29" t="str">
        <f>"ID:"&amp;SUBSTITUTE(SUBSTITUTE(SUBSTITUTE(SUBSTITUTE(UPPER(TRIM(B263&amp;"")),"!","!E"),"*","!A"),"?","!B"),"~","!C")</f>
        <v>ID:</v>
      </c>
      <c r="S263" s="29" t="str">
        <f>"ID:"&amp;SUBSTITUTE(SUBSTITUTE(SUBSTITUTE(SUBSTITUTE(UPPER(TRIM(C263&amp;"")),"!","!E"),"*","!A"),"?","!B"),"~","!C")</f>
        <v>ID:</v>
      </c>
    </row>
    <row r="264" ht="75" customHeight="1">
      <c r="B264" s="31"/>
      <c r="C264" s="31"/>
      <c r="D264" s="31"/>
      <c r="E264" s="31"/>
      <c r="F264" s="31"/>
      <c r="G264" s="34"/>
      <c r="H264" s="34"/>
      <c r="I264" s="34"/>
      <c r="J264" s="34"/>
      <c r="K264" s="31"/>
      <c r="L264" s="31"/>
      <c r="M264" s="31"/>
      <c r="N264" s="31"/>
      <c r="O264" s="31"/>
      <c r="P264" s="35">
        <f>IF(AND(ISNUMBER(J264),'REFERENCIAS'!$Q$8=1),ROUND(J264,'REFERENCIAS'!$K$8),"")</f>
      </c>
      <c r="R264" s="29" t="str">
        <f>"ID:"&amp;SUBSTITUTE(SUBSTITUTE(SUBSTITUTE(SUBSTITUTE(UPPER(TRIM(B264&amp;"")),"!","!E"),"*","!A"),"?","!B"),"~","!C")</f>
        <v>ID:</v>
      </c>
      <c r="S264" s="29" t="str">
        <f>"ID:"&amp;SUBSTITUTE(SUBSTITUTE(SUBSTITUTE(SUBSTITUTE(UPPER(TRIM(C264&amp;"")),"!","!E"),"*","!A"),"?","!B"),"~","!C")</f>
        <v>ID:</v>
      </c>
    </row>
    <row r="265" ht="75" customHeight="1">
      <c r="B265" s="31"/>
      <c r="C265" s="31"/>
      <c r="D265" s="31"/>
      <c r="E265" s="31"/>
      <c r="F265" s="31"/>
      <c r="G265" s="34"/>
      <c r="H265" s="34"/>
      <c r="I265" s="34"/>
      <c r="J265" s="34"/>
      <c r="K265" s="31"/>
      <c r="L265" s="31"/>
      <c r="M265" s="31"/>
      <c r="N265" s="31"/>
      <c r="O265" s="31"/>
      <c r="P265" s="35">
        <f>IF(AND(ISNUMBER(J265),'REFERENCIAS'!$Q$8=1),ROUND(J265,'REFERENCIAS'!$K$8),"")</f>
      </c>
      <c r="R265" s="29" t="str">
        <f>"ID:"&amp;SUBSTITUTE(SUBSTITUTE(SUBSTITUTE(SUBSTITUTE(UPPER(TRIM(B265&amp;"")),"!","!E"),"*","!A"),"?","!B"),"~","!C")</f>
        <v>ID:</v>
      </c>
      <c r="S265" s="29" t="str">
        <f>"ID:"&amp;SUBSTITUTE(SUBSTITUTE(SUBSTITUTE(SUBSTITUTE(UPPER(TRIM(C265&amp;"")),"!","!E"),"*","!A"),"?","!B"),"~","!C")</f>
        <v>ID:</v>
      </c>
    </row>
    <row r="266" ht="75" customHeight="1">
      <c r="B266" s="31"/>
      <c r="C266" s="31"/>
      <c r="D266" s="31"/>
      <c r="E266" s="31"/>
      <c r="F266" s="31"/>
      <c r="G266" s="34"/>
      <c r="H266" s="34"/>
      <c r="I266" s="34"/>
      <c r="J266" s="34"/>
      <c r="K266" s="31"/>
      <c r="L266" s="31"/>
      <c r="M266" s="31"/>
      <c r="N266" s="31"/>
      <c r="O266" s="31"/>
      <c r="P266" s="35">
        <f>IF(AND(ISNUMBER(J266),'REFERENCIAS'!$Q$8=1),ROUND(J266,'REFERENCIAS'!$K$8),"")</f>
      </c>
      <c r="R266" s="29" t="str">
        <f>"ID:"&amp;SUBSTITUTE(SUBSTITUTE(SUBSTITUTE(SUBSTITUTE(UPPER(TRIM(B266&amp;"")),"!","!E"),"*","!A"),"?","!B"),"~","!C")</f>
        <v>ID:</v>
      </c>
      <c r="S266" s="29" t="str">
        <f>"ID:"&amp;SUBSTITUTE(SUBSTITUTE(SUBSTITUTE(SUBSTITUTE(UPPER(TRIM(C266&amp;"")),"!","!E"),"*","!A"),"?","!B"),"~","!C")</f>
        <v>ID:</v>
      </c>
    </row>
    <row r="267" ht="75" customHeight="1">
      <c r="B267" s="31"/>
      <c r="C267" s="31"/>
      <c r="D267" s="31"/>
      <c r="E267" s="31"/>
      <c r="F267" s="31"/>
      <c r="G267" s="34"/>
      <c r="H267" s="34"/>
      <c r="I267" s="34"/>
      <c r="J267" s="34"/>
      <c r="K267" s="31"/>
      <c r="L267" s="31"/>
      <c r="M267" s="31"/>
      <c r="N267" s="31"/>
      <c r="O267" s="31"/>
      <c r="P267" s="35">
        <f>IF(AND(ISNUMBER(J267),'REFERENCIAS'!$Q$8=1),ROUND(J267,'REFERENCIAS'!$K$8),"")</f>
      </c>
      <c r="R267" s="29" t="str">
        <f>"ID:"&amp;SUBSTITUTE(SUBSTITUTE(SUBSTITUTE(SUBSTITUTE(UPPER(TRIM(B267&amp;"")),"!","!E"),"*","!A"),"?","!B"),"~","!C")</f>
        <v>ID:</v>
      </c>
      <c r="S267" s="29" t="str">
        <f>"ID:"&amp;SUBSTITUTE(SUBSTITUTE(SUBSTITUTE(SUBSTITUTE(UPPER(TRIM(C267&amp;"")),"!","!E"),"*","!A"),"?","!B"),"~","!C")</f>
        <v>ID:</v>
      </c>
    </row>
    <row r="268" ht="75" customHeight="1">
      <c r="B268" s="31"/>
      <c r="C268" s="31"/>
      <c r="D268" s="31"/>
      <c r="E268" s="31"/>
      <c r="F268" s="31"/>
      <c r="G268" s="34"/>
      <c r="H268" s="34"/>
      <c r="I268" s="34"/>
      <c r="J268" s="34"/>
      <c r="K268" s="31"/>
      <c r="L268" s="31"/>
      <c r="M268" s="31"/>
      <c r="N268" s="31"/>
      <c r="O268" s="31"/>
      <c r="P268" s="35">
        <f>IF(AND(ISNUMBER(J268),'REFERENCIAS'!$Q$8=1),ROUND(J268,'REFERENCIAS'!$K$8),"")</f>
      </c>
      <c r="R268" s="29" t="str">
        <f>"ID:"&amp;SUBSTITUTE(SUBSTITUTE(SUBSTITUTE(SUBSTITUTE(UPPER(TRIM(B268&amp;"")),"!","!E"),"*","!A"),"?","!B"),"~","!C")</f>
        <v>ID:</v>
      </c>
      <c r="S268" s="29" t="str">
        <f>"ID:"&amp;SUBSTITUTE(SUBSTITUTE(SUBSTITUTE(SUBSTITUTE(UPPER(TRIM(C268&amp;"")),"!","!E"),"*","!A"),"?","!B"),"~","!C")</f>
        <v>ID:</v>
      </c>
    </row>
    <row r="269" ht="75" customHeight="1">
      <c r="B269" s="31"/>
      <c r="C269" s="31"/>
      <c r="D269" s="31"/>
      <c r="E269" s="31"/>
      <c r="F269" s="31"/>
      <c r="G269" s="34"/>
      <c r="H269" s="34"/>
      <c r="I269" s="34"/>
      <c r="J269" s="34"/>
      <c r="K269" s="31"/>
      <c r="L269" s="31"/>
      <c r="M269" s="31"/>
      <c r="N269" s="31"/>
      <c r="O269" s="31"/>
      <c r="P269" s="35">
        <f>IF(AND(ISNUMBER(J269),'REFERENCIAS'!$Q$8=1),ROUND(J269,'REFERENCIAS'!$K$8),"")</f>
      </c>
      <c r="R269" s="29" t="str">
        <f>"ID:"&amp;SUBSTITUTE(SUBSTITUTE(SUBSTITUTE(SUBSTITUTE(UPPER(TRIM(B269&amp;"")),"!","!E"),"*","!A"),"?","!B"),"~","!C")</f>
        <v>ID:</v>
      </c>
      <c r="S269" s="29" t="str">
        <f>"ID:"&amp;SUBSTITUTE(SUBSTITUTE(SUBSTITUTE(SUBSTITUTE(UPPER(TRIM(C269&amp;"")),"!","!E"),"*","!A"),"?","!B"),"~","!C")</f>
        <v>ID:</v>
      </c>
    </row>
    <row r="270" ht="75" customHeight="1">
      <c r="B270" s="31"/>
      <c r="C270" s="31"/>
      <c r="D270" s="31"/>
      <c r="E270" s="31"/>
      <c r="F270" s="31"/>
      <c r="G270" s="34"/>
      <c r="H270" s="34"/>
      <c r="I270" s="34"/>
      <c r="J270" s="34"/>
      <c r="K270" s="31"/>
      <c r="L270" s="31"/>
      <c r="M270" s="31"/>
      <c r="N270" s="31"/>
      <c r="O270" s="31"/>
      <c r="P270" s="35">
        <f>IF(AND(ISNUMBER(J270),'REFERENCIAS'!$Q$8=1),ROUND(J270,'REFERENCIAS'!$K$8),"")</f>
      </c>
      <c r="R270" s="29" t="str">
        <f>"ID:"&amp;SUBSTITUTE(SUBSTITUTE(SUBSTITUTE(SUBSTITUTE(UPPER(TRIM(B270&amp;"")),"!","!E"),"*","!A"),"?","!B"),"~","!C")</f>
        <v>ID:</v>
      </c>
      <c r="S270" s="29" t="str">
        <f>"ID:"&amp;SUBSTITUTE(SUBSTITUTE(SUBSTITUTE(SUBSTITUTE(UPPER(TRIM(C270&amp;"")),"!","!E"),"*","!A"),"?","!B"),"~","!C")</f>
        <v>ID:</v>
      </c>
    </row>
    <row r="271" ht="75" customHeight="1">
      <c r="B271" s="31"/>
      <c r="C271" s="31"/>
      <c r="D271" s="31"/>
      <c r="E271" s="31"/>
      <c r="F271" s="31"/>
      <c r="G271" s="34"/>
      <c r="H271" s="34"/>
      <c r="I271" s="34"/>
      <c r="J271" s="34"/>
      <c r="K271" s="31"/>
      <c r="L271" s="31"/>
      <c r="M271" s="31"/>
      <c r="N271" s="31"/>
      <c r="O271" s="31"/>
      <c r="P271" s="35">
        <f>IF(AND(ISNUMBER(J271),'REFERENCIAS'!$Q$8=1),ROUND(J271,'REFERENCIAS'!$K$8),"")</f>
      </c>
      <c r="R271" s="29" t="str">
        <f>"ID:"&amp;SUBSTITUTE(SUBSTITUTE(SUBSTITUTE(SUBSTITUTE(UPPER(TRIM(B271&amp;"")),"!","!E"),"*","!A"),"?","!B"),"~","!C")</f>
        <v>ID:</v>
      </c>
      <c r="S271" s="29" t="str">
        <f>"ID:"&amp;SUBSTITUTE(SUBSTITUTE(SUBSTITUTE(SUBSTITUTE(UPPER(TRIM(C271&amp;"")),"!","!E"),"*","!A"),"?","!B"),"~","!C")</f>
        <v>ID:</v>
      </c>
    </row>
    <row r="272" ht="75" customHeight="1">
      <c r="B272" s="31"/>
      <c r="C272" s="31"/>
      <c r="D272" s="31"/>
      <c r="E272" s="31"/>
      <c r="F272" s="31"/>
      <c r="G272" s="34"/>
      <c r="H272" s="34"/>
      <c r="I272" s="34"/>
      <c r="J272" s="34"/>
      <c r="K272" s="31"/>
      <c r="L272" s="31"/>
      <c r="M272" s="31"/>
      <c r="N272" s="31"/>
      <c r="O272" s="31"/>
      <c r="P272" s="35">
        <f>IF(AND(ISNUMBER(J272),'REFERENCIAS'!$Q$8=1),ROUND(J272,'REFERENCIAS'!$K$8),"")</f>
      </c>
      <c r="R272" s="29" t="str">
        <f>"ID:"&amp;SUBSTITUTE(SUBSTITUTE(SUBSTITUTE(SUBSTITUTE(UPPER(TRIM(B272&amp;"")),"!","!E"),"*","!A"),"?","!B"),"~","!C")</f>
        <v>ID:</v>
      </c>
      <c r="S272" s="29" t="str">
        <f>"ID:"&amp;SUBSTITUTE(SUBSTITUTE(SUBSTITUTE(SUBSTITUTE(UPPER(TRIM(C272&amp;"")),"!","!E"),"*","!A"),"?","!B"),"~","!C")</f>
        <v>ID:</v>
      </c>
    </row>
    <row r="273" ht="75" customHeight="1">
      <c r="B273" s="31"/>
      <c r="C273" s="31"/>
      <c r="D273" s="31"/>
      <c r="E273" s="31"/>
      <c r="F273" s="31"/>
      <c r="G273" s="34"/>
      <c r="H273" s="34"/>
      <c r="I273" s="34"/>
      <c r="J273" s="34"/>
      <c r="K273" s="31"/>
      <c r="L273" s="31"/>
      <c r="M273" s="31"/>
      <c r="N273" s="31"/>
      <c r="O273" s="31"/>
      <c r="P273" s="35">
        <f>IF(AND(ISNUMBER(J273),'REFERENCIAS'!$Q$8=1),ROUND(J273,'REFERENCIAS'!$K$8),"")</f>
      </c>
      <c r="R273" s="29" t="str">
        <f>"ID:"&amp;SUBSTITUTE(SUBSTITUTE(SUBSTITUTE(SUBSTITUTE(UPPER(TRIM(B273&amp;"")),"!","!E"),"*","!A"),"?","!B"),"~","!C")</f>
        <v>ID:</v>
      </c>
      <c r="S273" s="29" t="str">
        <f>"ID:"&amp;SUBSTITUTE(SUBSTITUTE(SUBSTITUTE(SUBSTITUTE(UPPER(TRIM(C273&amp;"")),"!","!E"),"*","!A"),"?","!B"),"~","!C")</f>
        <v>ID:</v>
      </c>
    </row>
    <row r="274" ht="75" customHeight="1">
      <c r="B274" s="31"/>
      <c r="C274" s="31"/>
      <c r="D274" s="31"/>
      <c r="E274" s="31"/>
      <c r="F274" s="31"/>
      <c r="G274" s="34"/>
      <c r="H274" s="34"/>
      <c r="I274" s="34"/>
      <c r="J274" s="34"/>
      <c r="K274" s="31"/>
      <c r="L274" s="31"/>
      <c r="M274" s="31"/>
      <c r="N274" s="31"/>
      <c r="O274" s="31"/>
      <c r="P274" s="35">
        <f>IF(AND(ISNUMBER(J274),'REFERENCIAS'!$Q$8=1),ROUND(J274,'REFERENCIAS'!$K$8),"")</f>
      </c>
      <c r="R274" s="29" t="str">
        <f>"ID:"&amp;SUBSTITUTE(SUBSTITUTE(SUBSTITUTE(SUBSTITUTE(UPPER(TRIM(B274&amp;"")),"!","!E"),"*","!A"),"?","!B"),"~","!C")</f>
        <v>ID:</v>
      </c>
      <c r="S274" s="29" t="str">
        <f>"ID:"&amp;SUBSTITUTE(SUBSTITUTE(SUBSTITUTE(SUBSTITUTE(UPPER(TRIM(C274&amp;"")),"!","!E"),"*","!A"),"?","!B"),"~","!C")</f>
        <v>ID:</v>
      </c>
    </row>
    <row r="275" ht="75" customHeight="1">
      <c r="B275" s="31"/>
      <c r="C275" s="31"/>
      <c r="D275" s="31"/>
      <c r="E275" s="31"/>
      <c r="F275" s="31"/>
      <c r="G275" s="34"/>
      <c r="H275" s="34"/>
      <c r="I275" s="34"/>
      <c r="J275" s="34"/>
      <c r="K275" s="31"/>
      <c r="L275" s="31"/>
      <c r="M275" s="31"/>
      <c r="N275" s="31"/>
      <c r="O275" s="31"/>
      <c r="P275" s="35">
        <f>IF(AND(ISNUMBER(J275),'REFERENCIAS'!$Q$8=1),ROUND(J275,'REFERENCIAS'!$K$8),"")</f>
      </c>
      <c r="R275" s="29" t="str">
        <f>"ID:"&amp;SUBSTITUTE(SUBSTITUTE(SUBSTITUTE(SUBSTITUTE(UPPER(TRIM(B275&amp;"")),"!","!E"),"*","!A"),"?","!B"),"~","!C")</f>
        <v>ID:</v>
      </c>
      <c r="S275" s="29" t="str">
        <f>"ID:"&amp;SUBSTITUTE(SUBSTITUTE(SUBSTITUTE(SUBSTITUTE(UPPER(TRIM(C275&amp;"")),"!","!E"),"*","!A"),"?","!B"),"~","!C")</f>
        <v>ID:</v>
      </c>
    </row>
    <row r="276" ht="75" customHeight="1">
      <c r="B276" s="31"/>
      <c r="C276" s="31"/>
      <c r="D276" s="31"/>
      <c r="E276" s="31"/>
      <c r="F276" s="31"/>
      <c r="G276" s="34"/>
      <c r="H276" s="34"/>
      <c r="I276" s="34"/>
      <c r="J276" s="34"/>
      <c r="K276" s="31"/>
      <c r="L276" s="31"/>
      <c r="M276" s="31"/>
      <c r="N276" s="31"/>
      <c r="O276" s="31"/>
      <c r="P276" s="35">
        <f>IF(AND(ISNUMBER(J276),'REFERENCIAS'!$Q$8=1),ROUND(J276,'REFERENCIAS'!$K$8),"")</f>
      </c>
      <c r="R276" s="29" t="str">
        <f>"ID:"&amp;SUBSTITUTE(SUBSTITUTE(SUBSTITUTE(SUBSTITUTE(UPPER(TRIM(B276&amp;"")),"!","!E"),"*","!A"),"?","!B"),"~","!C")</f>
        <v>ID:</v>
      </c>
      <c r="S276" s="29" t="str">
        <f>"ID:"&amp;SUBSTITUTE(SUBSTITUTE(SUBSTITUTE(SUBSTITUTE(UPPER(TRIM(C276&amp;"")),"!","!E"),"*","!A"),"?","!B"),"~","!C")</f>
        <v>ID:</v>
      </c>
    </row>
    <row r="277" ht="75" customHeight="1">
      <c r="B277" s="31"/>
      <c r="C277" s="31"/>
      <c r="D277" s="31"/>
      <c r="E277" s="31"/>
      <c r="F277" s="31"/>
      <c r="G277" s="34"/>
      <c r="H277" s="34"/>
      <c r="I277" s="34"/>
      <c r="J277" s="34"/>
      <c r="K277" s="31"/>
      <c r="L277" s="31"/>
      <c r="M277" s="31"/>
      <c r="N277" s="31"/>
      <c r="O277" s="31"/>
      <c r="P277" s="35">
        <f>IF(AND(ISNUMBER(J277),'REFERENCIAS'!$Q$8=1),ROUND(J277,'REFERENCIAS'!$K$8),"")</f>
      </c>
      <c r="R277" s="29" t="str">
        <f>"ID:"&amp;SUBSTITUTE(SUBSTITUTE(SUBSTITUTE(SUBSTITUTE(UPPER(TRIM(B277&amp;"")),"!","!E"),"*","!A"),"?","!B"),"~","!C")</f>
        <v>ID:</v>
      </c>
      <c r="S277" s="29" t="str">
        <f>"ID:"&amp;SUBSTITUTE(SUBSTITUTE(SUBSTITUTE(SUBSTITUTE(UPPER(TRIM(C277&amp;"")),"!","!E"),"*","!A"),"?","!B"),"~","!C")</f>
        <v>ID:</v>
      </c>
    </row>
    <row r="278" ht="75" customHeight="1">
      <c r="B278" s="31"/>
      <c r="C278" s="31"/>
      <c r="D278" s="31"/>
      <c r="E278" s="31"/>
      <c r="F278" s="31"/>
      <c r="G278" s="34"/>
      <c r="H278" s="34"/>
      <c r="I278" s="34"/>
      <c r="J278" s="34"/>
      <c r="K278" s="31"/>
      <c r="L278" s="31"/>
      <c r="M278" s="31"/>
      <c r="N278" s="31"/>
      <c r="O278" s="31"/>
      <c r="P278" s="35">
        <f>IF(AND(ISNUMBER(J278),'REFERENCIAS'!$Q$8=1),ROUND(J278,'REFERENCIAS'!$K$8),"")</f>
      </c>
      <c r="R278" s="29" t="str">
        <f>"ID:"&amp;SUBSTITUTE(SUBSTITUTE(SUBSTITUTE(SUBSTITUTE(UPPER(TRIM(B278&amp;"")),"!","!E"),"*","!A"),"?","!B"),"~","!C")</f>
        <v>ID:</v>
      </c>
      <c r="S278" s="29" t="str">
        <f>"ID:"&amp;SUBSTITUTE(SUBSTITUTE(SUBSTITUTE(SUBSTITUTE(UPPER(TRIM(C278&amp;"")),"!","!E"),"*","!A"),"?","!B"),"~","!C")</f>
        <v>ID:</v>
      </c>
    </row>
    <row r="279" ht="75" customHeight="1">
      <c r="B279" s="31"/>
      <c r="C279" s="31"/>
      <c r="D279" s="31"/>
      <c r="E279" s="31"/>
      <c r="F279" s="31"/>
      <c r="G279" s="34"/>
      <c r="H279" s="34"/>
      <c r="I279" s="34"/>
      <c r="J279" s="34"/>
      <c r="K279" s="31"/>
      <c r="L279" s="31"/>
      <c r="M279" s="31"/>
      <c r="N279" s="31"/>
      <c r="O279" s="31"/>
      <c r="P279" s="35">
        <f>IF(AND(ISNUMBER(J279),'REFERENCIAS'!$Q$8=1),ROUND(J279,'REFERENCIAS'!$K$8),"")</f>
      </c>
      <c r="R279" s="29" t="str">
        <f>"ID:"&amp;SUBSTITUTE(SUBSTITUTE(SUBSTITUTE(SUBSTITUTE(UPPER(TRIM(B279&amp;"")),"!","!E"),"*","!A"),"?","!B"),"~","!C")</f>
        <v>ID:</v>
      </c>
      <c r="S279" s="29" t="str">
        <f>"ID:"&amp;SUBSTITUTE(SUBSTITUTE(SUBSTITUTE(SUBSTITUTE(UPPER(TRIM(C279&amp;"")),"!","!E"),"*","!A"),"?","!B"),"~","!C")</f>
        <v>ID:</v>
      </c>
    </row>
    <row r="280" ht="75" customHeight="1">
      <c r="B280" s="31"/>
      <c r="C280" s="31"/>
      <c r="D280" s="31"/>
      <c r="E280" s="31"/>
      <c r="F280" s="31"/>
      <c r="G280" s="34"/>
      <c r="H280" s="34"/>
      <c r="I280" s="34"/>
      <c r="J280" s="34"/>
      <c r="K280" s="31"/>
      <c r="L280" s="31"/>
      <c r="M280" s="31"/>
      <c r="N280" s="31"/>
      <c r="O280" s="31"/>
      <c r="P280" s="35">
        <f>IF(AND(ISNUMBER(J280),'REFERENCIAS'!$Q$8=1),ROUND(J280,'REFERENCIAS'!$K$8),"")</f>
      </c>
      <c r="R280" s="29" t="str">
        <f>"ID:"&amp;SUBSTITUTE(SUBSTITUTE(SUBSTITUTE(SUBSTITUTE(UPPER(TRIM(B280&amp;"")),"!","!E"),"*","!A"),"?","!B"),"~","!C")</f>
        <v>ID:</v>
      </c>
      <c r="S280" s="29" t="str">
        <f>"ID:"&amp;SUBSTITUTE(SUBSTITUTE(SUBSTITUTE(SUBSTITUTE(UPPER(TRIM(C280&amp;"")),"!","!E"),"*","!A"),"?","!B"),"~","!C")</f>
        <v>ID:</v>
      </c>
    </row>
    <row r="281" ht="75" customHeight="1">
      <c r="B281" s="31"/>
      <c r="C281" s="31"/>
      <c r="D281" s="31"/>
      <c r="E281" s="31"/>
      <c r="F281" s="31"/>
      <c r="G281" s="34"/>
      <c r="H281" s="34"/>
      <c r="I281" s="34"/>
      <c r="J281" s="34"/>
      <c r="K281" s="31"/>
      <c r="L281" s="31"/>
      <c r="M281" s="31"/>
      <c r="N281" s="31"/>
      <c r="O281" s="31"/>
      <c r="P281" s="35">
        <f>IF(AND(ISNUMBER(J281),'REFERENCIAS'!$Q$8=1),ROUND(J281,'REFERENCIAS'!$K$8),"")</f>
      </c>
      <c r="R281" s="29" t="str">
        <f>"ID:"&amp;SUBSTITUTE(SUBSTITUTE(SUBSTITUTE(SUBSTITUTE(UPPER(TRIM(B281&amp;"")),"!","!E"),"*","!A"),"?","!B"),"~","!C")</f>
        <v>ID:</v>
      </c>
      <c r="S281" s="29" t="str">
        <f>"ID:"&amp;SUBSTITUTE(SUBSTITUTE(SUBSTITUTE(SUBSTITUTE(UPPER(TRIM(C281&amp;"")),"!","!E"),"*","!A"),"?","!B"),"~","!C")</f>
        <v>ID:</v>
      </c>
    </row>
    <row r="282" ht="75" customHeight="1">
      <c r="B282" s="31"/>
      <c r="C282" s="31"/>
      <c r="D282" s="31"/>
      <c r="E282" s="31"/>
      <c r="F282" s="31"/>
      <c r="G282" s="34"/>
      <c r="H282" s="34"/>
      <c r="I282" s="34"/>
      <c r="J282" s="34"/>
      <c r="K282" s="31"/>
      <c r="L282" s="31"/>
      <c r="M282" s="31"/>
      <c r="N282" s="31"/>
      <c r="O282" s="31"/>
      <c r="P282" s="35">
        <f>IF(AND(ISNUMBER(J282),'REFERENCIAS'!$Q$8=1),ROUND(J282,'REFERENCIAS'!$K$8),"")</f>
      </c>
      <c r="R282" s="29" t="str">
        <f>"ID:"&amp;SUBSTITUTE(SUBSTITUTE(SUBSTITUTE(SUBSTITUTE(UPPER(TRIM(B282&amp;"")),"!","!E"),"*","!A"),"?","!B"),"~","!C")</f>
        <v>ID:</v>
      </c>
      <c r="S282" s="29" t="str">
        <f>"ID:"&amp;SUBSTITUTE(SUBSTITUTE(SUBSTITUTE(SUBSTITUTE(UPPER(TRIM(C282&amp;"")),"!","!E"),"*","!A"),"?","!B"),"~","!C")</f>
        <v>ID:</v>
      </c>
    </row>
    <row r="283" ht="75" customHeight="1">
      <c r="B283" s="31"/>
      <c r="C283" s="31"/>
      <c r="D283" s="31"/>
      <c r="E283" s="31"/>
      <c r="F283" s="31"/>
      <c r="G283" s="34"/>
      <c r="H283" s="34"/>
      <c r="I283" s="34"/>
      <c r="J283" s="34"/>
      <c r="K283" s="31"/>
      <c r="L283" s="31"/>
      <c r="M283" s="31"/>
      <c r="N283" s="31"/>
      <c r="O283" s="31"/>
      <c r="P283" s="35">
        <f>IF(AND(ISNUMBER(J283),'REFERENCIAS'!$Q$8=1),ROUND(J283,'REFERENCIAS'!$K$8),"")</f>
      </c>
      <c r="R283" s="29" t="str">
        <f>"ID:"&amp;SUBSTITUTE(SUBSTITUTE(SUBSTITUTE(SUBSTITUTE(UPPER(TRIM(B283&amp;"")),"!","!E"),"*","!A"),"?","!B"),"~","!C")</f>
        <v>ID:</v>
      </c>
      <c r="S283" s="29" t="str">
        <f>"ID:"&amp;SUBSTITUTE(SUBSTITUTE(SUBSTITUTE(SUBSTITUTE(UPPER(TRIM(C283&amp;"")),"!","!E"),"*","!A"),"?","!B"),"~","!C")</f>
        <v>ID:</v>
      </c>
    </row>
    <row r="284" ht="75" customHeight="1">
      <c r="B284" s="31"/>
      <c r="C284" s="31"/>
      <c r="D284" s="31"/>
      <c r="E284" s="31"/>
      <c r="F284" s="31"/>
      <c r="G284" s="34"/>
      <c r="H284" s="34"/>
      <c r="I284" s="34"/>
      <c r="J284" s="34"/>
      <c r="K284" s="31"/>
      <c r="L284" s="31"/>
      <c r="M284" s="31"/>
      <c r="N284" s="31"/>
      <c r="O284" s="31"/>
      <c r="P284" s="35">
        <f>IF(AND(ISNUMBER(J284),'REFERENCIAS'!$Q$8=1),ROUND(J284,'REFERENCIAS'!$K$8),"")</f>
      </c>
      <c r="R284" s="29" t="str">
        <f>"ID:"&amp;SUBSTITUTE(SUBSTITUTE(SUBSTITUTE(SUBSTITUTE(UPPER(TRIM(B284&amp;"")),"!","!E"),"*","!A"),"?","!B"),"~","!C")</f>
        <v>ID:</v>
      </c>
      <c r="S284" s="29" t="str">
        <f>"ID:"&amp;SUBSTITUTE(SUBSTITUTE(SUBSTITUTE(SUBSTITUTE(UPPER(TRIM(C284&amp;"")),"!","!E"),"*","!A"),"?","!B"),"~","!C")</f>
        <v>ID:</v>
      </c>
    </row>
    <row r="285" ht="75" customHeight="1">
      <c r="B285" s="31"/>
      <c r="C285" s="31"/>
      <c r="D285" s="31"/>
      <c r="E285" s="31"/>
      <c r="F285" s="31"/>
      <c r="G285" s="34"/>
      <c r="H285" s="34"/>
      <c r="I285" s="34"/>
      <c r="J285" s="34"/>
      <c r="K285" s="31"/>
      <c r="L285" s="31"/>
      <c r="M285" s="31"/>
      <c r="N285" s="31"/>
      <c r="O285" s="31"/>
      <c r="P285" s="35">
        <f>IF(AND(ISNUMBER(J285),'REFERENCIAS'!$Q$8=1),ROUND(J285,'REFERENCIAS'!$K$8),"")</f>
      </c>
      <c r="R285" s="29" t="str">
        <f>"ID:"&amp;SUBSTITUTE(SUBSTITUTE(SUBSTITUTE(SUBSTITUTE(UPPER(TRIM(B285&amp;"")),"!","!E"),"*","!A"),"?","!B"),"~","!C")</f>
        <v>ID:</v>
      </c>
      <c r="S285" s="29" t="str">
        <f>"ID:"&amp;SUBSTITUTE(SUBSTITUTE(SUBSTITUTE(SUBSTITUTE(UPPER(TRIM(C285&amp;"")),"!","!E"),"*","!A"),"?","!B"),"~","!C")</f>
        <v>ID:</v>
      </c>
    </row>
    <row r="286" ht="75" customHeight="1">
      <c r="B286" s="31"/>
      <c r="C286" s="31"/>
      <c r="D286" s="31"/>
      <c r="E286" s="31"/>
      <c r="F286" s="31"/>
      <c r="G286" s="34"/>
      <c r="H286" s="34"/>
      <c r="I286" s="34"/>
      <c r="J286" s="34"/>
      <c r="K286" s="31"/>
      <c r="L286" s="31"/>
      <c r="M286" s="31"/>
      <c r="N286" s="31"/>
      <c r="O286" s="31"/>
      <c r="P286" s="35">
        <f>IF(AND(ISNUMBER(J286),'REFERENCIAS'!$Q$8=1),ROUND(J286,'REFERENCIAS'!$K$8),"")</f>
      </c>
      <c r="R286" s="29" t="str">
        <f>"ID:"&amp;SUBSTITUTE(SUBSTITUTE(SUBSTITUTE(SUBSTITUTE(UPPER(TRIM(B286&amp;"")),"!","!E"),"*","!A"),"?","!B"),"~","!C")</f>
        <v>ID:</v>
      </c>
      <c r="S286" s="29" t="str">
        <f>"ID:"&amp;SUBSTITUTE(SUBSTITUTE(SUBSTITUTE(SUBSTITUTE(UPPER(TRIM(C286&amp;"")),"!","!E"),"*","!A"),"?","!B"),"~","!C")</f>
        <v>ID:</v>
      </c>
    </row>
    <row r="287" ht="75" customHeight="1">
      <c r="B287" s="31"/>
      <c r="C287" s="31"/>
      <c r="D287" s="31"/>
      <c r="E287" s="31"/>
      <c r="F287" s="31"/>
      <c r="G287" s="34"/>
      <c r="H287" s="34"/>
      <c r="I287" s="34"/>
      <c r="J287" s="34"/>
      <c r="K287" s="31"/>
      <c r="L287" s="31"/>
      <c r="M287" s="31"/>
      <c r="N287" s="31"/>
      <c r="O287" s="31"/>
      <c r="P287" s="35">
        <f>IF(AND(ISNUMBER(J287),'REFERENCIAS'!$Q$8=1),ROUND(J287,'REFERENCIAS'!$K$8),"")</f>
      </c>
      <c r="R287" s="29" t="str">
        <f>"ID:"&amp;SUBSTITUTE(SUBSTITUTE(SUBSTITUTE(SUBSTITUTE(UPPER(TRIM(B287&amp;"")),"!","!E"),"*","!A"),"?","!B"),"~","!C")</f>
        <v>ID:</v>
      </c>
      <c r="S287" s="29" t="str">
        <f>"ID:"&amp;SUBSTITUTE(SUBSTITUTE(SUBSTITUTE(SUBSTITUTE(UPPER(TRIM(C287&amp;"")),"!","!E"),"*","!A"),"?","!B"),"~","!C")</f>
        <v>ID:</v>
      </c>
    </row>
    <row r="288" ht="75" customHeight="1">
      <c r="B288" s="31"/>
      <c r="C288" s="31"/>
      <c r="D288" s="31"/>
      <c r="E288" s="31"/>
      <c r="F288" s="31"/>
      <c r="G288" s="34"/>
      <c r="H288" s="34"/>
      <c r="I288" s="34"/>
      <c r="J288" s="34"/>
      <c r="K288" s="31"/>
      <c r="L288" s="31"/>
      <c r="M288" s="31"/>
      <c r="N288" s="31"/>
      <c r="O288" s="31"/>
      <c r="P288" s="35">
        <f>IF(AND(ISNUMBER(J288),'REFERENCIAS'!$Q$8=1),ROUND(J288,'REFERENCIAS'!$K$8),"")</f>
      </c>
      <c r="R288" s="29" t="str">
        <f>"ID:"&amp;SUBSTITUTE(SUBSTITUTE(SUBSTITUTE(SUBSTITUTE(UPPER(TRIM(B288&amp;"")),"!","!E"),"*","!A"),"?","!B"),"~","!C")</f>
        <v>ID:</v>
      </c>
      <c r="S288" s="29" t="str">
        <f>"ID:"&amp;SUBSTITUTE(SUBSTITUTE(SUBSTITUTE(SUBSTITUTE(UPPER(TRIM(C288&amp;"")),"!","!E"),"*","!A"),"?","!B"),"~","!C")</f>
        <v>ID:</v>
      </c>
    </row>
    <row r="289" ht="75" customHeight="1">
      <c r="B289" s="31"/>
      <c r="C289" s="31"/>
      <c r="D289" s="31"/>
      <c r="E289" s="31"/>
      <c r="F289" s="31"/>
      <c r="G289" s="34"/>
      <c r="H289" s="34"/>
      <c r="I289" s="34"/>
      <c r="J289" s="34"/>
      <c r="K289" s="31"/>
      <c r="L289" s="31"/>
      <c r="M289" s="31"/>
      <c r="N289" s="31"/>
      <c r="O289" s="31"/>
      <c r="P289" s="35">
        <f>IF(AND(ISNUMBER(J289),'REFERENCIAS'!$Q$8=1),ROUND(J289,'REFERENCIAS'!$K$8),"")</f>
      </c>
      <c r="R289" s="29" t="str">
        <f>"ID:"&amp;SUBSTITUTE(SUBSTITUTE(SUBSTITUTE(SUBSTITUTE(UPPER(TRIM(B289&amp;"")),"!","!E"),"*","!A"),"?","!B"),"~","!C")</f>
        <v>ID:</v>
      </c>
      <c r="S289" s="29" t="str">
        <f>"ID:"&amp;SUBSTITUTE(SUBSTITUTE(SUBSTITUTE(SUBSTITUTE(UPPER(TRIM(C289&amp;"")),"!","!E"),"*","!A"),"?","!B"),"~","!C")</f>
        <v>ID:</v>
      </c>
    </row>
    <row r="290" ht="75" customHeight="1">
      <c r="B290" s="31"/>
      <c r="C290" s="31"/>
      <c r="D290" s="31"/>
      <c r="E290" s="31"/>
      <c r="F290" s="31"/>
      <c r="G290" s="34"/>
      <c r="H290" s="34"/>
      <c r="I290" s="34"/>
      <c r="J290" s="34"/>
      <c r="K290" s="31"/>
      <c r="L290" s="31"/>
      <c r="M290" s="31"/>
      <c r="N290" s="31"/>
      <c r="O290" s="31"/>
      <c r="P290" s="35">
        <f>IF(AND(ISNUMBER(J290),'REFERENCIAS'!$Q$8=1),ROUND(J290,'REFERENCIAS'!$K$8),"")</f>
      </c>
      <c r="R290" s="29" t="str">
        <f>"ID:"&amp;SUBSTITUTE(SUBSTITUTE(SUBSTITUTE(SUBSTITUTE(UPPER(TRIM(B290&amp;"")),"!","!E"),"*","!A"),"?","!B"),"~","!C")</f>
        <v>ID:</v>
      </c>
      <c r="S290" s="29" t="str">
        <f>"ID:"&amp;SUBSTITUTE(SUBSTITUTE(SUBSTITUTE(SUBSTITUTE(UPPER(TRIM(C290&amp;"")),"!","!E"),"*","!A"),"?","!B"),"~","!C")</f>
        <v>ID:</v>
      </c>
    </row>
    <row r="291" ht="75" customHeight="1">
      <c r="B291" s="31"/>
      <c r="C291" s="31"/>
      <c r="D291" s="31"/>
      <c r="E291" s="31"/>
      <c r="F291" s="31"/>
      <c r="G291" s="34"/>
      <c r="H291" s="34"/>
      <c r="I291" s="34"/>
      <c r="J291" s="34"/>
      <c r="K291" s="31"/>
      <c r="L291" s="31"/>
      <c r="M291" s="31"/>
      <c r="N291" s="31"/>
      <c r="O291" s="31"/>
      <c r="P291" s="35">
        <f>IF(AND(ISNUMBER(J291),'REFERENCIAS'!$Q$8=1),ROUND(J291,'REFERENCIAS'!$K$8),"")</f>
      </c>
      <c r="R291" s="29" t="str">
        <f>"ID:"&amp;SUBSTITUTE(SUBSTITUTE(SUBSTITUTE(SUBSTITUTE(UPPER(TRIM(B291&amp;"")),"!","!E"),"*","!A"),"?","!B"),"~","!C")</f>
        <v>ID:</v>
      </c>
      <c r="S291" s="29" t="str">
        <f>"ID:"&amp;SUBSTITUTE(SUBSTITUTE(SUBSTITUTE(SUBSTITUTE(UPPER(TRIM(C291&amp;"")),"!","!E"),"*","!A"),"?","!B"),"~","!C")</f>
        <v>ID:</v>
      </c>
    </row>
    <row r="292" ht="75" customHeight="1">
      <c r="B292" s="31"/>
      <c r="C292" s="31"/>
      <c r="D292" s="31"/>
      <c r="E292" s="31"/>
      <c r="F292" s="31"/>
      <c r="G292" s="34"/>
      <c r="H292" s="34"/>
      <c r="I292" s="34"/>
      <c r="J292" s="34"/>
      <c r="K292" s="31"/>
      <c r="L292" s="31"/>
      <c r="M292" s="31"/>
      <c r="N292" s="31"/>
      <c r="O292" s="31"/>
      <c r="P292" s="35">
        <f>IF(AND(ISNUMBER(J292),'REFERENCIAS'!$Q$8=1),ROUND(J292,'REFERENCIAS'!$K$8),"")</f>
      </c>
      <c r="R292" s="29" t="str">
        <f>"ID:"&amp;SUBSTITUTE(SUBSTITUTE(SUBSTITUTE(SUBSTITUTE(UPPER(TRIM(B292&amp;"")),"!","!E"),"*","!A"),"?","!B"),"~","!C")</f>
        <v>ID:</v>
      </c>
      <c r="S292" s="29" t="str">
        <f>"ID:"&amp;SUBSTITUTE(SUBSTITUTE(SUBSTITUTE(SUBSTITUTE(UPPER(TRIM(C292&amp;"")),"!","!E"),"*","!A"),"?","!B"),"~","!C")</f>
        <v>ID:</v>
      </c>
    </row>
    <row r="293" ht="75" customHeight="1">
      <c r="B293" s="31"/>
      <c r="C293" s="31"/>
      <c r="D293" s="31"/>
      <c r="E293" s="31"/>
      <c r="F293" s="31"/>
      <c r="G293" s="34"/>
      <c r="H293" s="34"/>
      <c r="I293" s="34"/>
      <c r="J293" s="34"/>
      <c r="K293" s="31"/>
      <c r="L293" s="31"/>
      <c r="M293" s="31"/>
      <c r="N293" s="31"/>
      <c r="O293" s="31"/>
      <c r="P293" s="35">
        <f>IF(AND(ISNUMBER(J293),'REFERENCIAS'!$Q$8=1),ROUND(J293,'REFERENCIAS'!$K$8),"")</f>
      </c>
      <c r="R293" s="29" t="str">
        <f>"ID:"&amp;SUBSTITUTE(SUBSTITUTE(SUBSTITUTE(SUBSTITUTE(UPPER(TRIM(B293&amp;"")),"!","!E"),"*","!A"),"?","!B"),"~","!C")</f>
        <v>ID:</v>
      </c>
      <c r="S293" s="29" t="str">
        <f>"ID:"&amp;SUBSTITUTE(SUBSTITUTE(SUBSTITUTE(SUBSTITUTE(UPPER(TRIM(C293&amp;"")),"!","!E"),"*","!A"),"?","!B"),"~","!C")</f>
        <v>ID:</v>
      </c>
    </row>
    <row r="294" ht="75" customHeight="1">
      <c r="B294" s="31"/>
      <c r="C294" s="31"/>
      <c r="D294" s="31"/>
      <c r="E294" s="31"/>
      <c r="F294" s="31"/>
      <c r="G294" s="34"/>
      <c r="H294" s="34"/>
      <c r="I294" s="34"/>
      <c r="J294" s="34"/>
      <c r="K294" s="31"/>
      <c r="L294" s="31"/>
      <c r="M294" s="31"/>
      <c r="N294" s="31"/>
      <c r="O294" s="31"/>
      <c r="P294" s="35">
        <f>IF(AND(ISNUMBER(J294),'REFERENCIAS'!$Q$8=1),ROUND(J294,'REFERENCIAS'!$K$8),"")</f>
      </c>
      <c r="R294" s="29" t="str">
        <f>"ID:"&amp;SUBSTITUTE(SUBSTITUTE(SUBSTITUTE(SUBSTITUTE(UPPER(TRIM(B294&amp;"")),"!","!E"),"*","!A"),"?","!B"),"~","!C")</f>
        <v>ID:</v>
      </c>
      <c r="S294" s="29" t="str">
        <f>"ID:"&amp;SUBSTITUTE(SUBSTITUTE(SUBSTITUTE(SUBSTITUTE(UPPER(TRIM(C294&amp;"")),"!","!E"),"*","!A"),"?","!B"),"~","!C")</f>
        <v>ID:</v>
      </c>
    </row>
    <row r="295" ht="75" customHeight="1">
      <c r="B295" s="31"/>
      <c r="C295" s="31"/>
      <c r="D295" s="31"/>
      <c r="E295" s="31"/>
      <c r="F295" s="31"/>
      <c r="G295" s="34"/>
      <c r="H295" s="34"/>
      <c r="I295" s="34"/>
      <c r="J295" s="34"/>
      <c r="K295" s="31"/>
      <c r="L295" s="31"/>
      <c r="M295" s="31"/>
      <c r="N295" s="31"/>
      <c r="O295" s="31"/>
      <c r="P295" s="35">
        <f>IF(AND(ISNUMBER(J295),'REFERENCIAS'!$Q$8=1),ROUND(J295,'REFERENCIAS'!$K$8),"")</f>
      </c>
      <c r="R295" s="29" t="str">
        <f>"ID:"&amp;SUBSTITUTE(SUBSTITUTE(SUBSTITUTE(SUBSTITUTE(UPPER(TRIM(B295&amp;"")),"!","!E"),"*","!A"),"?","!B"),"~","!C")</f>
        <v>ID:</v>
      </c>
      <c r="S295" s="29" t="str">
        <f>"ID:"&amp;SUBSTITUTE(SUBSTITUTE(SUBSTITUTE(SUBSTITUTE(UPPER(TRIM(C295&amp;"")),"!","!E"),"*","!A"),"?","!B"),"~","!C")</f>
        <v>ID:</v>
      </c>
    </row>
    <row r="296" ht="75" customHeight="1">
      <c r="B296" s="31"/>
      <c r="C296" s="31"/>
      <c r="D296" s="31"/>
      <c r="E296" s="31"/>
      <c r="F296" s="31"/>
      <c r="G296" s="34"/>
      <c r="H296" s="34"/>
      <c r="I296" s="34"/>
      <c r="J296" s="34"/>
      <c r="K296" s="31"/>
      <c r="L296" s="31"/>
      <c r="M296" s="31"/>
      <c r="N296" s="31"/>
      <c r="O296" s="31"/>
      <c r="P296" s="35">
        <f>IF(AND(ISNUMBER(J296),'REFERENCIAS'!$Q$8=1),ROUND(J296,'REFERENCIAS'!$K$8),"")</f>
      </c>
      <c r="R296" s="29" t="str">
        <f>"ID:"&amp;SUBSTITUTE(SUBSTITUTE(SUBSTITUTE(SUBSTITUTE(UPPER(TRIM(B296&amp;"")),"!","!E"),"*","!A"),"?","!B"),"~","!C")</f>
        <v>ID:</v>
      </c>
      <c r="S296" s="29" t="str">
        <f>"ID:"&amp;SUBSTITUTE(SUBSTITUTE(SUBSTITUTE(SUBSTITUTE(UPPER(TRIM(C296&amp;"")),"!","!E"),"*","!A"),"?","!B"),"~","!C")</f>
        <v>ID:</v>
      </c>
    </row>
    <row r="297" ht="75" customHeight="1">
      <c r="B297" s="31"/>
      <c r="C297" s="31"/>
      <c r="D297" s="31"/>
      <c r="E297" s="31"/>
      <c r="F297" s="31"/>
      <c r="G297" s="34"/>
      <c r="H297" s="34"/>
      <c r="I297" s="34"/>
      <c r="J297" s="34"/>
      <c r="K297" s="31"/>
      <c r="L297" s="31"/>
      <c r="M297" s="31"/>
      <c r="N297" s="31"/>
      <c r="O297" s="31"/>
      <c r="P297" s="35">
        <f>IF(AND(ISNUMBER(J297),'REFERENCIAS'!$Q$8=1),ROUND(J297,'REFERENCIAS'!$K$8),"")</f>
      </c>
      <c r="R297" s="29" t="str">
        <f>"ID:"&amp;SUBSTITUTE(SUBSTITUTE(SUBSTITUTE(SUBSTITUTE(UPPER(TRIM(B297&amp;"")),"!","!E"),"*","!A"),"?","!B"),"~","!C")</f>
        <v>ID:</v>
      </c>
      <c r="S297" s="29" t="str">
        <f>"ID:"&amp;SUBSTITUTE(SUBSTITUTE(SUBSTITUTE(SUBSTITUTE(UPPER(TRIM(C297&amp;"")),"!","!E"),"*","!A"),"?","!B"),"~","!C")</f>
        <v>ID:</v>
      </c>
    </row>
    <row r="298" ht="75" customHeight="1">
      <c r="B298" s="31"/>
      <c r="C298" s="31"/>
      <c r="D298" s="31"/>
      <c r="E298" s="31"/>
      <c r="F298" s="31"/>
      <c r="G298" s="34"/>
      <c r="H298" s="34"/>
      <c r="I298" s="34"/>
      <c r="J298" s="34"/>
      <c r="K298" s="31"/>
      <c r="L298" s="31"/>
      <c r="M298" s="31"/>
      <c r="N298" s="31"/>
      <c r="O298" s="31"/>
      <c r="P298" s="35">
        <f>IF(AND(ISNUMBER(J298),'REFERENCIAS'!$Q$8=1),ROUND(J298,'REFERENCIAS'!$K$8),"")</f>
      </c>
      <c r="R298" s="29" t="str">
        <f>"ID:"&amp;SUBSTITUTE(SUBSTITUTE(SUBSTITUTE(SUBSTITUTE(UPPER(TRIM(B298&amp;"")),"!","!E"),"*","!A"),"?","!B"),"~","!C")</f>
        <v>ID:</v>
      </c>
      <c r="S298" s="29" t="str">
        <f>"ID:"&amp;SUBSTITUTE(SUBSTITUTE(SUBSTITUTE(SUBSTITUTE(UPPER(TRIM(C298&amp;"")),"!","!E"),"*","!A"),"?","!B"),"~","!C")</f>
        <v>ID:</v>
      </c>
    </row>
    <row r="299" ht="75" customHeight="1">
      <c r="B299" s="31"/>
      <c r="C299" s="31"/>
      <c r="D299" s="31"/>
      <c r="E299" s="31"/>
      <c r="F299" s="31"/>
      <c r="G299" s="34"/>
      <c r="H299" s="34"/>
      <c r="I299" s="34"/>
      <c r="J299" s="34"/>
      <c r="K299" s="31"/>
      <c r="L299" s="31"/>
      <c r="M299" s="31"/>
      <c r="N299" s="31"/>
      <c r="O299" s="31"/>
      <c r="P299" s="35">
        <f>IF(AND(ISNUMBER(J299),'REFERENCIAS'!$Q$8=1),ROUND(J299,'REFERENCIAS'!$K$8),"")</f>
      </c>
      <c r="R299" s="29" t="str">
        <f>"ID:"&amp;SUBSTITUTE(SUBSTITUTE(SUBSTITUTE(SUBSTITUTE(UPPER(TRIM(B299&amp;"")),"!","!E"),"*","!A"),"?","!B"),"~","!C")</f>
        <v>ID:</v>
      </c>
      <c r="S299" s="29" t="str">
        <f>"ID:"&amp;SUBSTITUTE(SUBSTITUTE(SUBSTITUTE(SUBSTITUTE(UPPER(TRIM(C299&amp;"")),"!","!E"),"*","!A"),"?","!B"),"~","!C")</f>
        <v>ID:</v>
      </c>
    </row>
    <row r="300" ht="75" customHeight="1">
      <c r="B300" s="31"/>
      <c r="C300" s="31"/>
      <c r="D300" s="31"/>
      <c r="E300" s="31"/>
      <c r="F300" s="31"/>
      <c r="G300" s="34"/>
      <c r="H300" s="34"/>
      <c r="I300" s="34"/>
      <c r="J300" s="34"/>
      <c r="K300" s="31"/>
      <c r="L300" s="31"/>
      <c r="M300" s="31"/>
      <c r="N300" s="31"/>
      <c r="O300" s="31"/>
      <c r="P300" s="35">
        <f>IF(AND(ISNUMBER(J300),'REFERENCIAS'!$Q$8=1),ROUND(J300,'REFERENCIAS'!$K$8),"")</f>
      </c>
      <c r="R300" s="29" t="str">
        <f>"ID:"&amp;SUBSTITUTE(SUBSTITUTE(SUBSTITUTE(SUBSTITUTE(UPPER(TRIM(B300&amp;"")),"!","!E"),"*","!A"),"?","!B"),"~","!C")</f>
        <v>ID:</v>
      </c>
      <c r="S300" s="29" t="str">
        <f>"ID:"&amp;SUBSTITUTE(SUBSTITUTE(SUBSTITUTE(SUBSTITUTE(UPPER(TRIM(C300&amp;"")),"!","!E"),"*","!A"),"?","!B"),"~","!C")</f>
        <v>ID:</v>
      </c>
    </row>
    <row r="301" ht="75" customHeight="1">
      <c r="B301" s="31"/>
      <c r="C301" s="31"/>
      <c r="D301" s="31"/>
      <c r="E301" s="31"/>
      <c r="F301" s="31"/>
      <c r="G301" s="34"/>
      <c r="H301" s="34"/>
      <c r="I301" s="34"/>
      <c r="J301" s="34"/>
      <c r="K301" s="31"/>
      <c r="L301" s="31"/>
      <c r="M301" s="31"/>
      <c r="N301" s="31"/>
      <c r="O301" s="31"/>
      <c r="P301" s="35">
        <f>IF(AND(ISNUMBER(J301),'REFERENCIAS'!$Q$8=1),ROUND(J301,'REFERENCIAS'!$K$8),"")</f>
      </c>
      <c r="R301" s="29" t="str">
        <f>"ID:"&amp;SUBSTITUTE(SUBSTITUTE(SUBSTITUTE(SUBSTITUTE(UPPER(TRIM(B301&amp;"")),"!","!E"),"*","!A"),"?","!B"),"~","!C")</f>
        <v>ID:</v>
      </c>
      <c r="S301" s="29" t="str">
        <f>"ID:"&amp;SUBSTITUTE(SUBSTITUTE(SUBSTITUTE(SUBSTITUTE(UPPER(TRIM(C301&amp;"")),"!","!E"),"*","!A"),"?","!B"),"~","!C")</f>
        <v>ID:</v>
      </c>
    </row>
    <row r="302" ht="75" customHeight="1">
      <c r="B302" s="31"/>
      <c r="C302" s="31"/>
      <c r="D302" s="31"/>
      <c r="E302" s="31"/>
      <c r="F302" s="31"/>
      <c r="G302" s="34"/>
      <c r="H302" s="34"/>
      <c r="I302" s="34"/>
      <c r="J302" s="34"/>
      <c r="K302" s="31"/>
      <c r="L302" s="31"/>
      <c r="M302" s="31"/>
      <c r="N302" s="31"/>
      <c r="O302" s="31"/>
      <c r="P302" s="35">
        <f>IF(AND(ISNUMBER(J302),'REFERENCIAS'!$Q$8=1),ROUND(J302,'REFERENCIAS'!$K$8),"")</f>
      </c>
      <c r="R302" s="29" t="str">
        <f>"ID:"&amp;SUBSTITUTE(SUBSTITUTE(SUBSTITUTE(SUBSTITUTE(UPPER(TRIM(B302&amp;"")),"!","!E"),"*","!A"),"?","!B"),"~","!C")</f>
        <v>ID:</v>
      </c>
      <c r="S302" s="29" t="str">
        <f>"ID:"&amp;SUBSTITUTE(SUBSTITUTE(SUBSTITUTE(SUBSTITUTE(UPPER(TRIM(C302&amp;"")),"!","!E"),"*","!A"),"?","!B"),"~","!C")</f>
        <v>ID:</v>
      </c>
    </row>
    <row r="303" ht="75" customHeight="1">
      <c r="B303" s="31"/>
      <c r="C303" s="31"/>
      <c r="D303" s="31"/>
      <c r="E303" s="31"/>
      <c r="F303" s="31"/>
      <c r="G303" s="34"/>
      <c r="H303" s="34"/>
      <c r="I303" s="34"/>
      <c r="J303" s="34"/>
      <c r="K303" s="31"/>
      <c r="L303" s="31"/>
      <c r="M303" s="31"/>
      <c r="N303" s="31"/>
      <c r="O303" s="31"/>
      <c r="P303" s="35">
        <f>IF(AND(ISNUMBER(J303),'REFERENCIAS'!$Q$8=1),ROUND(J303,'REFERENCIAS'!$K$8),"")</f>
      </c>
      <c r="R303" s="29" t="str">
        <f>"ID:"&amp;SUBSTITUTE(SUBSTITUTE(SUBSTITUTE(SUBSTITUTE(UPPER(TRIM(B303&amp;"")),"!","!E"),"*","!A"),"?","!B"),"~","!C")</f>
        <v>ID:</v>
      </c>
      <c r="S303" s="29" t="str">
        <f>"ID:"&amp;SUBSTITUTE(SUBSTITUTE(SUBSTITUTE(SUBSTITUTE(UPPER(TRIM(C303&amp;"")),"!","!E"),"*","!A"),"?","!B"),"~","!C")</f>
        <v>ID:</v>
      </c>
    </row>
    <row r="304" ht="75" customHeight="1">
      <c r="B304" s="31"/>
      <c r="C304" s="31"/>
      <c r="D304" s="31"/>
      <c r="E304" s="31"/>
      <c r="F304" s="31"/>
      <c r="G304" s="34"/>
      <c r="H304" s="34"/>
      <c r="I304" s="34"/>
      <c r="J304" s="34"/>
      <c r="K304" s="31"/>
      <c r="L304" s="31"/>
      <c r="M304" s="31"/>
      <c r="N304" s="31"/>
      <c r="O304" s="31"/>
      <c r="P304" s="35">
        <f>IF(AND(ISNUMBER(J304),'REFERENCIAS'!$Q$8=1),ROUND(J304,'REFERENCIAS'!$K$8),"")</f>
      </c>
      <c r="R304" s="29" t="str">
        <f>"ID:"&amp;SUBSTITUTE(SUBSTITUTE(SUBSTITUTE(SUBSTITUTE(UPPER(TRIM(B304&amp;"")),"!","!E"),"*","!A"),"?","!B"),"~","!C")</f>
        <v>ID:</v>
      </c>
      <c r="S304" s="29" t="str">
        <f>"ID:"&amp;SUBSTITUTE(SUBSTITUTE(SUBSTITUTE(SUBSTITUTE(UPPER(TRIM(C304&amp;"")),"!","!E"),"*","!A"),"?","!B"),"~","!C")</f>
        <v>ID:</v>
      </c>
    </row>
    <row r="305" ht="75" customHeight="1">
      <c r="B305" s="31"/>
      <c r="C305" s="31"/>
      <c r="D305" s="31"/>
      <c r="E305" s="31"/>
      <c r="F305" s="31"/>
      <c r="G305" s="34"/>
      <c r="H305" s="34"/>
      <c r="I305" s="34"/>
      <c r="J305" s="34"/>
      <c r="K305" s="31"/>
      <c r="L305" s="31"/>
      <c r="M305" s="31"/>
      <c r="N305" s="31"/>
      <c r="O305" s="31"/>
      <c r="P305" s="35">
        <f>IF(AND(ISNUMBER(J305),'REFERENCIAS'!$Q$8=1),ROUND(J305,'REFERENCIAS'!$K$8),"")</f>
      </c>
      <c r="R305" s="29" t="str">
        <f>"ID:"&amp;SUBSTITUTE(SUBSTITUTE(SUBSTITUTE(SUBSTITUTE(UPPER(TRIM(B305&amp;"")),"!","!E"),"*","!A"),"?","!B"),"~","!C")</f>
        <v>ID:</v>
      </c>
      <c r="S305" s="29" t="str">
        <f>"ID:"&amp;SUBSTITUTE(SUBSTITUTE(SUBSTITUTE(SUBSTITUTE(UPPER(TRIM(C305&amp;"")),"!","!E"),"*","!A"),"?","!B"),"~","!C")</f>
        <v>ID:</v>
      </c>
    </row>
    <row r="306" ht="75" customHeight="1">
      <c r="B306" s="31"/>
      <c r="C306" s="31"/>
      <c r="D306" s="31"/>
      <c r="E306" s="31"/>
      <c r="F306" s="31"/>
      <c r="G306" s="34"/>
      <c r="H306" s="34"/>
      <c r="I306" s="34"/>
      <c r="J306" s="34"/>
      <c r="K306" s="31"/>
      <c r="L306" s="31"/>
      <c r="M306" s="31"/>
      <c r="N306" s="31"/>
      <c r="O306" s="31"/>
      <c r="P306" s="35">
        <f>IF(AND(ISNUMBER(J306),'REFERENCIAS'!$Q$8=1),ROUND(J306,'REFERENCIAS'!$K$8),"")</f>
      </c>
      <c r="R306" s="29" t="str">
        <f>"ID:"&amp;SUBSTITUTE(SUBSTITUTE(SUBSTITUTE(SUBSTITUTE(UPPER(TRIM(B306&amp;"")),"!","!E"),"*","!A"),"?","!B"),"~","!C")</f>
        <v>ID:</v>
      </c>
      <c r="S306" s="29" t="str">
        <f>"ID:"&amp;SUBSTITUTE(SUBSTITUTE(SUBSTITUTE(SUBSTITUTE(UPPER(TRIM(C306&amp;"")),"!","!E"),"*","!A"),"?","!B"),"~","!C")</f>
        <v>ID:</v>
      </c>
    </row>
    <row r="307" ht="75" customHeight="1">
      <c r="B307" s="31"/>
      <c r="C307" s="31"/>
      <c r="D307" s="31"/>
      <c r="E307" s="31"/>
      <c r="F307" s="31"/>
      <c r="G307" s="34"/>
      <c r="H307" s="34"/>
      <c r="I307" s="34"/>
      <c r="J307" s="34"/>
      <c r="K307" s="31"/>
      <c r="L307" s="31"/>
      <c r="M307" s="31"/>
      <c r="N307" s="31"/>
      <c r="O307" s="31"/>
      <c r="P307" s="35">
        <f>IF(AND(ISNUMBER(J307),'REFERENCIAS'!$Q$8=1),ROUND(J307,'REFERENCIAS'!$K$8),"")</f>
      </c>
      <c r="R307" s="29" t="str">
        <f>"ID:"&amp;SUBSTITUTE(SUBSTITUTE(SUBSTITUTE(SUBSTITUTE(UPPER(TRIM(B307&amp;"")),"!","!E"),"*","!A"),"?","!B"),"~","!C")</f>
        <v>ID:</v>
      </c>
      <c r="S307" s="29" t="str">
        <f>"ID:"&amp;SUBSTITUTE(SUBSTITUTE(SUBSTITUTE(SUBSTITUTE(UPPER(TRIM(C307&amp;"")),"!","!E"),"*","!A"),"?","!B"),"~","!C")</f>
        <v>ID:</v>
      </c>
    </row>
    <row r="308" ht="75" customHeight="1">
      <c r="B308" s="31"/>
      <c r="C308" s="31"/>
      <c r="D308" s="31"/>
      <c r="E308" s="31"/>
      <c r="F308" s="31"/>
      <c r="G308" s="34"/>
      <c r="H308" s="34"/>
      <c r="I308" s="34"/>
      <c r="J308" s="34"/>
      <c r="K308" s="31"/>
      <c r="L308" s="31"/>
      <c r="M308" s="31"/>
      <c r="N308" s="31"/>
      <c r="O308" s="31"/>
      <c r="P308" s="35">
        <f>IF(AND(ISNUMBER(J308),'REFERENCIAS'!$Q$8=1),ROUND(J308,'REFERENCIAS'!$K$8),"")</f>
      </c>
      <c r="R308" s="29" t="str">
        <f>"ID:"&amp;SUBSTITUTE(SUBSTITUTE(SUBSTITUTE(SUBSTITUTE(UPPER(TRIM(B308&amp;"")),"!","!E"),"*","!A"),"?","!B"),"~","!C")</f>
        <v>ID:</v>
      </c>
      <c r="S308" s="29" t="str">
        <f>"ID:"&amp;SUBSTITUTE(SUBSTITUTE(SUBSTITUTE(SUBSTITUTE(UPPER(TRIM(C308&amp;"")),"!","!E"),"*","!A"),"?","!B"),"~","!C")</f>
        <v>ID:</v>
      </c>
    </row>
    <row r="309" ht="75" customHeight="1">
      <c r="B309" s="31"/>
      <c r="C309" s="31"/>
      <c r="D309" s="31"/>
      <c r="E309" s="31"/>
      <c r="F309" s="31"/>
      <c r="G309" s="34"/>
      <c r="H309" s="34"/>
      <c r="I309" s="34"/>
      <c r="J309" s="34"/>
      <c r="K309" s="31"/>
      <c r="L309" s="31"/>
      <c r="M309" s="31"/>
      <c r="N309" s="31"/>
      <c r="O309" s="31"/>
      <c r="P309" s="35">
        <f>IF(AND(ISNUMBER(J309),'REFERENCIAS'!$Q$8=1),ROUND(J309,'REFERENCIAS'!$K$8),"")</f>
      </c>
      <c r="R309" s="29" t="str">
        <f>"ID:"&amp;SUBSTITUTE(SUBSTITUTE(SUBSTITUTE(SUBSTITUTE(UPPER(TRIM(B309&amp;"")),"!","!E"),"*","!A"),"?","!B"),"~","!C")</f>
        <v>ID:</v>
      </c>
      <c r="S309" s="29" t="str">
        <f>"ID:"&amp;SUBSTITUTE(SUBSTITUTE(SUBSTITUTE(SUBSTITUTE(UPPER(TRIM(C309&amp;"")),"!","!E"),"*","!A"),"?","!B"),"~","!C")</f>
        <v>ID:</v>
      </c>
    </row>
    <row r="310" ht="75" customHeight="1">
      <c r="B310" s="31"/>
      <c r="C310" s="31"/>
      <c r="D310" s="31"/>
      <c r="E310" s="31"/>
      <c r="F310" s="31"/>
      <c r="G310" s="34"/>
      <c r="H310" s="34"/>
      <c r="I310" s="34"/>
      <c r="J310" s="34"/>
      <c r="K310" s="31"/>
      <c r="L310" s="31"/>
      <c r="M310" s="31"/>
      <c r="N310" s="31"/>
      <c r="O310" s="31"/>
      <c r="P310" s="35">
        <f>IF(AND(ISNUMBER(J310),'REFERENCIAS'!$Q$8=1),ROUND(J310,'REFERENCIAS'!$K$8),"")</f>
      </c>
      <c r="R310" s="29" t="str">
        <f>"ID:"&amp;SUBSTITUTE(SUBSTITUTE(SUBSTITUTE(SUBSTITUTE(UPPER(TRIM(B310&amp;"")),"!","!E"),"*","!A"),"?","!B"),"~","!C")</f>
        <v>ID:</v>
      </c>
      <c r="S310" s="29" t="str">
        <f>"ID:"&amp;SUBSTITUTE(SUBSTITUTE(SUBSTITUTE(SUBSTITUTE(UPPER(TRIM(C310&amp;"")),"!","!E"),"*","!A"),"?","!B"),"~","!C")</f>
        <v>ID:</v>
      </c>
    </row>
    <row r="311" ht="75" customHeight="1">
      <c r="B311" s="31"/>
      <c r="C311" s="31"/>
      <c r="D311" s="31"/>
      <c r="E311" s="31"/>
      <c r="F311" s="31"/>
      <c r="G311" s="34"/>
      <c r="H311" s="34"/>
      <c r="I311" s="34"/>
      <c r="J311" s="34"/>
      <c r="K311" s="31"/>
      <c r="L311" s="31"/>
      <c r="M311" s="31"/>
      <c r="N311" s="31"/>
      <c r="O311" s="31"/>
      <c r="P311" s="35">
        <f>IF(AND(ISNUMBER(J311),'REFERENCIAS'!$Q$8=1),ROUND(J311,'REFERENCIAS'!$K$8),"")</f>
      </c>
      <c r="R311" s="29" t="str">
        <f>"ID:"&amp;SUBSTITUTE(SUBSTITUTE(SUBSTITUTE(SUBSTITUTE(UPPER(TRIM(B311&amp;"")),"!","!E"),"*","!A"),"?","!B"),"~","!C")</f>
        <v>ID:</v>
      </c>
      <c r="S311" s="29" t="str">
        <f>"ID:"&amp;SUBSTITUTE(SUBSTITUTE(SUBSTITUTE(SUBSTITUTE(UPPER(TRIM(C311&amp;"")),"!","!E"),"*","!A"),"?","!B"),"~","!C")</f>
        <v>ID:</v>
      </c>
    </row>
    <row r="312" ht="75" customHeight="1">
      <c r="B312" s="31"/>
      <c r="C312" s="31"/>
      <c r="D312" s="31"/>
      <c r="E312" s="31"/>
      <c r="F312" s="31"/>
      <c r="G312" s="34"/>
      <c r="H312" s="34"/>
      <c r="I312" s="34"/>
      <c r="J312" s="34"/>
      <c r="K312" s="31"/>
      <c r="L312" s="31"/>
      <c r="M312" s="31"/>
      <c r="N312" s="31"/>
      <c r="O312" s="31"/>
      <c r="P312" s="35">
        <f>IF(AND(ISNUMBER(J312),'REFERENCIAS'!$Q$8=1),ROUND(J312,'REFERENCIAS'!$K$8),"")</f>
      </c>
      <c r="R312" s="29" t="str">
        <f>"ID:"&amp;SUBSTITUTE(SUBSTITUTE(SUBSTITUTE(SUBSTITUTE(UPPER(TRIM(B312&amp;"")),"!","!E"),"*","!A"),"?","!B"),"~","!C")</f>
        <v>ID:</v>
      </c>
      <c r="S312" s="29" t="str">
        <f>"ID:"&amp;SUBSTITUTE(SUBSTITUTE(SUBSTITUTE(SUBSTITUTE(UPPER(TRIM(C312&amp;"")),"!","!E"),"*","!A"),"?","!B"),"~","!C")</f>
        <v>ID:</v>
      </c>
    </row>
    <row r="313" ht="75" customHeight="1">
      <c r="B313" s="31"/>
      <c r="C313" s="31"/>
      <c r="D313" s="31"/>
      <c r="E313" s="31"/>
      <c r="F313" s="31"/>
      <c r="G313" s="34"/>
      <c r="H313" s="34"/>
      <c r="I313" s="34"/>
      <c r="J313" s="34"/>
      <c r="K313" s="31"/>
      <c r="L313" s="31"/>
      <c r="M313" s="31"/>
      <c r="N313" s="31"/>
      <c r="O313" s="31"/>
      <c r="P313" s="35">
        <f>IF(AND(ISNUMBER(J313),'REFERENCIAS'!$Q$8=1),ROUND(J313,'REFERENCIAS'!$K$8),"")</f>
      </c>
      <c r="R313" s="29" t="str">
        <f>"ID:"&amp;SUBSTITUTE(SUBSTITUTE(SUBSTITUTE(SUBSTITUTE(UPPER(TRIM(B313&amp;"")),"!","!E"),"*","!A"),"?","!B"),"~","!C")</f>
        <v>ID:</v>
      </c>
      <c r="S313" s="29" t="str">
        <f>"ID:"&amp;SUBSTITUTE(SUBSTITUTE(SUBSTITUTE(SUBSTITUTE(UPPER(TRIM(C313&amp;"")),"!","!E"),"*","!A"),"?","!B"),"~","!C")</f>
        <v>ID:</v>
      </c>
    </row>
    <row r="314" ht="75" customHeight="1">
      <c r="B314" s="31"/>
      <c r="C314" s="31"/>
      <c r="D314" s="31"/>
      <c r="E314" s="31"/>
      <c r="F314" s="31"/>
      <c r="G314" s="34"/>
      <c r="H314" s="34"/>
      <c r="I314" s="34"/>
      <c r="J314" s="34"/>
      <c r="K314" s="31"/>
      <c r="L314" s="31"/>
      <c r="M314" s="31"/>
      <c r="N314" s="31"/>
      <c r="O314" s="31"/>
      <c r="P314" s="35">
        <f>IF(AND(ISNUMBER(J314),'REFERENCIAS'!$Q$8=1),ROUND(J314,'REFERENCIAS'!$K$8),"")</f>
      </c>
      <c r="R314" s="29" t="str">
        <f>"ID:"&amp;SUBSTITUTE(SUBSTITUTE(SUBSTITUTE(SUBSTITUTE(UPPER(TRIM(B314&amp;"")),"!","!E"),"*","!A"),"?","!B"),"~","!C")</f>
        <v>ID:</v>
      </c>
      <c r="S314" s="29" t="str">
        <f>"ID:"&amp;SUBSTITUTE(SUBSTITUTE(SUBSTITUTE(SUBSTITUTE(UPPER(TRIM(C314&amp;"")),"!","!E"),"*","!A"),"?","!B"),"~","!C")</f>
        <v>ID:</v>
      </c>
    </row>
    <row r="315" ht="75" customHeight="1">
      <c r="B315" s="31"/>
      <c r="C315" s="31"/>
      <c r="D315" s="31"/>
      <c r="E315" s="31"/>
      <c r="F315" s="31"/>
      <c r="G315" s="34"/>
      <c r="H315" s="34"/>
      <c r="I315" s="34"/>
      <c r="J315" s="34"/>
      <c r="K315" s="31"/>
      <c r="L315" s="31"/>
      <c r="M315" s="31"/>
      <c r="N315" s="31"/>
      <c r="O315" s="31"/>
      <c r="P315" s="35">
        <f>IF(AND(ISNUMBER(J315),'REFERENCIAS'!$Q$8=1),ROUND(J315,'REFERENCIAS'!$K$8),"")</f>
      </c>
      <c r="R315" s="29" t="str">
        <f>"ID:"&amp;SUBSTITUTE(SUBSTITUTE(SUBSTITUTE(SUBSTITUTE(UPPER(TRIM(B315&amp;"")),"!","!E"),"*","!A"),"?","!B"),"~","!C")</f>
        <v>ID:</v>
      </c>
      <c r="S315" s="29" t="str">
        <f>"ID:"&amp;SUBSTITUTE(SUBSTITUTE(SUBSTITUTE(SUBSTITUTE(UPPER(TRIM(C315&amp;"")),"!","!E"),"*","!A"),"?","!B"),"~","!C")</f>
        <v>ID:</v>
      </c>
    </row>
    <row r="316" ht="75" customHeight="1">
      <c r="B316" s="31"/>
      <c r="C316" s="31"/>
      <c r="D316" s="31"/>
      <c r="E316" s="31"/>
      <c r="F316" s="31"/>
      <c r="G316" s="34"/>
      <c r="H316" s="34"/>
      <c r="I316" s="34"/>
      <c r="J316" s="34"/>
      <c r="K316" s="31"/>
      <c r="L316" s="31"/>
      <c r="M316" s="31"/>
      <c r="N316" s="31"/>
      <c r="O316" s="31"/>
      <c r="P316" s="35">
        <f>IF(AND(ISNUMBER(J316),'REFERENCIAS'!$Q$8=1),ROUND(J316,'REFERENCIAS'!$K$8),"")</f>
      </c>
      <c r="R316" s="29" t="str">
        <f>"ID:"&amp;SUBSTITUTE(SUBSTITUTE(SUBSTITUTE(SUBSTITUTE(UPPER(TRIM(B316&amp;"")),"!","!E"),"*","!A"),"?","!B"),"~","!C")</f>
        <v>ID:</v>
      </c>
      <c r="S316" s="29" t="str">
        <f>"ID:"&amp;SUBSTITUTE(SUBSTITUTE(SUBSTITUTE(SUBSTITUTE(UPPER(TRIM(C316&amp;"")),"!","!E"),"*","!A"),"?","!B"),"~","!C")</f>
        <v>ID:</v>
      </c>
    </row>
    <row r="317" ht="75" customHeight="1">
      <c r="B317" s="31"/>
      <c r="C317" s="31"/>
      <c r="D317" s="31"/>
      <c r="E317" s="31"/>
      <c r="F317" s="31"/>
      <c r="G317" s="34"/>
      <c r="H317" s="34"/>
      <c r="I317" s="34"/>
      <c r="J317" s="34"/>
      <c r="K317" s="31"/>
      <c r="L317" s="31"/>
      <c r="M317" s="31"/>
      <c r="N317" s="31"/>
      <c r="O317" s="31"/>
      <c r="P317" s="35">
        <f>IF(AND(ISNUMBER(J317),'REFERENCIAS'!$Q$8=1),ROUND(J317,'REFERENCIAS'!$K$8),"")</f>
      </c>
      <c r="R317" s="29" t="str">
        <f>"ID:"&amp;SUBSTITUTE(SUBSTITUTE(SUBSTITUTE(SUBSTITUTE(UPPER(TRIM(B317&amp;"")),"!","!E"),"*","!A"),"?","!B"),"~","!C")</f>
        <v>ID:</v>
      </c>
      <c r="S317" s="29" t="str">
        <f>"ID:"&amp;SUBSTITUTE(SUBSTITUTE(SUBSTITUTE(SUBSTITUTE(UPPER(TRIM(C317&amp;"")),"!","!E"),"*","!A"),"?","!B"),"~","!C")</f>
        <v>ID:</v>
      </c>
    </row>
    <row r="318" ht="75" customHeight="1">
      <c r="B318" s="31"/>
      <c r="C318" s="31"/>
      <c r="D318" s="31"/>
      <c r="E318" s="31"/>
      <c r="F318" s="31"/>
      <c r="G318" s="34"/>
      <c r="H318" s="34"/>
      <c r="I318" s="34"/>
      <c r="J318" s="34"/>
      <c r="K318" s="31"/>
      <c r="L318" s="31"/>
      <c r="M318" s="31"/>
      <c r="N318" s="31"/>
      <c r="O318" s="31"/>
      <c r="P318" s="35">
        <f>IF(AND(ISNUMBER(J318),'REFERENCIAS'!$Q$8=1),ROUND(J318,'REFERENCIAS'!$K$8),"")</f>
      </c>
      <c r="R318" s="29" t="str">
        <f>"ID:"&amp;SUBSTITUTE(SUBSTITUTE(SUBSTITUTE(SUBSTITUTE(UPPER(TRIM(B318&amp;"")),"!","!E"),"*","!A"),"?","!B"),"~","!C")</f>
        <v>ID:</v>
      </c>
      <c r="S318" s="29" t="str">
        <f>"ID:"&amp;SUBSTITUTE(SUBSTITUTE(SUBSTITUTE(SUBSTITUTE(UPPER(TRIM(C318&amp;"")),"!","!E"),"*","!A"),"?","!B"),"~","!C")</f>
        <v>ID:</v>
      </c>
    </row>
    <row r="319" ht="75" customHeight="1">
      <c r="B319" s="31"/>
      <c r="C319" s="31"/>
      <c r="D319" s="31"/>
      <c r="E319" s="31"/>
      <c r="F319" s="31"/>
      <c r="G319" s="34"/>
      <c r="H319" s="34"/>
      <c r="I319" s="34"/>
      <c r="J319" s="34"/>
      <c r="K319" s="31"/>
      <c r="L319" s="31"/>
      <c r="M319" s="31"/>
      <c r="N319" s="31"/>
      <c r="O319" s="31"/>
      <c r="P319" s="35">
        <f>IF(AND(ISNUMBER(J319),'REFERENCIAS'!$Q$8=1),ROUND(J319,'REFERENCIAS'!$K$8),"")</f>
      </c>
      <c r="R319" s="29" t="str">
        <f>"ID:"&amp;SUBSTITUTE(SUBSTITUTE(SUBSTITUTE(SUBSTITUTE(UPPER(TRIM(B319&amp;"")),"!","!E"),"*","!A"),"?","!B"),"~","!C")</f>
        <v>ID:</v>
      </c>
      <c r="S319" s="29" t="str">
        <f>"ID:"&amp;SUBSTITUTE(SUBSTITUTE(SUBSTITUTE(SUBSTITUTE(UPPER(TRIM(C319&amp;"")),"!","!E"),"*","!A"),"?","!B"),"~","!C")</f>
        <v>ID:</v>
      </c>
    </row>
    <row r="320" ht="75" customHeight="1">
      <c r="B320" s="31"/>
      <c r="C320" s="31"/>
      <c r="D320" s="31"/>
      <c r="E320" s="31"/>
      <c r="F320" s="31"/>
      <c r="G320" s="34"/>
      <c r="H320" s="34"/>
      <c r="I320" s="34"/>
      <c r="J320" s="34"/>
      <c r="K320" s="31"/>
      <c r="L320" s="31"/>
      <c r="M320" s="31"/>
      <c r="N320" s="31"/>
      <c r="O320" s="31"/>
      <c r="P320" s="35">
        <f>IF(AND(ISNUMBER(J320),'REFERENCIAS'!$Q$8=1),ROUND(J320,'REFERENCIAS'!$K$8),"")</f>
      </c>
      <c r="R320" s="29" t="str">
        <f>"ID:"&amp;SUBSTITUTE(SUBSTITUTE(SUBSTITUTE(SUBSTITUTE(UPPER(TRIM(B320&amp;"")),"!","!E"),"*","!A"),"?","!B"),"~","!C")</f>
        <v>ID:</v>
      </c>
      <c r="S320" s="29" t="str">
        <f>"ID:"&amp;SUBSTITUTE(SUBSTITUTE(SUBSTITUTE(SUBSTITUTE(UPPER(TRIM(C320&amp;"")),"!","!E"),"*","!A"),"?","!B"),"~","!C")</f>
        <v>ID:</v>
      </c>
    </row>
    <row r="321" ht="75" customHeight="1">
      <c r="B321" s="31"/>
      <c r="C321" s="31"/>
      <c r="D321" s="31"/>
      <c r="E321" s="31"/>
      <c r="F321" s="31"/>
      <c r="G321" s="34"/>
      <c r="H321" s="34"/>
      <c r="I321" s="34"/>
      <c r="J321" s="34"/>
      <c r="K321" s="31"/>
      <c r="L321" s="31"/>
      <c r="M321" s="31"/>
      <c r="N321" s="31"/>
      <c r="O321" s="31"/>
      <c r="P321" s="35">
        <f>IF(AND(ISNUMBER(J321),'REFERENCIAS'!$Q$8=1),ROUND(J321,'REFERENCIAS'!$K$8),"")</f>
      </c>
      <c r="R321" s="29" t="str">
        <f>"ID:"&amp;SUBSTITUTE(SUBSTITUTE(SUBSTITUTE(SUBSTITUTE(UPPER(TRIM(B321&amp;"")),"!","!E"),"*","!A"),"?","!B"),"~","!C")</f>
        <v>ID:</v>
      </c>
      <c r="S321" s="29" t="str">
        <f>"ID:"&amp;SUBSTITUTE(SUBSTITUTE(SUBSTITUTE(SUBSTITUTE(UPPER(TRIM(C321&amp;"")),"!","!E"),"*","!A"),"?","!B"),"~","!C")</f>
        <v>ID:</v>
      </c>
    </row>
    <row r="322" ht="75" customHeight="1">
      <c r="B322" s="31"/>
      <c r="C322" s="31"/>
      <c r="D322" s="31"/>
      <c r="E322" s="31"/>
      <c r="F322" s="31"/>
      <c r="G322" s="34"/>
      <c r="H322" s="34"/>
      <c r="I322" s="34"/>
      <c r="J322" s="34"/>
      <c r="K322" s="31"/>
      <c r="L322" s="31"/>
      <c r="M322" s="31"/>
      <c r="N322" s="31"/>
      <c r="O322" s="31"/>
      <c r="P322" s="35">
        <f>IF(AND(ISNUMBER(J322),'REFERENCIAS'!$Q$8=1),ROUND(J322,'REFERENCIAS'!$K$8),"")</f>
      </c>
      <c r="R322" s="29" t="str">
        <f>"ID:"&amp;SUBSTITUTE(SUBSTITUTE(SUBSTITUTE(SUBSTITUTE(UPPER(TRIM(B322&amp;"")),"!","!E"),"*","!A"),"?","!B"),"~","!C")</f>
        <v>ID:</v>
      </c>
      <c r="S322" s="29" t="str">
        <f>"ID:"&amp;SUBSTITUTE(SUBSTITUTE(SUBSTITUTE(SUBSTITUTE(UPPER(TRIM(C322&amp;"")),"!","!E"),"*","!A"),"?","!B"),"~","!C")</f>
        <v>ID:</v>
      </c>
    </row>
    <row r="323" ht="75" customHeight="1">
      <c r="B323" s="31"/>
      <c r="C323" s="31"/>
      <c r="D323" s="31"/>
      <c r="E323" s="31"/>
      <c r="F323" s="31"/>
      <c r="G323" s="34"/>
      <c r="H323" s="34"/>
      <c r="I323" s="34"/>
      <c r="J323" s="34"/>
      <c r="K323" s="31"/>
      <c r="L323" s="31"/>
      <c r="M323" s="31"/>
      <c r="N323" s="31"/>
      <c r="O323" s="31"/>
      <c r="P323" s="35">
        <f>IF(AND(ISNUMBER(J323),'REFERENCIAS'!$Q$8=1),ROUND(J323,'REFERENCIAS'!$K$8),"")</f>
      </c>
      <c r="R323" s="29" t="str">
        <f>"ID:"&amp;SUBSTITUTE(SUBSTITUTE(SUBSTITUTE(SUBSTITUTE(UPPER(TRIM(B323&amp;"")),"!","!E"),"*","!A"),"?","!B"),"~","!C")</f>
        <v>ID:</v>
      </c>
      <c r="S323" s="29" t="str">
        <f>"ID:"&amp;SUBSTITUTE(SUBSTITUTE(SUBSTITUTE(SUBSTITUTE(UPPER(TRIM(C323&amp;"")),"!","!E"),"*","!A"),"?","!B"),"~","!C")</f>
        <v>ID:</v>
      </c>
    </row>
    <row r="324" ht="75" customHeight="1">
      <c r="B324" s="31"/>
      <c r="C324" s="31"/>
      <c r="D324" s="31"/>
      <c r="E324" s="31"/>
      <c r="F324" s="31"/>
      <c r="G324" s="34"/>
      <c r="H324" s="34"/>
      <c r="I324" s="34"/>
      <c r="J324" s="34"/>
      <c r="K324" s="31"/>
      <c r="L324" s="31"/>
      <c r="M324" s="31"/>
      <c r="N324" s="31"/>
      <c r="O324" s="31"/>
      <c r="P324" s="35">
        <f>IF(AND(ISNUMBER(J324),'REFERENCIAS'!$Q$8=1),ROUND(J324,'REFERENCIAS'!$K$8),"")</f>
      </c>
      <c r="R324" s="29" t="str">
        <f>"ID:"&amp;SUBSTITUTE(SUBSTITUTE(SUBSTITUTE(SUBSTITUTE(UPPER(TRIM(B324&amp;"")),"!","!E"),"*","!A"),"?","!B"),"~","!C")</f>
        <v>ID:</v>
      </c>
      <c r="S324" s="29" t="str">
        <f>"ID:"&amp;SUBSTITUTE(SUBSTITUTE(SUBSTITUTE(SUBSTITUTE(UPPER(TRIM(C324&amp;"")),"!","!E"),"*","!A"),"?","!B"),"~","!C")</f>
        <v>ID:</v>
      </c>
    </row>
    <row r="325" ht="75" customHeight="1">
      <c r="B325" s="31"/>
      <c r="C325" s="31"/>
      <c r="D325" s="31"/>
      <c r="E325" s="31"/>
      <c r="F325" s="31"/>
      <c r="G325" s="34"/>
      <c r="H325" s="34"/>
      <c r="I325" s="34"/>
      <c r="J325" s="34"/>
      <c r="K325" s="31"/>
      <c r="L325" s="31"/>
      <c r="M325" s="31"/>
      <c r="N325" s="31"/>
      <c r="O325" s="31"/>
      <c r="P325" s="35">
        <f>IF(AND(ISNUMBER(J325),'REFERENCIAS'!$Q$8=1),ROUND(J325,'REFERENCIAS'!$K$8),"")</f>
      </c>
      <c r="R325" s="29" t="str">
        <f>"ID:"&amp;SUBSTITUTE(SUBSTITUTE(SUBSTITUTE(SUBSTITUTE(UPPER(TRIM(B325&amp;"")),"!","!E"),"*","!A"),"?","!B"),"~","!C")</f>
        <v>ID:</v>
      </c>
      <c r="S325" s="29" t="str">
        <f>"ID:"&amp;SUBSTITUTE(SUBSTITUTE(SUBSTITUTE(SUBSTITUTE(UPPER(TRIM(C325&amp;"")),"!","!E"),"*","!A"),"?","!B"),"~","!C")</f>
        <v>ID:</v>
      </c>
    </row>
    <row r="326" ht="75" customHeight="1">
      <c r="B326" s="31"/>
      <c r="C326" s="31"/>
      <c r="D326" s="31"/>
      <c r="E326" s="31"/>
      <c r="F326" s="31"/>
      <c r="G326" s="34"/>
      <c r="H326" s="34"/>
      <c r="I326" s="34"/>
      <c r="J326" s="34"/>
      <c r="K326" s="31"/>
      <c r="L326" s="31"/>
      <c r="M326" s="31"/>
      <c r="N326" s="31"/>
      <c r="O326" s="31"/>
      <c r="P326" s="35">
        <f>IF(AND(ISNUMBER(J326),'REFERENCIAS'!$Q$8=1),ROUND(J326,'REFERENCIAS'!$K$8),"")</f>
      </c>
      <c r="R326" s="29" t="str">
        <f>"ID:"&amp;SUBSTITUTE(SUBSTITUTE(SUBSTITUTE(SUBSTITUTE(UPPER(TRIM(B326&amp;"")),"!","!E"),"*","!A"),"?","!B"),"~","!C")</f>
        <v>ID:</v>
      </c>
      <c r="S326" s="29" t="str">
        <f>"ID:"&amp;SUBSTITUTE(SUBSTITUTE(SUBSTITUTE(SUBSTITUTE(UPPER(TRIM(C326&amp;"")),"!","!E"),"*","!A"),"?","!B"),"~","!C")</f>
        <v>ID:</v>
      </c>
    </row>
    <row r="327" ht="75" customHeight="1">
      <c r="B327" s="31"/>
      <c r="C327" s="31"/>
      <c r="D327" s="31"/>
      <c r="E327" s="31"/>
      <c r="F327" s="31"/>
      <c r="G327" s="34"/>
      <c r="H327" s="34"/>
      <c r="I327" s="34"/>
      <c r="J327" s="34"/>
      <c r="K327" s="31"/>
      <c r="L327" s="31"/>
      <c r="M327" s="31"/>
      <c r="N327" s="31"/>
      <c r="O327" s="31"/>
      <c r="P327" s="35">
        <f>IF(AND(ISNUMBER(J327),'REFERENCIAS'!$Q$8=1),ROUND(J327,'REFERENCIAS'!$K$8),"")</f>
      </c>
      <c r="R327" s="29" t="str">
        <f>"ID:"&amp;SUBSTITUTE(SUBSTITUTE(SUBSTITUTE(SUBSTITUTE(UPPER(TRIM(B327&amp;"")),"!","!E"),"*","!A"),"?","!B"),"~","!C")</f>
        <v>ID:</v>
      </c>
      <c r="S327" s="29" t="str">
        <f>"ID:"&amp;SUBSTITUTE(SUBSTITUTE(SUBSTITUTE(SUBSTITUTE(UPPER(TRIM(C327&amp;"")),"!","!E"),"*","!A"),"?","!B"),"~","!C")</f>
        <v>ID:</v>
      </c>
    </row>
    <row r="328" ht="75" customHeight="1">
      <c r="B328" s="31"/>
      <c r="C328" s="31"/>
      <c r="D328" s="31"/>
      <c r="E328" s="31"/>
      <c r="F328" s="31"/>
      <c r="G328" s="34"/>
      <c r="H328" s="34"/>
      <c r="I328" s="34"/>
      <c r="J328" s="34"/>
      <c r="K328" s="31"/>
      <c r="L328" s="31"/>
      <c r="M328" s="31"/>
      <c r="N328" s="31"/>
      <c r="O328" s="31"/>
      <c r="P328" s="35">
        <f>IF(AND(ISNUMBER(J328),'REFERENCIAS'!$Q$8=1),ROUND(J328,'REFERENCIAS'!$K$8),"")</f>
      </c>
      <c r="R328" s="29" t="str">
        <f>"ID:"&amp;SUBSTITUTE(SUBSTITUTE(SUBSTITUTE(SUBSTITUTE(UPPER(TRIM(B328&amp;"")),"!","!E"),"*","!A"),"?","!B"),"~","!C")</f>
        <v>ID:</v>
      </c>
      <c r="S328" s="29" t="str">
        <f>"ID:"&amp;SUBSTITUTE(SUBSTITUTE(SUBSTITUTE(SUBSTITUTE(UPPER(TRIM(C328&amp;"")),"!","!E"),"*","!A"),"?","!B"),"~","!C")</f>
        <v>ID:</v>
      </c>
    </row>
    <row r="329" ht="75" customHeight="1">
      <c r="B329" s="31"/>
      <c r="C329" s="31"/>
      <c r="D329" s="31"/>
      <c r="E329" s="31"/>
      <c r="F329" s="31"/>
      <c r="G329" s="34"/>
      <c r="H329" s="34"/>
      <c r="I329" s="34"/>
      <c r="J329" s="34"/>
      <c r="K329" s="31"/>
      <c r="L329" s="31"/>
      <c r="M329" s="31"/>
      <c r="N329" s="31"/>
      <c r="O329" s="31"/>
      <c r="P329" s="35">
        <f>IF(AND(ISNUMBER(J329),'REFERENCIAS'!$Q$8=1),ROUND(J329,'REFERENCIAS'!$K$8),"")</f>
      </c>
      <c r="R329" s="29" t="str">
        <f>"ID:"&amp;SUBSTITUTE(SUBSTITUTE(SUBSTITUTE(SUBSTITUTE(UPPER(TRIM(B329&amp;"")),"!","!E"),"*","!A"),"?","!B"),"~","!C")</f>
        <v>ID:</v>
      </c>
      <c r="S329" s="29" t="str">
        <f>"ID:"&amp;SUBSTITUTE(SUBSTITUTE(SUBSTITUTE(SUBSTITUTE(UPPER(TRIM(C329&amp;"")),"!","!E"),"*","!A"),"?","!B"),"~","!C")</f>
        <v>ID:</v>
      </c>
    </row>
    <row r="330" ht="75" customHeight="1">
      <c r="B330" s="31"/>
      <c r="C330" s="31"/>
      <c r="D330" s="31"/>
      <c r="E330" s="31"/>
      <c r="F330" s="31"/>
      <c r="G330" s="34"/>
      <c r="H330" s="34"/>
      <c r="I330" s="34"/>
      <c r="J330" s="34"/>
      <c r="K330" s="31"/>
      <c r="L330" s="31"/>
      <c r="M330" s="31"/>
      <c r="N330" s="31"/>
      <c r="O330" s="31"/>
      <c r="P330" s="35">
        <f>IF(AND(ISNUMBER(J330),'REFERENCIAS'!$Q$8=1),ROUND(J330,'REFERENCIAS'!$K$8),"")</f>
      </c>
      <c r="R330" s="29" t="str">
        <f>"ID:"&amp;SUBSTITUTE(SUBSTITUTE(SUBSTITUTE(SUBSTITUTE(UPPER(TRIM(B330&amp;"")),"!","!E"),"*","!A"),"?","!B"),"~","!C")</f>
        <v>ID:</v>
      </c>
      <c r="S330" s="29" t="str">
        <f>"ID:"&amp;SUBSTITUTE(SUBSTITUTE(SUBSTITUTE(SUBSTITUTE(UPPER(TRIM(C330&amp;"")),"!","!E"),"*","!A"),"?","!B"),"~","!C")</f>
        <v>ID:</v>
      </c>
    </row>
    <row r="331" ht="75" customHeight="1">
      <c r="B331" s="31"/>
      <c r="C331" s="31"/>
      <c r="D331" s="31"/>
      <c r="E331" s="31"/>
      <c r="F331" s="31"/>
      <c r="G331" s="34"/>
      <c r="H331" s="34"/>
      <c r="I331" s="34"/>
      <c r="J331" s="34"/>
      <c r="K331" s="31"/>
      <c r="L331" s="31"/>
      <c r="M331" s="31"/>
      <c r="N331" s="31"/>
      <c r="O331" s="31"/>
      <c r="P331" s="35">
        <f>IF(AND(ISNUMBER(J331),'REFERENCIAS'!$Q$8=1),ROUND(J331,'REFERENCIAS'!$K$8),"")</f>
      </c>
      <c r="R331" s="29" t="str">
        <f>"ID:"&amp;SUBSTITUTE(SUBSTITUTE(SUBSTITUTE(SUBSTITUTE(UPPER(TRIM(B331&amp;"")),"!","!E"),"*","!A"),"?","!B"),"~","!C")</f>
        <v>ID:</v>
      </c>
      <c r="S331" s="29" t="str">
        <f>"ID:"&amp;SUBSTITUTE(SUBSTITUTE(SUBSTITUTE(SUBSTITUTE(UPPER(TRIM(C331&amp;"")),"!","!E"),"*","!A"),"?","!B"),"~","!C")</f>
        <v>ID:</v>
      </c>
    </row>
    <row r="332" ht="75" customHeight="1">
      <c r="B332" s="31"/>
      <c r="C332" s="31"/>
      <c r="D332" s="31"/>
      <c r="E332" s="31"/>
      <c r="F332" s="31"/>
      <c r="G332" s="34"/>
      <c r="H332" s="34"/>
      <c r="I332" s="34"/>
      <c r="J332" s="34"/>
      <c r="K332" s="31"/>
      <c r="L332" s="31"/>
      <c r="M332" s="31"/>
      <c r="N332" s="31"/>
      <c r="O332" s="31"/>
      <c r="P332" s="35">
        <f>IF(AND(ISNUMBER(J332),'REFERENCIAS'!$Q$8=1),ROUND(J332,'REFERENCIAS'!$K$8),"")</f>
      </c>
      <c r="R332" s="29" t="str">
        <f>"ID:"&amp;SUBSTITUTE(SUBSTITUTE(SUBSTITUTE(SUBSTITUTE(UPPER(TRIM(B332&amp;"")),"!","!E"),"*","!A"),"?","!B"),"~","!C")</f>
        <v>ID:</v>
      </c>
      <c r="S332" s="29" t="str">
        <f>"ID:"&amp;SUBSTITUTE(SUBSTITUTE(SUBSTITUTE(SUBSTITUTE(UPPER(TRIM(C332&amp;"")),"!","!E"),"*","!A"),"?","!B"),"~","!C")</f>
        <v>ID:</v>
      </c>
    </row>
    <row r="333" ht="75" customHeight="1">
      <c r="B333" s="31"/>
      <c r="C333" s="31"/>
      <c r="D333" s="31"/>
      <c r="E333" s="31"/>
      <c r="F333" s="31"/>
      <c r="G333" s="34"/>
      <c r="H333" s="34"/>
      <c r="I333" s="34"/>
      <c r="J333" s="34"/>
      <c r="K333" s="31"/>
      <c r="L333" s="31"/>
      <c r="M333" s="31"/>
      <c r="N333" s="31"/>
      <c r="O333" s="31"/>
      <c r="P333" s="35">
        <f>IF(AND(ISNUMBER(J333),'REFERENCIAS'!$Q$8=1),ROUND(J333,'REFERENCIAS'!$K$8),"")</f>
      </c>
      <c r="R333" s="29" t="str">
        <f>"ID:"&amp;SUBSTITUTE(SUBSTITUTE(SUBSTITUTE(SUBSTITUTE(UPPER(TRIM(B333&amp;"")),"!","!E"),"*","!A"),"?","!B"),"~","!C")</f>
        <v>ID:</v>
      </c>
      <c r="S333" s="29" t="str">
        <f>"ID:"&amp;SUBSTITUTE(SUBSTITUTE(SUBSTITUTE(SUBSTITUTE(UPPER(TRIM(C333&amp;"")),"!","!E"),"*","!A"),"?","!B"),"~","!C")</f>
        <v>ID:</v>
      </c>
    </row>
    <row r="334" ht="75" customHeight="1">
      <c r="B334" s="31"/>
      <c r="C334" s="31"/>
      <c r="D334" s="31"/>
      <c r="E334" s="31"/>
      <c r="F334" s="31"/>
      <c r="G334" s="34"/>
      <c r="H334" s="34"/>
      <c r="I334" s="34"/>
      <c r="J334" s="34"/>
      <c r="K334" s="31"/>
      <c r="L334" s="31"/>
      <c r="M334" s="31"/>
      <c r="N334" s="31"/>
      <c r="O334" s="31"/>
      <c r="P334" s="35">
        <f>IF(AND(ISNUMBER(J334),'REFERENCIAS'!$Q$8=1),ROUND(J334,'REFERENCIAS'!$K$8),"")</f>
      </c>
      <c r="R334" s="29" t="str">
        <f>"ID:"&amp;SUBSTITUTE(SUBSTITUTE(SUBSTITUTE(SUBSTITUTE(UPPER(TRIM(B334&amp;"")),"!","!E"),"*","!A"),"?","!B"),"~","!C")</f>
        <v>ID:</v>
      </c>
      <c r="S334" s="29" t="str">
        <f>"ID:"&amp;SUBSTITUTE(SUBSTITUTE(SUBSTITUTE(SUBSTITUTE(UPPER(TRIM(C334&amp;"")),"!","!E"),"*","!A"),"?","!B"),"~","!C")</f>
        <v>ID:</v>
      </c>
    </row>
    <row r="335" ht="75" customHeight="1">
      <c r="B335" s="31"/>
      <c r="C335" s="31"/>
      <c r="D335" s="31"/>
      <c r="E335" s="31"/>
      <c r="F335" s="31"/>
      <c r="G335" s="34"/>
      <c r="H335" s="34"/>
      <c r="I335" s="34"/>
      <c r="J335" s="34"/>
      <c r="K335" s="31"/>
      <c r="L335" s="31"/>
      <c r="M335" s="31"/>
      <c r="N335" s="31"/>
      <c r="O335" s="31"/>
      <c r="P335" s="35">
        <f>IF(AND(ISNUMBER(J335),'REFERENCIAS'!$Q$8=1),ROUND(J335,'REFERENCIAS'!$K$8),"")</f>
      </c>
      <c r="R335" s="29" t="str">
        <f>"ID:"&amp;SUBSTITUTE(SUBSTITUTE(SUBSTITUTE(SUBSTITUTE(UPPER(TRIM(B335&amp;"")),"!","!E"),"*","!A"),"?","!B"),"~","!C")</f>
        <v>ID:</v>
      </c>
      <c r="S335" s="29" t="str">
        <f>"ID:"&amp;SUBSTITUTE(SUBSTITUTE(SUBSTITUTE(SUBSTITUTE(UPPER(TRIM(C335&amp;"")),"!","!E"),"*","!A"),"?","!B"),"~","!C")</f>
        <v>ID:</v>
      </c>
    </row>
    <row r="336" ht="75" customHeight="1">
      <c r="B336" s="31"/>
      <c r="C336" s="31"/>
      <c r="D336" s="31"/>
      <c r="E336" s="31"/>
      <c r="F336" s="31"/>
      <c r="G336" s="34"/>
      <c r="H336" s="34"/>
      <c r="I336" s="34"/>
      <c r="J336" s="34"/>
      <c r="K336" s="31"/>
      <c r="L336" s="31"/>
      <c r="M336" s="31"/>
      <c r="N336" s="31"/>
      <c r="O336" s="31"/>
      <c r="P336" s="35">
        <f>IF(AND(ISNUMBER(J336),'REFERENCIAS'!$Q$8=1),ROUND(J336,'REFERENCIAS'!$K$8),"")</f>
      </c>
      <c r="R336" s="29" t="str">
        <f>"ID:"&amp;SUBSTITUTE(SUBSTITUTE(SUBSTITUTE(SUBSTITUTE(UPPER(TRIM(B336&amp;"")),"!","!E"),"*","!A"),"?","!B"),"~","!C")</f>
        <v>ID:</v>
      </c>
      <c r="S336" s="29" t="str">
        <f>"ID:"&amp;SUBSTITUTE(SUBSTITUTE(SUBSTITUTE(SUBSTITUTE(UPPER(TRIM(C336&amp;"")),"!","!E"),"*","!A"),"?","!B"),"~","!C")</f>
        <v>ID:</v>
      </c>
    </row>
    <row r="337" ht="75" customHeight="1">
      <c r="B337" s="31"/>
      <c r="C337" s="31"/>
      <c r="D337" s="31"/>
      <c r="E337" s="31"/>
      <c r="F337" s="31"/>
      <c r="G337" s="34"/>
      <c r="H337" s="34"/>
      <c r="I337" s="34"/>
      <c r="J337" s="34"/>
      <c r="K337" s="31"/>
      <c r="L337" s="31"/>
      <c r="M337" s="31"/>
      <c r="N337" s="31"/>
      <c r="O337" s="31"/>
      <c r="P337" s="35">
        <f>IF(AND(ISNUMBER(J337),'REFERENCIAS'!$Q$8=1),ROUND(J337,'REFERENCIAS'!$K$8),"")</f>
      </c>
      <c r="R337" s="29" t="str">
        <f>"ID:"&amp;SUBSTITUTE(SUBSTITUTE(SUBSTITUTE(SUBSTITUTE(UPPER(TRIM(B337&amp;"")),"!","!E"),"*","!A"),"?","!B"),"~","!C")</f>
        <v>ID:</v>
      </c>
      <c r="S337" s="29" t="str">
        <f>"ID:"&amp;SUBSTITUTE(SUBSTITUTE(SUBSTITUTE(SUBSTITUTE(UPPER(TRIM(C337&amp;"")),"!","!E"),"*","!A"),"?","!B"),"~","!C")</f>
        <v>ID:</v>
      </c>
    </row>
    <row r="338" ht="75" customHeight="1">
      <c r="B338" s="31"/>
      <c r="C338" s="31"/>
      <c r="D338" s="31"/>
      <c r="E338" s="31"/>
      <c r="F338" s="31"/>
      <c r="G338" s="34"/>
      <c r="H338" s="34"/>
      <c r="I338" s="34"/>
      <c r="J338" s="34"/>
      <c r="K338" s="31"/>
      <c r="L338" s="31"/>
      <c r="M338" s="31"/>
      <c r="N338" s="31"/>
      <c r="O338" s="31"/>
      <c r="P338" s="35">
        <f>IF(AND(ISNUMBER(J338),'REFERENCIAS'!$Q$8=1),ROUND(J338,'REFERENCIAS'!$K$8),"")</f>
      </c>
      <c r="R338" s="29" t="str">
        <f>"ID:"&amp;SUBSTITUTE(SUBSTITUTE(SUBSTITUTE(SUBSTITUTE(UPPER(TRIM(B338&amp;"")),"!","!E"),"*","!A"),"?","!B"),"~","!C")</f>
        <v>ID:</v>
      </c>
      <c r="S338" s="29" t="str">
        <f>"ID:"&amp;SUBSTITUTE(SUBSTITUTE(SUBSTITUTE(SUBSTITUTE(UPPER(TRIM(C338&amp;"")),"!","!E"),"*","!A"),"?","!B"),"~","!C")</f>
        <v>ID:</v>
      </c>
    </row>
    <row r="339" ht="75" customHeight="1">
      <c r="B339" s="31"/>
      <c r="C339" s="31"/>
      <c r="D339" s="31"/>
      <c r="E339" s="31"/>
      <c r="F339" s="31"/>
      <c r="G339" s="34"/>
      <c r="H339" s="34"/>
      <c r="I339" s="34"/>
      <c r="J339" s="34"/>
      <c r="K339" s="31"/>
      <c r="L339" s="31"/>
      <c r="M339" s="31"/>
      <c r="N339" s="31"/>
      <c r="O339" s="31"/>
      <c r="P339" s="35">
        <f>IF(AND(ISNUMBER(J339),'REFERENCIAS'!$Q$8=1),ROUND(J339,'REFERENCIAS'!$K$8),"")</f>
      </c>
      <c r="R339" s="29" t="str">
        <f>"ID:"&amp;SUBSTITUTE(SUBSTITUTE(SUBSTITUTE(SUBSTITUTE(UPPER(TRIM(B339&amp;"")),"!","!E"),"*","!A"),"?","!B"),"~","!C")</f>
        <v>ID:</v>
      </c>
      <c r="S339" s="29" t="str">
        <f>"ID:"&amp;SUBSTITUTE(SUBSTITUTE(SUBSTITUTE(SUBSTITUTE(UPPER(TRIM(C339&amp;"")),"!","!E"),"*","!A"),"?","!B"),"~","!C")</f>
        <v>ID:</v>
      </c>
    </row>
    <row r="340" ht="75" customHeight="1">
      <c r="B340" s="31"/>
      <c r="C340" s="31"/>
      <c r="D340" s="31"/>
      <c r="E340" s="31"/>
      <c r="F340" s="31"/>
      <c r="G340" s="34"/>
      <c r="H340" s="34"/>
      <c r="I340" s="34"/>
      <c r="J340" s="34"/>
      <c r="K340" s="31"/>
      <c r="L340" s="31"/>
      <c r="M340" s="31"/>
      <c r="N340" s="31"/>
      <c r="O340" s="31"/>
      <c r="P340" s="35">
        <f>IF(AND(ISNUMBER(J340),'REFERENCIAS'!$Q$8=1),ROUND(J340,'REFERENCIAS'!$K$8),"")</f>
      </c>
      <c r="R340" s="29" t="str">
        <f>"ID:"&amp;SUBSTITUTE(SUBSTITUTE(SUBSTITUTE(SUBSTITUTE(UPPER(TRIM(B340&amp;"")),"!","!E"),"*","!A"),"?","!B"),"~","!C")</f>
        <v>ID:</v>
      </c>
      <c r="S340" s="29" t="str">
        <f>"ID:"&amp;SUBSTITUTE(SUBSTITUTE(SUBSTITUTE(SUBSTITUTE(UPPER(TRIM(C340&amp;"")),"!","!E"),"*","!A"),"?","!B"),"~","!C")</f>
        <v>ID:</v>
      </c>
    </row>
    <row r="341" ht="75" customHeight="1">
      <c r="B341" s="31"/>
      <c r="C341" s="31"/>
      <c r="D341" s="31"/>
      <c r="E341" s="31"/>
      <c r="F341" s="31"/>
      <c r="G341" s="34"/>
      <c r="H341" s="34"/>
      <c r="I341" s="34"/>
      <c r="J341" s="34"/>
      <c r="K341" s="31"/>
      <c r="L341" s="31"/>
      <c r="M341" s="31"/>
      <c r="N341" s="31"/>
      <c r="O341" s="31"/>
      <c r="P341" s="35">
        <f>IF(AND(ISNUMBER(J341),'REFERENCIAS'!$Q$8=1),ROUND(J341,'REFERENCIAS'!$K$8),"")</f>
      </c>
      <c r="R341" s="29" t="str">
        <f>"ID:"&amp;SUBSTITUTE(SUBSTITUTE(SUBSTITUTE(SUBSTITUTE(UPPER(TRIM(B341&amp;"")),"!","!E"),"*","!A"),"?","!B"),"~","!C")</f>
        <v>ID:</v>
      </c>
      <c r="S341" s="29" t="str">
        <f>"ID:"&amp;SUBSTITUTE(SUBSTITUTE(SUBSTITUTE(SUBSTITUTE(UPPER(TRIM(C341&amp;"")),"!","!E"),"*","!A"),"?","!B"),"~","!C")</f>
        <v>ID:</v>
      </c>
    </row>
    <row r="342" ht="75" customHeight="1">
      <c r="B342" s="31"/>
      <c r="C342" s="31"/>
      <c r="D342" s="31"/>
      <c r="E342" s="31"/>
      <c r="F342" s="31"/>
      <c r="G342" s="34"/>
      <c r="H342" s="34"/>
      <c r="I342" s="34"/>
      <c r="J342" s="34"/>
      <c r="K342" s="31"/>
      <c r="L342" s="31"/>
      <c r="M342" s="31"/>
      <c r="N342" s="31"/>
      <c r="O342" s="31"/>
      <c r="P342" s="35">
        <f>IF(AND(ISNUMBER(J342),'REFERENCIAS'!$Q$8=1),ROUND(J342,'REFERENCIAS'!$K$8),"")</f>
      </c>
      <c r="R342" s="29" t="str">
        <f>"ID:"&amp;SUBSTITUTE(SUBSTITUTE(SUBSTITUTE(SUBSTITUTE(UPPER(TRIM(B342&amp;"")),"!","!E"),"*","!A"),"?","!B"),"~","!C")</f>
        <v>ID:</v>
      </c>
      <c r="S342" s="29" t="str">
        <f>"ID:"&amp;SUBSTITUTE(SUBSTITUTE(SUBSTITUTE(SUBSTITUTE(UPPER(TRIM(C342&amp;"")),"!","!E"),"*","!A"),"?","!B"),"~","!C")</f>
        <v>ID:</v>
      </c>
    </row>
    <row r="343" ht="75" customHeight="1">
      <c r="B343" s="31"/>
      <c r="C343" s="31"/>
      <c r="D343" s="31"/>
      <c r="E343" s="31"/>
      <c r="F343" s="31"/>
      <c r="G343" s="34"/>
      <c r="H343" s="34"/>
      <c r="I343" s="34"/>
      <c r="J343" s="34"/>
      <c r="K343" s="31"/>
      <c r="L343" s="31"/>
      <c r="M343" s="31"/>
      <c r="N343" s="31"/>
      <c r="O343" s="31"/>
      <c r="P343" s="35">
        <f>IF(AND(ISNUMBER(J343),'REFERENCIAS'!$Q$8=1),ROUND(J343,'REFERENCIAS'!$K$8),"")</f>
      </c>
      <c r="R343" s="29" t="str">
        <f>"ID:"&amp;SUBSTITUTE(SUBSTITUTE(SUBSTITUTE(SUBSTITUTE(UPPER(TRIM(B343&amp;"")),"!","!E"),"*","!A"),"?","!B"),"~","!C")</f>
        <v>ID:</v>
      </c>
      <c r="S343" s="29" t="str">
        <f>"ID:"&amp;SUBSTITUTE(SUBSTITUTE(SUBSTITUTE(SUBSTITUTE(UPPER(TRIM(C343&amp;"")),"!","!E"),"*","!A"),"?","!B"),"~","!C")</f>
        <v>ID:</v>
      </c>
    </row>
    <row r="344" ht="75" customHeight="1">
      <c r="B344" s="31"/>
      <c r="C344" s="31"/>
      <c r="D344" s="31"/>
      <c r="E344" s="31"/>
      <c r="F344" s="31"/>
      <c r="G344" s="34"/>
      <c r="H344" s="34"/>
      <c r="I344" s="34"/>
      <c r="J344" s="34"/>
      <c r="K344" s="31"/>
      <c r="L344" s="31"/>
      <c r="M344" s="31"/>
      <c r="N344" s="31"/>
      <c r="O344" s="31"/>
      <c r="P344" s="35">
        <f>IF(AND(ISNUMBER(J344),'REFERENCIAS'!$Q$8=1),ROUND(J344,'REFERENCIAS'!$K$8),"")</f>
      </c>
      <c r="R344" s="29" t="str">
        <f>"ID:"&amp;SUBSTITUTE(SUBSTITUTE(SUBSTITUTE(SUBSTITUTE(UPPER(TRIM(B344&amp;"")),"!","!E"),"*","!A"),"?","!B"),"~","!C")</f>
        <v>ID:</v>
      </c>
      <c r="S344" s="29" t="str">
        <f>"ID:"&amp;SUBSTITUTE(SUBSTITUTE(SUBSTITUTE(SUBSTITUTE(UPPER(TRIM(C344&amp;"")),"!","!E"),"*","!A"),"?","!B"),"~","!C")</f>
        <v>ID:</v>
      </c>
    </row>
    <row r="345" ht="75" customHeight="1">
      <c r="B345" s="31"/>
      <c r="C345" s="31"/>
      <c r="D345" s="31"/>
      <c r="E345" s="31"/>
      <c r="F345" s="31"/>
      <c r="G345" s="34"/>
      <c r="H345" s="34"/>
      <c r="I345" s="34"/>
      <c r="J345" s="34"/>
      <c r="K345" s="31"/>
      <c r="L345" s="31"/>
      <c r="M345" s="31"/>
      <c r="N345" s="31"/>
      <c r="O345" s="31"/>
      <c r="P345" s="35">
        <f>IF(AND(ISNUMBER(J345),'REFERENCIAS'!$Q$8=1),ROUND(J345,'REFERENCIAS'!$K$8),"")</f>
      </c>
      <c r="R345" s="29" t="str">
        <f>"ID:"&amp;SUBSTITUTE(SUBSTITUTE(SUBSTITUTE(SUBSTITUTE(UPPER(TRIM(B345&amp;"")),"!","!E"),"*","!A"),"?","!B"),"~","!C")</f>
        <v>ID:</v>
      </c>
      <c r="S345" s="29" t="str">
        <f>"ID:"&amp;SUBSTITUTE(SUBSTITUTE(SUBSTITUTE(SUBSTITUTE(UPPER(TRIM(C345&amp;"")),"!","!E"),"*","!A"),"?","!B"),"~","!C")</f>
        <v>ID:</v>
      </c>
    </row>
    <row r="346" ht="75" customHeight="1">
      <c r="B346" s="31"/>
      <c r="C346" s="31"/>
      <c r="D346" s="31"/>
      <c r="E346" s="31"/>
      <c r="F346" s="31"/>
      <c r="G346" s="34"/>
      <c r="H346" s="34"/>
      <c r="I346" s="34"/>
      <c r="J346" s="34"/>
      <c r="K346" s="31"/>
      <c r="L346" s="31"/>
      <c r="M346" s="31"/>
      <c r="N346" s="31"/>
      <c r="O346" s="31"/>
      <c r="P346" s="35">
        <f>IF(AND(ISNUMBER(J346),'REFERENCIAS'!$Q$8=1),ROUND(J346,'REFERENCIAS'!$K$8),"")</f>
      </c>
      <c r="R346" s="29" t="str">
        <f>"ID:"&amp;SUBSTITUTE(SUBSTITUTE(SUBSTITUTE(SUBSTITUTE(UPPER(TRIM(B346&amp;"")),"!","!E"),"*","!A"),"?","!B"),"~","!C")</f>
        <v>ID:</v>
      </c>
      <c r="S346" s="29" t="str">
        <f>"ID:"&amp;SUBSTITUTE(SUBSTITUTE(SUBSTITUTE(SUBSTITUTE(UPPER(TRIM(C346&amp;"")),"!","!E"),"*","!A"),"?","!B"),"~","!C")</f>
        <v>ID:</v>
      </c>
    </row>
    <row r="347" ht="75" customHeight="1">
      <c r="B347" s="31"/>
      <c r="C347" s="31"/>
      <c r="D347" s="31"/>
      <c r="E347" s="31"/>
      <c r="F347" s="31"/>
      <c r="G347" s="34"/>
      <c r="H347" s="34"/>
      <c r="I347" s="34"/>
      <c r="J347" s="34"/>
      <c r="K347" s="31"/>
      <c r="L347" s="31"/>
      <c r="M347" s="31"/>
      <c r="N347" s="31"/>
      <c r="O347" s="31"/>
      <c r="P347" s="35">
        <f>IF(AND(ISNUMBER(J347),'REFERENCIAS'!$Q$8=1),ROUND(J347,'REFERENCIAS'!$K$8),"")</f>
      </c>
      <c r="R347" s="29" t="str">
        <f>"ID:"&amp;SUBSTITUTE(SUBSTITUTE(SUBSTITUTE(SUBSTITUTE(UPPER(TRIM(B347&amp;"")),"!","!E"),"*","!A"),"?","!B"),"~","!C")</f>
        <v>ID:</v>
      </c>
      <c r="S347" s="29" t="str">
        <f>"ID:"&amp;SUBSTITUTE(SUBSTITUTE(SUBSTITUTE(SUBSTITUTE(UPPER(TRIM(C347&amp;"")),"!","!E"),"*","!A"),"?","!B"),"~","!C")</f>
        <v>ID:</v>
      </c>
    </row>
    <row r="348" ht="75" customHeight="1">
      <c r="B348" s="31"/>
      <c r="C348" s="31"/>
      <c r="D348" s="31"/>
      <c r="E348" s="31"/>
      <c r="F348" s="31"/>
      <c r="G348" s="34"/>
      <c r="H348" s="34"/>
      <c r="I348" s="34"/>
      <c r="J348" s="34"/>
      <c r="K348" s="31"/>
      <c r="L348" s="31"/>
      <c r="M348" s="31"/>
      <c r="N348" s="31"/>
      <c r="O348" s="31"/>
      <c r="P348" s="35">
        <f>IF(AND(ISNUMBER(J348),'REFERENCIAS'!$Q$8=1),ROUND(J348,'REFERENCIAS'!$K$8),"")</f>
      </c>
      <c r="R348" s="29" t="str">
        <f>"ID:"&amp;SUBSTITUTE(SUBSTITUTE(SUBSTITUTE(SUBSTITUTE(UPPER(TRIM(B348&amp;"")),"!","!E"),"*","!A"),"?","!B"),"~","!C")</f>
        <v>ID:</v>
      </c>
      <c r="S348" s="29" t="str">
        <f>"ID:"&amp;SUBSTITUTE(SUBSTITUTE(SUBSTITUTE(SUBSTITUTE(UPPER(TRIM(C348&amp;"")),"!","!E"),"*","!A"),"?","!B"),"~","!C")</f>
        <v>ID:</v>
      </c>
    </row>
    <row r="349" ht="75" customHeight="1">
      <c r="B349" s="31"/>
      <c r="C349" s="31"/>
      <c r="D349" s="31"/>
      <c r="E349" s="31"/>
      <c r="F349" s="31"/>
      <c r="G349" s="34"/>
      <c r="H349" s="34"/>
      <c r="I349" s="34"/>
      <c r="J349" s="34"/>
      <c r="K349" s="31"/>
      <c r="L349" s="31"/>
      <c r="M349" s="31"/>
      <c r="N349" s="31"/>
      <c r="O349" s="31"/>
      <c r="P349" s="35">
        <f>IF(AND(ISNUMBER(J349),'REFERENCIAS'!$Q$8=1),ROUND(J349,'REFERENCIAS'!$K$8),"")</f>
      </c>
      <c r="R349" s="29" t="str">
        <f>"ID:"&amp;SUBSTITUTE(SUBSTITUTE(SUBSTITUTE(SUBSTITUTE(UPPER(TRIM(B349&amp;"")),"!","!E"),"*","!A"),"?","!B"),"~","!C")</f>
        <v>ID:</v>
      </c>
      <c r="S349" s="29" t="str">
        <f>"ID:"&amp;SUBSTITUTE(SUBSTITUTE(SUBSTITUTE(SUBSTITUTE(UPPER(TRIM(C349&amp;"")),"!","!E"),"*","!A"),"?","!B"),"~","!C")</f>
        <v>ID:</v>
      </c>
    </row>
    <row r="350" ht="75" customHeight="1">
      <c r="B350" s="31"/>
      <c r="C350" s="31"/>
      <c r="D350" s="31"/>
      <c r="E350" s="31"/>
      <c r="F350" s="31"/>
      <c r="G350" s="34"/>
      <c r="H350" s="34"/>
      <c r="I350" s="34"/>
      <c r="J350" s="34"/>
      <c r="K350" s="31"/>
      <c r="L350" s="31"/>
      <c r="M350" s="31"/>
      <c r="N350" s="31"/>
      <c r="O350" s="31"/>
      <c r="P350" s="35">
        <f>IF(AND(ISNUMBER(J350),'REFERENCIAS'!$Q$8=1),ROUND(J350,'REFERENCIAS'!$K$8),"")</f>
      </c>
      <c r="R350" s="29" t="str">
        <f>"ID:"&amp;SUBSTITUTE(SUBSTITUTE(SUBSTITUTE(SUBSTITUTE(UPPER(TRIM(B350&amp;"")),"!","!E"),"*","!A"),"?","!B"),"~","!C")</f>
        <v>ID:</v>
      </c>
      <c r="S350" s="29" t="str">
        <f>"ID:"&amp;SUBSTITUTE(SUBSTITUTE(SUBSTITUTE(SUBSTITUTE(UPPER(TRIM(C350&amp;"")),"!","!E"),"*","!A"),"?","!B"),"~","!C")</f>
        <v>ID:</v>
      </c>
    </row>
    <row r="351" ht="75" customHeight="1">
      <c r="B351" s="31"/>
      <c r="C351" s="31"/>
      <c r="D351" s="31"/>
      <c r="E351" s="31"/>
      <c r="F351" s="31"/>
      <c r="G351" s="34"/>
      <c r="H351" s="34"/>
      <c r="I351" s="34"/>
      <c r="J351" s="34"/>
      <c r="K351" s="31"/>
      <c r="L351" s="31"/>
      <c r="M351" s="31"/>
      <c r="N351" s="31"/>
      <c r="O351" s="31"/>
      <c r="P351" s="35">
        <f>IF(AND(ISNUMBER(J351),'REFERENCIAS'!$Q$8=1),ROUND(J351,'REFERENCIAS'!$K$8),"")</f>
      </c>
      <c r="R351" s="29" t="str">
        <f>"ID:"&amp;SUBSTITUTE(SUBSTITUTE(SUBSTITUTE(SUBSTITUTE(UPPER(TRIM(B351&amp;"")),"!","!E"),"*","!A"),"?","!B"),"~","!C")</f>
        <v>ID:</v>
      </c>
      <c r="S351" s="29" t="str">
        <f>"ID:"&amp;SUBSTITUTE(SUBSTITUTE(SUBSTITUTE(SUBSTITUTE(UPPER(TRIM(C351&amp;"")),"!","!E"),"*","!A"),"?","!B"),"~","!C")</f>
        <v>ID:</v>
      </c>
    </row>
    <row r="352" ht="75" customHeight="1">
      <c r="B352" s="31"/>
      <c r="C352" s="31"/>
      <c r="D352" s="31"/>
      <c r="E352" s="31"/>
      <c r="F352" s="31"/>
      <c r="G352" s="34"/>
      <c r="H352" s="34"/>
      <c r="I352" s="34"/>
      <c r="J352" s="34"/>
      <c r="K352" s="31"/>
      <c r="L352" s="31"/>
      <c r="M352" s="31"/>
      <c r="N352" s="31"/>
      <c r="O352" s="31"/>
      <c r="P352" s="35">
        <f>IF(AND(ISNUMBER(J352),'REFERENCIAS'!$Q$8=1),ROUND(J352,'REFERENCIAS'!$K$8),"")</f>
      </c>
      <c r="R352" s="29" t="str">
        <f>"ID:"&amp;SUBSTITUTE(SUBSTITUTE(SUBSTITUTE(SUBSTITUTE(UPPER(TRIM(B352&amp;"")),"!","!E"),"*","!A"),"?","!B"),"~","!C")</f>
        <v>ID:</v>
      </c>
      <c r="S352" s="29" t="str">
        <f>"ID:"&amp;SUBSTITUTE(SUBSTITUTE(SUBSTITUTE(SUBSTITUTE(UPPER(TRIM(C352&amp;"")),"!","!E"),"*","!A"),"?","!B"),"~","!C")</f>
        <v>ID:</v>
      </c>
    </row>
    <row r="353" ht="75" customHeight="1">
      <c r="B353" s="31"/>
      <c r="C353" s="31"/>
      <c r="D353" s="31"/>
      <c r="E353" s="31"/>
      <c r="F353" s="31"/>
      <c r="G353" s="34"/>
      <c r="H353" s="34"/>
      <c r="I353" s="34"/>
      <c r="J353" s="34"/>
      <c r="K353" s="31"/>
      <c r="L353" s="31"/>
      <c r="M353" s="31"/>
      <c r="N353" s="31"/>
      <c r="O353" s="31"/>
      <c r="P353" s="35">
        <f>IF(AND(ISNUMBER(J353),'REFERENCIAS'!$Q$8=1),ROUND(J353,'REFERENCIAS'!$K$8),"")</f>
      </c>
      <c r="R353" s="29" t="str">
        <f>"ID:"&amp;SUBSTITUTE(SUBSTITUTE(SUBSTITUTE(SUBSTITUTE(UPPER(TRIM(B353&amp;"")),"!","!E"),"*","!A"),"?","!B"),"~","!C")</f>
        <v>ID:</v>
      </c>
      <c r="S353" s="29" t="str">
        <f>"ID:"&amp;SUBSTITUTE(SUBSTITUTE(SUBSTITUTE(SUBSTITUTE(UPPER(TRIM(C353&amp;"")),"!","!E"),"*","!A"),"?","!B"),"~","!C")</f>
        <v>ID:</v>
      </c>
    </row>
    <row r="354" ht="75" customHeight="1">
      <c r="B354" s="31"/>
      <c r="C354" s="31"/>
      <c r="D354" s="31"/>
      <c r="E354" s="31"/>
      <c r="F354" s="31"/>
      <c r="G354" s="34"/>
      <c r="H354" s="34"/>
      <c r="I354" s="34"/>
      <c r="J354" s="34"/>
      <c r="K354" s="31"/>
      <c r="L354" s="31"/>
      <c r="M354" s="31"/>
      <c r="N354" s="31"/>
      <c r="O354" s="31"/>
      <c r="P354" s="35">
        <f>IF(AND(ISNUMBER(J354),'REFERENCIAS'!$Q$8=1),ROUND(J354,'REFERENCIAS'!$K$8),"")</f>
      </c>
      <c r="R354" s="29" t="str">
        <f>"ID:"&amp;SUBSTITUTE(SUBSTITUTE(SUBSTITUTE(SUBSTITUTE(UPPER(TRIM(B354&amp;"")),"!","!E"),"*","!A"),"?","!B"),"~","!C")</f>
        <v>ID:</v>
      </c>
      <c r="S354" s="29" t="str">
        <f>"ID:"&amp;SUBSTITUTE(SUBSTITUTE(SUBSTITUTE(SUBSTITUTE(UPPER(TRIM(C354&amp;"")),"!","!E"),"*","!A"),"?","!B"),"~","!C")</f>
        <v>ID:</v>
      </c>
    </row>
    <row r="355" ht="75" customHeight="1">
      <c r="B355" s="31"/>
      <c r="C355" s="31"/>
      <c r="D355" s="31"/>
      <c r="E355" s="31"/>
      <c r="F355" s="31"/>
      <c r="G355" s="34"/>
      <c r="H355" s="34"/>
      <c r="I355" s="34"/>
      <c r="J355" s="34"/>
      <c r="K355" s="31"/>
      <c r="L355" s="31"/>
      <c r="M355" s="31"/>
      <c r="N355" s="31"/>
      <c r="O355" s="31"/>
      <c r="P355" s="35">
        <f>IF(AND(ISNUMBER(J355),'REFERENCIAS'!$Q$8=1),ROUND(J355,'REFERENCIAS'!$K$8),"")</f>
      </c>
      <c r="R355" s="29" t="str">
        <f>"ID:"&amp;SUBSTITUTE(SUBSTITUTE(SUBSTITUTE(SUBSTITUTE(UPPER(TRIM(B355&amp;"")),"!","!E"),"*","!A"),"?","!B"),"~","!C")</f>
        <v>ID:</v>
      </c>
      <c r="S355" s="29" t="str">
        <f>"ID:"&amp;SUBSTITUTE(SUBSTITUTE(SUBSTITUTE(SUBSTITUTE(UPPER(TRIM(C355&amp;"")),"!","!E"),"*","!A"),"?","!B"),"~","!C")</f>
        <v>ID:</v>
      </c>
    </row>
    <row r="356" ht="75" customHeight="1">
      <c r="B356" s="31"/>
      <c r="C356" s="31"/>
      <c r="D356" s="31"/>
      <c r="E356" s="31"/>
      <c r="F356" s="31"/>
      <c r="G356" s="34"/>
      <c r="H356" s="34"/>
      <c r="I356" s="34"/>
      <c r="J356" s="34"/>
      <c r="K356" s="31"/>
      <c r="L356" s="31"/>
      <c r="M356" s="31"/>
      <c r="N356" s="31"/>
      <c r="O356" s="31"/>
      <c r="P356" s="35">
        <f>IF(AND(ISNUMBER(J356),'REFERENCIAS'!$Q$8=1),ROUND(J356,'REFERENCIAS'!$K$8),"")</f>
      </c>
      <c r="R356" s="29" t="str">
        <f>"ID:"&amp;SUBSTITUTE(SUBSTITUTE(SUBSTITUTE(SUBSTITUTE(UPPER(TRIM(B356&amp;"")),"!","!E"),"*","!A"),"?","!B"),"~","!C")</f>
        <v>ID:</v>
      </c>
      <c r="S356" s="29" t="str">
        <f>"ID:"&amp;SUBSTITUTE(SUBSTITUTE(SUBSTITUTE(SUBSTITUTE(UPPER(TRIM(C356&amp;"")),"!","!E"),"*","!A"),"?","!B"),"~","!C")</f>
        <v>ID:</v>
      </c>
    </row>
    <row r="357" ht="75" customHeight="1">
      <c r="B357" s="31"/>
      <c r="C357" s="31"/>
      <c r="D357" s="31"/>
      <c r="E357" s="31"/>
      <c r="F357" s="31"/>
      <c r="G357" s="34"/>
      <c r="H357" s="34"/>
      <c r="I357" s="34"/>
      <c r="J357" s="34"/>
      <c r="K357" s="31"/>
      <c r="L357" s="31"/>
      <c r="M357" s="31"/>
      <c r="N357" s="31"/>
      <c r="O357" s="31"/>
      <c r="P357" s="35">
        <f>IF(AND(ISNUMBER(J357),'REFERENCIAS'!$Q$8=1),ROUND(J357,'REFERENCIAS'!$K$8),"")</f>
      </c>
      <c r="R357" s="29" t="str">
        <f>"ID:"&amp;SUBSTITUTE(SUBSTITUTE(SUBSTITUTE(SUBSTITUTE(UPPER(TRIM(B357&amp;"")),"!","!E"),"*","!A"),"?","!B"),"~","!C")</f>
        <v>ID:</v>
      </c>
      <c r="S357" s="29" t="str">
        <f>"ID:"&amp;SUBSTITUTE(SUBSTITUTE(SUBSTITUTE(SUBSTITUTE(UPPER(TRIM(C357&amp;"")),"!","!E"),"*","!A"),"?","!B"),"~","!C")</f>
        <v>ID:</v>
      </c>
    </row>
    <row r="358" ht="75" customHeight="1">
      <c r="B358" s="31"/>
      <c r="C358" s="31"/>
      <c r="D358" s="31"/>
      <c r="E358" s="31"/>
      <c r="F358" s="31"/>
      <c r="G358" s="34"/>
      <c r="H358" s="34"/>
      <c r="I358" s="34"/>
      <c r="J358" s="34"/>
      <c r="K358" s="31"/>
      <c r="L358" s="31"/>
      <c r="M358" s="31"/>
      <c r="N358" s="31"/>
      <c r="O358" s="31"/>
      <c r="P358" s="35">
        <f>IF(AND(ISNUMBER(J358),'REFERENCIAS'!$Q$8=1),ROUND(J358,'REFERENCIAS'!$K$8),"")</f>
      </c>
      <c r="R358" s="29" t="str">
        <f>"ID:"&amp;SUBSTITUTE(SUBSTITUTE(SUBSTITUTE(SUBSTITUTE(UPPER(TRIM(B358&amp;"")),"!","!E"),"*","!A"),"?","!B"),"~","!C")</f>
        <v>ID:</v>
      </c>
      <c r="S358" s="29" t="str">
        <f>"ID:"&amp;SUBSTITUTE(SUBSTITUTE(SUBSTITUTE(SUBSTITUTE(UPPER(TRIM(C358&amp;"")),"!","!E"),"*","!A"),"?","!B"),"~","!C")</f>
        <v>ID:</v>
      </c>
    </row>
    <row r="359" ht="75" customHeight="1">
      <c r="B359" s="31"/>
      <c r="C359" s="31"/>
      <c r="D359" s="31"/>
      <c r="E359" s="31"/>
      <c r="F359" s="31"/>
      <c r="G359" s="34"/>
      <c r="H359" s="34"/>
      <c r="I359" s="34"/>
      <c r="J359" s="34"/>
      <c r="K359" s="31"/>
      <c r="L359" s="31"/>
      <c r="M359" s="31"/>
      <c r="N359" s="31"/>
      <c r="O359" s="31"/>
      <c r="P359" s="35">
        <f>IF(AND(ISNUMBER(J359),'REFERENCIAS'!$Q$8=1),ROUND(J359,'REFERENCIAS'!$K$8),"")</f>
      </c>
      <c r="R359" s="29" t="str">
        <f>"ID:"&amp;SUBSTITUTE(SUBSTITUTE(SUBSTITUTE(SUBSTITUTE(UPPER(TRIM(B359&amp;"")),"!","!E"),"*","!A"),"?","!B"),"~","!C")</f>
        <v>ID:</v>
      </c>
      <c r="S359" s="29" t="str">
        <f>"ID:"&amp;SUBSTITUTE(SUBSTITUTE(SUBSTITUTE(SUBSTITUTE(UPPER(TRIM(C359&amp;"")),"!","!E"),"*","!A"),"?","!B"),"~","!C")</f>
        <v>ID:</v>
      </c>
    </row>
    <row r="360" ht="75" customHeight="1">
      <c r="B360" s="31"/>
      <c r="C360" s="31"/>
      <c r="D360" s="31"/>
      <c r="E360" s="31"/>
      <c r="F360" s="31"/>
      <c r="G360" s="34"/>
      <c r="H360" s="34"/>
      <c r="I360" s="34"/>
      <c r="J360" s="34"/>
      <c r="K360" s="31"/>
      <c r="L360" s="31"/>
      <c r="M360" s="31"/>
      <c r="N360" s="31"/>
      <c r="O360" s="31"/>
      <c r="P360" s="35">
        <f>IF(AND(ISNUMBER(J360),'REFERENCIAS'!$Q$8=1),ROUND(J360,'REFERENCIAS'!$K$8),"")</f>
      </c>
      <c r="R360" s="29" t="str">
        <f>"ID:"&amp;SUBSTITUTE(SUBSTITUTE(SUBSTITUTE(SUBSTITUTE(UPPER(TRIM(B360&amp;"")),"!","!E"),"*","!A"),"?","!B"),"~","!C")</f>
        <v>ID:</v>
      </c>
      <c r="S360" s="29" t="str">
        <f>"ID:"&amp;SUBSTITUTE(SUBSTITUTE(SUBSTITUTE(SUBSTITUTE(UPPER(TRIM(C360&amp;"")),"!","!E"),"*","!A"),"?","!B"),"~","!C")</f>
        <v>ID:</v>
      </c>
    </row>
    <row r="361" ht="75" customHeight="1">
      <c r="B361" s="31"/>
      <c r="C361" s="31"/>
      <c r="D361" s="31"/>
      <c r="E361" s="31"/>
      <c r="F361" s="31"/>
      <c r="G361" s="34"/>
      <c r="H361" s="34"/>
      <c r="I361" s="34"/>
      <c r="J361" s="34"/>
      <c r="K361" s="31"/>
      <c r="L361" s="31"/>
      <c r="M361" s="31"/>
      <c r="N361" s="31"/>
      <c r="O361" s="31"/>
      <c r="P361" s="35">
        <f>IF(AND(ISNUMBER(J361),'REFERENCIAS'!$Q$8=1),ROUND(J361,'REFERENCIAS'!$K$8),"")</f>
      </c>
      <c r="R361" s="29" t="str">
        <f>"ID:"&amp;SUBSTITUTE(SUBSTITUTE(SUBSTITUTE(SUBSTITUTE(UPPER(TRIM(B361&amp;"")),"!","!E"),"*","!A"),"?","!B"),"~","!C")</f>
        <v>ID:</v>
      </c>
      <c r="S361" s="29" t="str">
        <f>"ID:"&amp;SUBSTITUTE(SUBSTITUTE(SUBSTITUTE(SUBSTITUTE(UPPER(TRIM(C361&amp;"")),"!","!E"),"*","!A"),"?","!B"),"~","!C")</f>
        <v>ID:</v>
      </c>
    </row>
    <row r="362" ht="75" customHeight="1">
      <c r="B362" s="31"/>
      <c r="C362" s="31"/>
      <c r="D362" s="31"/>
      <c r="E362" s="31"/>
      <c r="F362" s="31"/>
      <c r="G362" s="34"/>
      <c r="H362" s="34"/>
      <c r="I362" s="34"/>
      <c r="J362" s="34"/>
      <c r="K362" s="31"/>
      <c r="L362" s="31"/>
      <c r="M362" s="31"/>
      <c r="N362" s="31"/>
      <c r="O362" s="31"/>
      <c r="P362" s="35">
        <f>IF(AND(ISNUMBER(J362),'REFERENCIAS'!$Q$8=1),ROUND(J362,'REFERENCIAS'!$K$8),"")</f>
      </c>
      <c r="R362" s="29" t="str">
        <f>"ID:"&amp;SUBSTITUTE(SUBSTITUTE(SUBSTITUTE(SUBSTITUTE(UPPER(TRIM(B362&amp;"")),"!","!E"),"*","!A"),"?","!B"),"~","!C")</f>
        <v>ID:</v>
      </c>
      <c r="S362" s="29" t="str">
        <f>"ID:"&amp;SUBSTITUTE(SUBSTITUTE(SUBSTITUTE(SUBSTITUTE(UPPER(TRIM(C362&amp;"")),"!","!E"),"*","!A"),"?","!B"),"~","!C")</f>
        <v>ID:</v>
      </c>
    </row>
    <row r="363" ht="75" customHeight="1">
      <c r="B363" s="31"/>
      <c r="C363" s="31"/>
      <c r="D363" s="31"/>
      <c r="E363" s="31"/>
      <c r="F363" s="31"/>
      <c r="G363" s="34"/>
      <c r="H363" s="34"/>
      <c r="I363" s="34"/>
      <c r="J363" s="34"/>
      <c r="K363" s="31"/>
      <c r="L363" s="31"/>
      <c r="M363" s="31"/>
      <c r="N363" s="31"/>
      <c r="O363" s="31"/>
      <c r="P363" s="35">
        <f>IF(AND(ISNUMBER(J363),'REFERENCIAS'!$Q$8=1),ROUND(J363,'REFERENCIAS'!$K$8),"")</f>
      </c>
      <c r="R363" s="29" t="str">
        <f>"ID:"&amp;SUBSTITUTE(SUBSTITUTE(SUBSTITUTE(SUBSTITUTE(UPPER(TRIM(B363&amp;"")),"!","!E"),"*","!A"),"?","!B"),"~","!C")</f>
        <v>ID:</v>
      </c>
      <c r="S363" s="29" t="str">
        <f>"ID:"&amp;SUBSTITUTE(SUBSTITUTE(SUBSTITUTE(SUBSTITUTE(UPPER(TRIM(C363&amp;"")),"!","!E"),"*","!A"),"?","!B"),"~","!C")</f>
        <v>ID:</v>
      </c>
    </row>
    <row r="364" ht="75" customHeight="1">
      <c r="B364" s="31"/>
      <c r="C364" s="31"/>
      <c r="D364" s="31"/>
      <c r="E364" s="31"/>
      <c r="F364" s="31"/>
      <c r="G364" s="34"/>
      <c r="H364" s="34"/>
      <c r="I364" s="34"/>
      <c r="J364" s="34"/>
      <c r="K364" s="31"/>
      <c r="L364" s="31"/>
      <c r="M364" s="31"/>
      <c r="N364" s="31"/>
      <c r="O364" s="31"/>
      <c r="P364" s="35">
        <f>IF(AND(ISNUMBER(J364),'REFERENCIAS'!$Q$8=1),ROUND(J364,'REFERENCIAS'!$K$8),"")</f>
      </c>
      <c r="R364" s="29" t="str">
        <f>"ID:"&amp;SUBSTITUTE(SUBSTITUTE(SUBSTITUTE(SUBSTITUTE(UPPER(TRIM(B364&amp;"")),"!","!E"),"*","!A"),"?","!B"),"~","!C")</f>
        <v>ID:</v>
      </c>
      <c r="S364" s="29" t="str">
        <f>"ID:"&amp;SUBSTITUTE(SUBSTITUTE(SUBSTITUTE(SUBSTITUTE(UPPER(TRIM(C364&amp;"")),"!","!E"),"*","!A"),"?","!B"),"~","!C")</f>
        <v>ID:</v>
      </c>
    </row>
    <row r="365" ht="75" customHeight="1">
      <c r="B365" s="31"/>
      <c r="C365" s="31"/>
      <c r="D365" s="31"/>
      <c r="E365" s="31"/>
      <c r="F365" s="31"/>
      <c r="G365" s="34"/>
      <c r="H365" s="34"/>
      <c r="I365" s="34"/>
      <c r="J365" s="34"/>
      <c r="K365" s="31"/>
      <c r="L365" s="31"/>
      <c r="M365" s="31"/>
      <c r="N365" s="31"/>
      <c r="O365" s="31"/>
      <c r="P365" s="35">
        <f>IF(AND(ISNUMBER(J365),'REFERENCIAS'!$Q$8=1),ROUND(J365,'REFERENCIAS'!$K$8),"")</f>
      </c>
      <c r="R365" s="29" t="str">
        <f>"ID:"&amp;SUBSTITUTE(SUBSTITUTE(SUBSTITUTE(SUBSTITUTE(UPPER(TRIM(B365&amp;"")),"!","!E"),"*","!A"),"?","!B"),"~","!C")</f>
        <v>ID:</v>
      </c>
      <c r="S365" s="29" t="str">
        <f>"ID:"&amp;SUBSTITUTE(SUBSTITUTE(SUBSTITUTE(SUBSTITUTE(UPPER(TRIM(C365&amp;"")),"!","!E"),"*","!A"),"?","!B"),"~","!C")</f>
        <v>ID:</v>
      </c>
    </row>
    <row r="366" ht="75" customHeight="1">
      <c r="B366" s="31"/>
      <c r="C366" s="31"/>
      <c r="D366" s="31"/>
      <c r="E366" s="31"/>
      <c r="F366" s="31"/>
      <c r="G366" s="34"/>
      <c r="H366" s="34"/>
      <c r="I366" s="34"/>
      <c r="J366" s="34"/>
      <c r="K366" s="31"/>
      <c r="L366" s="31"/>
      <c r="M366" s="31"/>
      <c r="N366" s="31"/>
      <c r="O366" s="31"/>
      <c r="P366" s="35">
        <f>IF(AND(ISNUMBER(J366),'REFERENCIAS'!$Q$8=1),ROUND(J366,'REFERENCIAS'!$K$8),"")</f>
      </c>
      <c r="R366" s="29" t="str">
        <f>"ID:"&amp;SUBSTITUTE(SUBSTITUTE(SUBSTITUTE(SUBSTITUTE(UPPER(TRIM(B366&amp;"")),"!","!E"),"*","!A"),"?","!B"),"~","!C")</f>
        <v>ID:</v>
      </c>
      <c r="S366" s="29" t="str">
        <f>"ID:"&amp;SUBSTITUTE(SUBSTITUTE(SUBSTITUTE(SUBSTITUTE(UPPER(TRIM(C366&amp;"")),"!","!E"),"*","!A"),"?","!B"),"~","!C")</f>
        <v>ID:</v>
      </c>
    </row>
    <row r="367" ht="75" customHeight="1">
      <c r="B367" s="31"/>
      <c r="C367" s="31"/>
      <c r="D367" s="31"/>
      <c r="E367" s="31"/>
      <c r="F367" s="31"/>
      <c r="G367" s="34"/>
      <c r="H367" s="34"/>
      <c r="I367" s="34"/>
      <c r="J367" s="34"/>
      <c r="K367" s="31"/>
      <c r="L367" s="31"/>
      <c r="M367" s="31"/>
      <c r="N367" s="31"/>
      <c r="O367" s="31"/>
      <c r="P367" s="35">
        <f>IF(AND(ISNUMBER(J367),'REFERENCIAS'!$Q$8=1),ROUND(J367,'REFERENCIAS'!$K$8),"")</f>
      </c>
      <c r="R367" s="29" t="str">
        <f>"ID:"&amp;SUBSTITUTE(SUBSTITUTE(SUBSTITUTE(SUBSTITUTE(UPPER(TRIM(B367&amp;"")),"!","!E"),"*","!A"),"?","!B"),"~","!C")</f>
        <v>ID:</v>
      </c>
      <c r="S367" s="29" t="str">
        <f>"ID:"&amp;SUBSTITUTE(SUBSTITUTE(SUBSTITUTE(SUBSTITUTE(UPPER(TRIM(C367&amp;"")),"!","!E"),"*","!A"),"?","!B"),"~","!C")</f>
        <v>ID:</v>
      </c>
    </row>
    <row r="368" ht="75" customHeight="1">
      <c r="B368" s="31"/>
      <c r="C368" s="31"/>
      <c r="D368" s="31"/>
      <c r="E368" s="31"/>
      <c r="F368" s="31"/>
      <c r="G368" s="34"/>
      <c r="H368" s="34"/>
      <c r="I368" s="34"/>
      <c r="J368" s="34"/>
      <c r="K368" s="31"/>
      <c r="L368" s="31"/>
      <c r="M368" s="31"/>
      <c r="N368" s="31"/>
      <c r="O368" s="31"/>
      <c r="P368" s="35">
        <f>IF(AND(ISNUMBER(J368),'REFERENCIAS'!$Q$8=1),ROUND(J368,'REFERENCIAS'!$K$8),"")</f>
      </c>
      <c r="R368" s="29" t="str">
        <f>"ID:"&amp;SUBSTITUTE(SUBSTITUTE(SUBSTITUTE(SUBSTITUTE(UPPER(TRIM(B368&amp;"")),"!","!E"),"*","!A"),"?","!B"),"~","!C")</f>
        <v>ID:</v>
      </c>
      <c r="S368" s="29" t="str">
        <f>"ID:"&amp;SUBSTITUTE(SUBSTITUTE(SUBSTITUTE(SUBSTITUTE(UPPER(TRIM(C368&amp;"")),"!","!E"),"*","!A"),"?","!B"),"~","!C")</f>
        <v>ID:</v>
      </c>
    </row>
    <row r="369" ht="75" customHeight="1">
      <c r="B369" s="31"/>
      <c r="C369" s="31"/>
      <c r="D369" s="31"/>
      <c r="E369" s="31"/>
      <c r="F369" s="31"/>
      <c r="G369" s="34"/>
      <c r="H369" s="34"/>
      <c r="I369" s="34"/>
      <c r="J369" s="34"/>
      <c r="K369" s="31"/>
      <c r="L369" s="31"/>
      <c r="M369" s="31"/>
      <c r="N369" s="31"/>
      <c r="O369" s="31"/>
      <c r="P369" s="35">
        <f>IF(AND(ISNUMBER(J369),'REFERENCIAS'!$Q$8=1),ROUND(J369,'REFERENCIAS'!$K$8),"")</f>
      </c>
      <c r="R369" s="29" t="str">
        <f>"ID:"&amp;SUBSTITUTE(SUBSTITUTE(SUBSTITUTE(SUBSTITUTE(UPPER(TRIM(B369&amp;"")),"!","!E"),"*","!A"),"?","!B"),"~","!C")</f>
        <v>ID:</v>
      </c>
      <c r="S369" s="29" t="str">
        <f>"ID:"&amp;SUBSTITUTE(SUBSTITUTE(SUBSTITUTE(SUBSTITUTE(UPPER(TRIM(C369&amp;"")),"!","!E"),"*","!A"),"?","!B"),"~","!C")</f>
        <v>ID:</v>
      </c>
    </row>
    <row r="370" ht="75" customHeight="1">
      <c r="B370" s="31"/>
      <c r="C370" s="31"/>
      <c r="D370" s="31"/>
      <c r="E370" s="31"/>
      <c r="F370" s="31"/>
      <c r="G370" s="34"/>
      <c r="H370" s="34"/>
      <c r="I370" s="34"/>
      <c r="J370" s="34"/>
      <c r="K370" s="31"/>
      <c r="L370" s="31"/>
      <c r="M370" s="31"/>
      <c r="N370" s="31"/>
      <c r="O370" s="31"/>
      <c r="P370" s="35">
        <f>IF(AND(ISNUMBER(J370),'REFERENCIAS'!$Q$8=1),ROUND(J370,'REFERENCIAS'!$K$8),"")</f>
      </c>
      <c r="R370" s="29" t="str">
        <f>"ID:"&amp;SUBSTITUTE(SUBSTITUTE(SUBSTITUTE(SUBSTITUTE(UPPER(TRIM(B370&amp;"")),"!","!E"),"*","!A"),"?","!B"),"~","!C")</f>
        <v>ID:</v>
      </c>
      <c r="S370" s="29" t="str">
        <f>"ID:"&amp;SUBSTITUTE(SUBSTITUTE(SUBSTITUTE(SUBSTITUTE(UPPER(TRIM(C370&amp;"")),"!","!E"),"*","!A"),"?","!B"),"~","!C")</f>
        <v>ID:</v>
      </c>
    </row>
    <row r="371" ht="75" customHeight="1">
      <c r="B371" s="31"/>
      <c r="C371" s="31"/>
      <c r="D371" s="31"/>
      <c r="E371" s="31"/>
      <c r="F371" s="31"/>
      <c r="G371" s="34"/>
      <c r="H371" s="34"/>
      <c r="I371" s="34"/>
      <c r="J371" s="34"/>
      <c r="K371" s="31"/>
      <c r="L371" s="31"/>
      <c r="M371" s="31"/>
      <c r="N371" s="31"/>
      <c r="O371" s="31"/>
      <c r="P371" s="35">
        <f>IF(AND(ISNUMBER(J371),'REFERENCIAS'!$Q$8=1),ROUND(J371,'REFERENCIAS'!$K$8),"")</f>
      </c>
      <c r="R371" s="29" t="str">
        <f>"ID:"&amp;SUBSTITUTE(SUBSTITUTE(SUBSTITUTE(SUBSTITUTE(UPPER(TRIM(B371&amp;"")),"!","!E"),"*","!A"),"?","!B"),"~","!C")</f>
        <v>ID:</v>
      </c>
      <c r="S371" s="29" t="str">
        <f>"ID:"&amp;SUBSTITUTE(SUBSTITUTE(SUBSTITUTE(SUBSTITUTE(UPPER(TRIM(C371&amp;"")),"!","!E"),"*","!A"),"?","!B"),"~","!C")</f>
        <v>ID:</v>
      </c>
    </row>
    <row r="372" ht="75" customHeight="1">
      <c r="B372" s="31"/>
      <c r="C372" s="31"/>
      <c r="D372" s="31"/>
      <c r="E372" s="31"/>
      <c r="F372" s="31"/>
      <c r="G372" s="34"/>
      <c r="H372" s="34"/>
      <c r="I372" s="34"/>
      <c r="J372" s="34"/>
      <c r="K372" s="31"/>
      <c r="L372" s="31"/>
      <c r="M372" s="31"/>
      <c r="N372" s="31"/>
      <c r="O372" s="31"/>
      <c r="P372" s="35">
        <f>IF(AND(ISNUMBER(J372),'REFERENCIAS'!$Q$8=1),ROUND(J372,'REFERENCIAS'!$K$8),"")</f>
      </c>
      <c r="R372" s="29" t="str">
        <f>"ID:"&amp;SUBSTITUTE(SUBSTITUTE(SUBSTITUTE(SUBSTITUTE(UPPER(TRIM(B372&amp;"")),"!","!E"),"*","!A"),"?","!B"),"~","!C")</f>
        <v>ID:</v>
      </c>
      <c r="S372" s="29" t="str">
        <f>"ID:"&amp;SUBSTITUTE(SUBSTITUTE(SUBSTITUTE(SUBSTITUTE(UPPER(TRIM(C372&amp;"")),"!","!E"),"*","!A"),"?","!B"),"~","!C")</f>
        <v>ID:</v>
      </c>
    </row>
    <row r="373" ht="75" customHeight="1">
      <c r="B373" s="31"/>
      <c r="C373" s="31"/>
      <c r="D373" s="31"/>
      <c r="E373" s="31"/>
      <c r="F373" s="31"/>
      <c r="G373" s="34"/>
      <c r="H373" s="34"/>
      <c r="I373" s="34"/>
      <c r="J373" s="34"/>
      <c r="K373" s="31"/>
      <c r="L373" s="31"/>
      <c r="M373" s="31"/>
      <c r="N373" s="31"/>
      <c r="O373" s="31"/>
      <c r="P373" s="35">
        <f>IF(AND(ISNUMBER(J373),'REFERENCIAS'!$Q$8=1),ROUND(J373,'REFERENCIAS'!$K$8),"")</f>
      </c>
      <c r="R373" s="29" t="str">
        <f>"ID:"&amp;SUBSTITUTE(SUBSTITUTE(SUBSTITUTE(SUBSTITUTE(UPPER(TRIM(B373&amp;"")),"!","!E"),"*","!A"),"?","!B"),"~","!C")</f>
        <v>ID:</v>
      </c>
      <c r="S373" s="29" t="str">
        <f>"ID:"&amp;SUBSTITUTE(SUBSTITUTE(SUBSTITUTE(SUBSTITUTE(UPPER(TRIM(C373&amp;"")),"!","!E"),"*","!A"),"?","!B"),"~","!C")</f>
        <v>ID:</v>
      </c>
    </row>
    <row r="374" ht="75" customHeight="1">
      <c r="B374" s="31"/>
      <c r="C374" s="31"/>
      <c r="D374" s="31"/>
      <c r="E374" s="31"/>
      <c r="F374" s="31"/>
      <c r="G374" s="34"/>
      <c r="H374" s="34"/>
      <c r="I374" s="34"/>
      <c r="J374" s="34"/>
      <c r="K374" s="31"/>
      <c r="L374" s="31"/>
      <c r="M374" s="31"/>
      <c r="N374" s="31"/>
      <c r="O374" s="31"/>
      <c r="P374" s="35">
        <f>IF(AND(ISNUMBER(J374),'REFERENCIAS'!$Q$8=1),ROUND(J374,'REFERENCIAS'!$K$8),"")</f>
      </c>
      <c r="R374" s="29" t="str">
        <f>"ID:"&amp;SUBSTITUTE(SUBSTITUTE(SUBSTITUTE(SUBSTITUTE(UPPER(TRIM(B374&amp;"")),"!","!E"),"*","!A"),"?","!B"),"~","!C")</f>
        <v>ID:</v>
      </c>
      <c r="S374" s="29" t="str">
        <f>"ID:"&amp;SUBSTITUTE(SUBSTITUTE(SUBSTITUTE(SUBSTITUTE(UPPER(TRIM(C374&amp;"")),"!","!E"),"*","!A"),"?","!B"),"~","!C")</f>
        <v>ID:</v>
      </c>
    </row>
    <row r="375" ht="75" customHeight="1">
      <c r="B375" s="31"/>
      <c r="C375" s="31"/>
      <c r="D375" s="31"/>
      <c r="E375" s="31"/>
      <c r="F375" s="31"/>
      <c r="G375" s="34"/>
      <c r="H375" s="34"/>
      <c r="I375" s="34"/>
      <c r="J375" s="34"/>
      <c r="K375" s="31"/>
      <c r="L375" s="31"/>
      <c r="M375" s="31"/>
      <c r="N375" s="31"/>
      <c r="O375" s="31"/>
      <c r="P375" s="35">
        <f>IF(AND(ISNUMBER(J375),'REFERENCIAS'!$Q$8=1),ROUND(J375,'REFERENCIAS'!$K$8),"")</f>
      </c>
      <c r="R375" s="29" t="str">
        <f>"ID:"&amp;SUBSTITUTE(SUBSTITUTE(SUBSTITUTE(SUBSTITUTE(UPPER(TRIM(B375&amp;"")),"!","!E"),"*","!A"),"?","!B"),"~","!C")</f>
        <v>ID:</v>
      </c>
      <c r="S375" s="29" t="str">
        <f>"ID:"&amp;SUBSTITUTE(SUBSTITUTE(SUBSTITUTE(SUBSTITUTE(UPPER(TRIM(C375&amp;"")),"!","!E"),"*","!A"),"?","!B"),"~","!C")</f>
        <v>ID:</v>
      </c>
    </row>
    <row r="376" ht="75" customHeight="1">
      <c r="B376" s="31"/>
      <c r="C376" s="31"/>
      <c r="D376" s="31"/>
      <c r="E376" s="31"/>
      <c r="F376" s="31"/>
      <c r="G376" s="34"/>
      <c r="H376" s="34"/>
      <c r="I376" s="34"/>
      <c r="J376" s="34"/>
      <c r="K376" s="31"/>
      <c r="L376" s="31"/>
      <c r="M376" s="31"/>
      <c r="N376" s="31"/>
      <c r="O376" s="31"/>
      <c r="P376" s="35">
        <f>IF(AND(ISNUMBER(J376),'REFERENCIAS'!$Q$8=1),ROUND(J376,'REFERENCIAS'!$K$8),"")</f>
      </c>
      <c r="R376" s="29" t="str">
        <f>"ID:"&amp;SUBSTITUTE(SUBSTITUTE(SUBSTITUTE(SUBSTITUTE(UPPER(TRIM(B376&amp;"")),"!","!E"),"*","!A"),"?","!B"),"~","!C")</f>
        <v>ID:</v>
      </c>
      <c r="S376" s="29" t="str">
        <f>"ID:"&amp;SUBSTITUTE(SUBSTITUTE(SUBSTITUTE(SUBSTITUTE(UPPER(TRIM(C376&amp;"")),"!","!E"),"*","!A"),"?","!B"),"~","!C")</f>
        <v>ID:</v>
      </c>
    </row>
    <row r="377" ht="75" customHeight="1">
      <c r="B377" s="31"/>
      <c r="C377" s="31"/>
      <c r="D377" s="31"/>
      <c r="E377" s="31"/>
      <c r="F377" s="31"/>
      <c r="G377" s="34"/>
      <c r="H377" s="34"/>
      <c r="I377" s="34"/>
      <c r="J377" s="34"/>
      <c r="K377" s="31"/>
      <c r="L377" s="31"/>
      <c r="M377" s="31"/>
      <c r="N377" s="31"/>
      <c r="O377" s="31"/>
      <c r="P377" s="35">
        <f>IF(AND(ISNUMBER(J377),'REFERENCIAS'!$Q$8=1),ROUND(J377,'REFERENCIAS'!$K$8),"")</f>
      </c>
      <c r="R377" s="29" t="str">
        <f>"ID:"&amp;SUBSTITUTE(SUBSTITUTE(SUBSTITUTE(SUBSTITUTE(UPPER(TRIM(B377&amp;"")),"!","!E"),"*","!A"),"?","!B"),"~","!C")</f>
        <v>ID:</v>
      </c>
      <c r="S377" s="29" t="str">
        <f>"ID:"&amp;SUBSTITUTE(SUBSTITUTE(SUBSTITUTE(SUBSTITUTE(UPPER(TRIM(C377&amp;"")),"!","!E"),"*","!A"),"?","!B"),"~","!C")</f>
        <v>ID:</v>
      </c>
    </row>
    <row r="378" ht="75" customHeight="1">
      <c r="B378" s="31"/>
      <c r="C378" s="31"/>
      <c r="D378" s="31"/>
      <c r="E378" s="31"/>
      <c r="F378" s="31"/>
      <c r="G378" s="34"/>
      <c r="H378" s="34"/>
      <c r="I378" s="34"/>
      <c r="J378" s="34"/>
      <c r="K378" s="31"/>
      <c r="L378" s="31"/>
      <c r="M378" s="31"/>
      <c r="N378" s="31"/>
      <c r="O378" s="31"/>
      <c r="P378" s="35">
        <f>IF(AND(ISNUMBER(J378),'REFERENCIAS'!$Q$8=1),ROUND(J378,'REFERENCIAS'!$K$8),"")</f>
      </c>
      <c r="R378" s="29" t="str">
        <f>"ID:"&amp;SUBSTITUTE(SUBSTITUTE(SUBSTITUTE(SUBSTITUTE(UPPER(TRIM(B378&amp;"")),"!","!E"),"*","!A"),"?","!B"),"~","!C")</f>
        <v>ID:</v>
      </c>
      <c r="S378" s="29" t="str">
        <f>"ID:"&amp;SUBSTITUTE(SUBSTITUTE(SUBSTITUTE(SUBSTITUTE(UPPER(TRIM(C378&amp;"")),"!","!E"),"*","!A"),"?","!B"),"~","!C")</f>
        <v>ID:</v>
      </c>
    </row>
    <row r="379" ht="75" customHeight="1">
      <c r="B379" s="31"/>
      <c r="C379" s="31"/>
      <c r="D379" s="31"/>
      <c r="E379" s="31"/>
      <c r="F379" s="31"/>
      <c r="G379" s="34"/>
      <c r="H379" s="34"/>
      <c r="I379" s="34"/>
      <c r="J379" s="34"/>
      <c r="K379" s="31"/>
      <c r="L379" s="31"/>
      <c r="M379" s="31"/>
      <c r="N379" s="31"/>
      <c r="O379" s="31"/>
      <c r="P379" s="35">
        <f>IF(AND(ISNUMBER(J379),'REFERENCIAS'!$Q$8=1),ROUND(J379,'REFERENCIAS'!$K$8),"")</f>
      </c>
      <c r="R379" s="29" t="str">
        <f>"ID:"&amp;SUBSTITUTE(SUBSTITUTE(SUBSTITUTE(SUBSTITUTE(UPPER(TRIM(B379&amp;"")),"!","!E"),"*","!A"),"?","!B"),"~","!C")</f>
        <v>ID:</v>
      </c>
      <c r="S379" s="29" t="str">
        <f>"ID:"&amp;SUBSTITUTE(SUBSTITUTE(SUBSTITUTE(SUBSTITUTE(UPPER(TRIM(C379&amp;"")),"!","!E"),"*","!A"),"?","!B"),"~","!C")</f>
        <v>ID:</v>
      </c>
    </row>
    <row r="380" ht="75" customHeight="1">
      <c r="B380" s="31"/>
      <c r="C380" s="31"/>
      <c r="D380" s="31"/>
      <c r="E380" s="31"/>
      <c r="F380" s="31"/>
      <c r="G380" s="34"/>
      <c r="H380" s="34"/>
      <c r="I380" s="34"/>
      <c r="J380" s="34"/>
      <c r="K380" s="31"/>
      <c r="L380" s="31"/>
      <c r="M380" s="31"/>
      <c r="N380" s="31"/>
      <c r="O380" s="31"/>
      <c r="P380" s="35">
        <f>IF(AND(ISNUMBER(J380),'REFERENCIAS'!$Q$8=1),ROUND(J380,'REFERENCIAS'!$K$8),"")</f>
      </c>
      <c r="R380" s="29" t="str">
        <f>"ID:"&amp;SUBSTITUTE(SUBSTITUTE(SUBSTITUTE(SUBSTITUTE(UPPER(TRIM(B380&amp;"")),"!","!E"),"*","!A"),"?","!B"),"~","!C")</f>
        <v>ID:</v>
      </c>
      <c r="S380" s="29" t="str">
        <f>"ID:"&amp;SUBSTITUTE(SUBSTITUTE(SUBSTITUTE(SUBSTITUTE(UPPER(TRIM(C380&amp;"")),"!","!E"),"*","!A"),"?","!B"),"~","!C")</f>
        <v>ID:</v>
      </c>
    </row>
    <row r="381" ht="75" customHeight="1">
      <c r="B381" s="31"/>
      <c r="C381" s="31"/>
      <c r="D381" s="31"/>
      <c r="E381" s="31"/>
      <c r="F381" s="31"/>
      <c r="G381" s="34"/>
      <c r="H381" s="34"/>
      <c r="I381" s="34"/>
      <c r="J381" s="34"/>
      <c r="K381" s="31"/>
      <c r="L381" s="31"/>
      <c r="M381" s="31"/>
      <c r="N381" s="31"/>
      <c r="O381" s="31"/>
      <c r="P381" s="35">
        <f>IF(AND(ISNUMBER(J381),'REFERENCIAS'!$Q$8=1),ROUND(J381,'REFERENCIAS'!$K$8),"")</f>
      </c>
      <c r="R381" s="29" t="str">
        <f>"ID:"&amp;SUBSTITUTE(SUBSTITUTE(SUBSTITUTE(SUBSTITUTE(UPPER(TRIM(B381&amp;"")),"!","!E"),"*","!A"),"?","!B"),"~","!C")</f>
        <v>ID:</v>
      </c>
      <c r="S381" s="29" t="str">
        <f>"ID:"&amp;SUBSTITUTE(SUBSTITUTE(SUBSTITUTE(SUBSTITUTE(UPPER(TRIM(C381&amp;"")),"!","!E"),"*","!A"),"?","!B"),"~","!C")</f>
        <v>ID:</v>
      </c>
    </row>
    <row r="382" ht="75" customHeight="1">
      <c r="B382" s="31"/>
      <c r="C382" s="31"/>
      <c r="D382" s="31"/>
      <c r="E382" s="31"/>
      <c r="F382" s="31"/>
      <c r="G382" s="34"/>
      <c r="H382" s="34"/>
      <c r="I382" s="34"/>
      <c r="J382" s="34"/>
      <c r="K382" s="31"/>
      <c r="L382" s="31"/>
      <c r="M382" s="31"/>
      <c r="N382" s="31"/>
      <c r="O382" s="31"/>
      <c r="P382" s="35">
        <f>IF(AND(ISNUMBER(J382),'REFERENCIAS'!$Q$8=1),ROUND(J382,'REFERENCIAS'!$K$8),"")</f>
      </c>
      <c r="R382" s="29" t="str">
        <f>"ID:"&amp;SUBSTITUTE(SUBSTITUTE(SUBSTITUTE(SUBSTITUTE(UPPER(TRIM(B382&amp;"")),"!","!E"),"*","!A"),"?","!B"),"~","!C")</f>
        <v>ID:</v>
      </c>
      <c r="S382" s="29" t="str">
        <f>"ID:"&amp;SUBSTITUTE(SUBSTITUTE(SUBSTITUTE(SUBSTITUTE(UPPER(TRIM(C382&amp;"")),"!","!E"),"*","!A"),"?","!B"),"~","!C")</f>
        <v>ID:</v>
      </c>
    </row>
    <row r="383" ht="75" customHeight="1">
      <c r="B383" s="31"/>
      <c r="C383" s="31"/>
      <c r="D383" s="31"/>
      <c r="E383" s="31"/>
      <c r="F383" s="31"/>
      <c r="G383" s="34"/>
      <c r="H383" s="34"/>
      <c r="I383" s="34"/>
      <c r="J383" s="34"/>
      <c r="K383" s="31"/>
      <c r="L383" s="31"/>
      <c r="M383" s="31"/>
      <c r="N383" s="31"/>
      <c r="O383" s="31"/>
      <c r="P383" s="35">
        <f>IF(AND(ISNUMBER(J383),'REFERENCIAS'!$Q$8=1),ROUND(J383,'REFERENCIAS'!$K$8),"")</f>
      </c>
      <c r="R383" s="29" t="str">
        <f>"ID:"&amp;SUBSTITUTE(SUBSTITUTE(SUBSTITUTE(SUBSTITUTE(UPPER(TRIM(B383&amp;"")),"!","!E"),"*","!A"),"?","!B"),"~","!C")</f>
        <v>ID:</v>
      </c>
      <c r="S383" s="29" t="str">
        <f>"ID:"&amp;SUBSTITUTE(SUBSTITUTE(SUBSTITUTE(SUBSTITUTE(UPPER(TRIM(C383&amp;"")),"!","!E"),"*","!A"),"?","!B"),"~","!C")</f>
        <v>ID:</v>
      </c>
    </row>
    <row r="384" ht="75" customHeight="1">
      <c r="B384" s="31"/>
      <c r="C384" s="31"/>
      <c r="D384" s="31"/>
      <c r="E384" s="31"/>
      <c r="F384" s="31"/>
      <c r="G384" s="34"/>
      <c r="H384" s="34"/>
      <c r="I384" s="34"/>
      <c r="J384" s="34"/>
      <c r="K384" s="31"/>
      <c r="L384" s="31"/>
      <c r="M384" s="31"/>
      <c r="N384" s="31"/>
      <c r="O384" s="31"/>
      <c r="P384" s="35">
        <f>IF(AND(ISNUMBER(J384),'REFERENCIAS'!$Q$8=1),ROUND(J384,'REFERENCIAS'!$K$8),"")</f>
      </c>
      <c r="R384" s="29" t="str">
        <f>"ID:"&amp;SUBSTITUTE(SUBSTITUTE(SUBSTITUTE(SUBSTITUTE(UPPER(TRIM(B384&amp;"")),"!","!E"),"*","!A"),"?","!B"),"~","!C")</f>
        <v>ID:</v>
      </c>
      <c r="S384" s="29" t="str">
        <f>"ID:"&amp;SUBSTITUTE(SUBSTITUTE(SUBSTITUTE(SUBSTITUTE(UPPER(TRIM(C384&amp;"")),"!","!E"),"*","!A"),"?","!B"),"~","!C")</f>
        <v>ID:</v>
      </c>
    </row>
    <row r="385" ht="75" customHeight="1">
      <c r="B385" s="31"/>
      <c r="C385" s="31"/>
      <c r="D385" s="31"/>
      <c r="E385" s="31"/>
      <c r="F385" s="31"/>
      <c r="G385" s="34"/>
      <c r="H385" s="34"/>
      <c r="I385" s="34"/>
      <c r="J385" s="34"/>
      <c r="K385" s="31"/>
      <c r="L385" s="31"/>
      <c r="M385" s="31"/>
      <c r="N385" s="31"/>
      <c r="O385" s="31"/>
      <c r="P385" s="35">
        <f>IF(AND(ISNUMBER(J385),'REFERENCIAS'!$Q$8=1),ROUND(J385,'REFERENCIAS'!$K$8),"")</f>
      </c>
      <c r="R385" s="29" t="str">
        <f>"ID:"&amp;SUBSTITUTE(SUBSTITUTE(SUBSTITUTE(SUBSTITUTE(UPPER(TRIM(B385&amp;"")),"!","!E"),"*","!A"),"?","!B"),"~","!C")</f>
        <v>ID:</v>
      </c>
      <c r="S385" s="29" t="str">
        <f>"ID:"&amp;SUBSTITUTE(SUBSTITUTE(SUBSTITUTE(SUBSTITUTE(UPPER(TRIM(C385&amp;"")),"!","!E"),"*","!A"),"?","!B"),"~","!C")</f>
        <v>ID:</v>
      </c>
    </row>
    <row r="386" ht="75" customHeight="1">
      <c r="B386" s="31"/>
      <c r="C386" s="31"/>
      <c r="D386" s="31"/>
      <c r="E386" s="31"/>
      <c r="F386" s="31"/>
      <c r="G386" s="34"/>
      <c r="H386" s="34"/>
      <c r="I386" s="34"/>
      <c r="J386" s="34"/>
      <c r="K386" s="31"/>
      <c r="L386" s="31"/>
      <c r="M386" s="31"/>
      <c r="N386" s="31"/>
      <c r="O386" s="31"/>
      <c r="P386" s="35">
        <f>IF(AND(ISNUMBER(J386),'REFERENCIAS'!$Q$8=1),ROUND(J386,'REFERENCIAS'!$K$8),"")</f>
      </c>
      <c r="R386" s="29" t="str">
        <f>"ID:"&amp;SUBSTITUTE(SUBSTITUTE(SUBSTITUTE(SUBSTITUTE(UPPER(TRIM(B386&amp;"")),"!","!E"),"*","!A"),"?","!B"),"~","!C")</f>
        <v>ID:</v>
      </c>
      <c r="S386" s="29" t="str">
        <f>"ID:"&amp;SUBSTITUTE(SUBSTITUTE(SUBSTITUTE(SUBSTITUTE(UPPER(TRIM(C386&amp;"")),"!","!E"),"*","!A"),"?","!B"),"~","!C")</f>
        <v>ID:</v>
      </c>
    </row>
    <row r="387" ht="75" customHeight="1">
      <c r="B387" s="31"/>
      <c r="C387" s="31"/>
      <c r="D387" s="31"/>
      <c r="E387" s="31"/>
      <c r="F387" s="31"/>
      <c r="G387" s="34"/>
      <c r="H387" s="34"/>
      <c r="I387" s="34"/>
      <c r="J387" s="34"/>
      <c r="K387" s="31"/>
      <c r="L387" s="31"/>
      <c r="M387" s="31"/>
      <c r="N387" s="31"/>
      <c r="O387" s="31"/>
      <c r="P387" s="35">
        <f>IF(AND(ISNUMBER(J387),'REFERENCIAS'!$Q$8=1),ROUND(J387,'REFERENCIAS'!$K$8),"")</f>
      </c>
      <c r="R387" s="29" t="str">
        <f>"ID:"&amp;SUBSTITUTE(SUBSTITUTE(SUBSTITUTE(SUBSTITUTE(UPPER(TRIM(B387&amp;"")),"!","!E"),"*","!A"),"?","!B"),"~","!C")</f>
        <v>ID:</v>
      </c>
      <c r="S387" s="29" t="str">
        <f>"ID:"&amp;SUBSTITUTE(SUBSTITUTE(SUBSTITUTE(SUBSTITUTE(UPPER(TRIM(C387&amp;"")),"!","!E"),"*","!A"),"?","!B"),"~","!C")</f>
        <v>ID:</v>
      </c>
    </row>
    <row r="388" ht="75" customHeight="1">
      <c r="B388" s="31"/>
      <c r="C388" s="31"/>
      <c r="D388" s="31"/>
      <c r="E388" s="31"/>
      <c r="F388" s="31"/>
      <c r="G388" s="34"/>
      <c r="H388" s="34"/>
      <c r="I388" s="34"/>
      <c r="J388" s="34"/>
      <c r="K388" s="31"/>
      <c r="L388" s="31"/>
      <c r="M388" s="31"/>
      <c r="N388" s="31"/>
      <c r="O388" s="31"/>
      <c r="P388" s="35">
        <f>IF(AND(ISNUMBER(J388),'REFERENCIAS'!$Q$8=1),ROUND(J388,'REFERENCIAS'!$K$8),"")</f>
      </c>
      <c r="R388" s="29" t="str">
        <f>"ID:"&amp;SUBSTITUTE(SUBSTITUTE(SUBSTITUTE(SUBSTITUTE(UPPER(TRIM(B388&amp;"")),"!","!E"),"*","!A"),"?","!B"),"~","!C")</f>
        <v>ID:</v>
      </c>
      <c r="S388" s="29" t="str">
        <f>"ID:"&amp;SUBSTITUTE(SUBSTITUTE(SUBSTITUTE(SUBSTITUTE(UPPER(TRIM(C388&amp;"")),"!","!E"),"*","!A"),"?","!B"),"~","!C")</f>
        <v>ID:</v>
      </c>
    </row>
    <row r="389" ht="75" customHeight="1">
      <c r="B389" s="31"/>
      <c r="C389" s="31"/>
      <c r="D389" s="31"/>
      <c r="E389" s="31"/>
      <c r="F389" s="31"/>
      <c r="G389" s="34"/>
      <c r="H389" s="34"/>
      <c r="I389" s="34"/>
      <c r="J389" s="34"/>
      <c r="K389" s="31"/>
      <c r="L389" s="31"/>
      <c r="M389" s="31"/>
      <c r="N389" s="31"/>
      <c r="O389" s="31"/>
      <c r="P389" s="35">
        <f>IF(AND(ISNUMBER(J389),'REFERENCIAS'!$Q$8=1),ROUND(J389,'REFERENCIAS'!$K$8),"")</f>
      </c>
      <c r="R389" s="29" t="str">
        <f>"ID:"&amp;SUBSTITUTE(SUBSTITUTE(SUBSTITUTE(SUBSTITUTE(UPPER(TRIM(B389&amp;"")),"!","!E"),"*","!A"),"?","!B"),"~","!C")</f>
        <v>ID:</v>
      </c>
      <c r="S389" s="29" t="str">
        <f>"ID:"&amp;SUBSTITUTE(SUBSTITUTE(SUBSTITUTE(SUBSTITUTE(UPPER(TRIM(C389&amp;"")),"!","!E"),"*","!A"),"?","!B"),"~","!C")</f>
        <v>ID:</v>
      </c>
    </row>
    <row r="390" ht="75" customHeight="1">
      <c r="B390" s="31"/>
      <c r="C390" s="31"/>
      <c r="D390" s="31"/>
      <c r="E390" s="31"/>
      <c r="F390" s="31"/>
      <c r="G390" s="34"/>
      <c r="H390" s="34"/>
      <c r="I390" s="34"/>
      <c r="J390" s="34"/>
      <c r="K390" s="31"/>
      <c r="L390" s="31"/>
      <c r="M390" s="31"/>
      <c r="N390" s="31"/>
      <c r="O390" s="31"/>
      <c r="P390" s="35">
        <f>IF(AND(ISNUMBER(J390),'REFERENCIAS'!$Q$8=1),ROUND(J390,'REFERENCIAS'!$K$8),"")</f>
      </c>
      <c r="R390" s="29" t="str">
        <f>"ID:"&amp;SUBSTITUTE(SUBSTITUTE(SUBSTITUTE(SUBSTITUTE(UPPER(TRIM(B390&amp;"")),"!","!E"),"*","!A"),"?","!B"),"~","!C")</f>
        <v>ID:</v>
      </c>
      <c r="S390" s="29" t="str">
        <f>"ID:"&amp;SUBSTITUTE(SUBSTITUTE(SUBSTITUTE(SUBSTITUTE(UPPER(TRIM(C390&amp;"")),"!","!E"),"*","!A"),"?","!B"),"~","!C")</f>
        <v>ID:</v>
      </c>
    </row>
    <row r="391" ht="75" customHeight="1">
      <c r="B391" s="31"/>
      <c r="C391" s="31"/>
      <c r="D391" s="31"/>
      <c r="E391" s="31"/>
      <c r="F391" s="31"/>
      <c r="G391" s="34"/>
      <c r="H391" s="34"/>
      <c r="I391" s="34"/>
      <c r="J391" s="34"/>
      <c r="K391" s="31"/>
      <c r="L391" s="31"/>
      <c r="M391" s="31"/>
      <c r="N391" s="31"/>
      <c r="O391" s="31"/>
      <c r="P391" s="35">
        <f>IF(AND(ISNUMBER(J391),'REFERENCIAS'!$Q$8=1),ROUND(J391,'REFERENCIAS'!$K$8),"")</f>
      </c>
      <c r="R391" s="29" t="str">
        <f>"ID:"&amp;SUBSTITUTE(SUBSTITUTE(SUBSTITUTE(SUBSTITUTE(UPPER(TRIM(B391&amp;"")),"!","!E"),"*","!A"),"?","!B"),"~","!C")</f>
        <v>ID:</v>
      </c>
      <c r="S391" s="29" t="str">
        <f>"ID:"&amp;SUBSTITUTE(SUBSTITUTE(SUBSTITUTE(SUBSTITUTE(UPPER(TRIM(C391&amp;"")),"!","!E"),"*","!A"),"?","!B"),"~","!C")</f>
        <v>ID:</v>
      </c>
    </row>
    <row r="392" ht="75" customHeight="1">
      <c r="B392" s="31"/>
      <c r="C392" s="31"/>
      <c r="D392" s="31"/>
      <c r="E392" s="31"/>
      <c r="F392" s="31"/>
      <c r="G392" s="34"/>
      <c r="H392" s="34"/>
      <c r="I392" s="34"/>
      <c r="J392" s="34"/>
      <c r="K392" s="31"/>
      <c r="L392" s="31"/>
      <c r="M392" s="31"/>
      <c r="N392" s="31"/>
      <c r="O392" s="31"/>
      <c r="P392" s="35">
        <f>IF(AND(ISNUMBER(J392),'REFERENCIAS'!$Q$8=1),ROUND(J392,'REFERENCIAS'!$K$8),"")</f>
      </c>
      <c r="R392" s="29" t="str">
        <f>"ID:"&amp;SUBSTITUTE(SUBSTITUTE(SUBSTITUTE(SUBSTITUTE(UPPER(TRIM(B392&amp;"")),"!","!E"),"*","!A"),"?","!B"),"~","!C")</f>
        <v>ID:</v>
      </c>
      <c r="S392" s="29" t="str">
        <f>"ID:"&amp;SUBSTITUTE(SUBSTITUTE(SUBSTITUTE(SUBSTITUTE(UPPER(TRIM(C392&amp;"")),"!","!E"),"*","!A"),"?","!B"),"~","!C")</f>
        <v>ID:</v>
      </c>
    </row>
    <row r="393" ht="75" customHeight="1">
      <c r="B393" s="31"/>
      <c r="C393" s="31"/>
      <c r="D393" s="31"/>
      <c r="E393" s="31"/>
      <c r="F393" s="31"/>
      <c r="G393" s="34"/>
      <c r="H393" s="34"/>
      <c r="I393" s="34"/>
      <c r="J393" s="34"/>
      <c r="K393" s="31"/>
      <c r="L393" s="31"/>
      <c r="M393" s="31"/>
      <c r="N393" s="31"/>
      <c r="O393" s="31"/>
      <c r="P393" s="35">
        <f>IF(AND(ISNUMBER(J393),'REFERENCIAS'!$Q$8=1),ROUND(J393,'REFERENCIAS'!$K$8),"")</f>
      </c>
      <c r="R393" s="29" t="str">
        <f>"ID:"&amp;SUBSTITUTE(SUBSTITUTE(SUBSTITUTE(SUBSTITUTE(UPPER(TRIM(B393&amp;"")),"!","!E"),"*","!A"),"?","!B"),"~","!C")</f>
        <v>ID:</v>
      </c>
      <c r="S393" s="29" t="str">
        <f>"ID:"&amp;SUBSTITUTE(SUBSTITUTE(SUBSTITUTE(SUBSTITUTE(UPPER(TRIM(C393&amp;"")),"!","!E"),"*","!A"),"?","!B"),"~","!C")</f>
        <v>ID:</v>
      </c>
    </row>
    <row r="394" ht="75" customHeight="1">
      <c r="B394" s="31"/>
      <c r="C394" s="31"/>
      <c r="D394" s="31"/>
      <c r="E394" s="31"/>
      <c r="F394" s="31"/>
      <c r="G394" s="34"/>
      <c r="H394" s="34"/>
      <c r="I394" s="34"/>
      <c r="J394" s="34"/>
      <c r="K394" s="31"/>
      <c r="L394" s="31"/>
      <c r="M394" s="31"/>
      <c r="N394" s="31"/>
      <c r="O394" s="31"/>
      <c r="P394" s="35">
        <f>IF(AND(ISNUMBER(J394),'REFERENCIAS'!$Q$8=1),ROUND(J394,'REFERENCIAS'!$K$8),"")</f>
      </c>
      <c r="R394" s="29" t="str">
        <f>"ID:"&amp;SUBSTITUTE(SUBSTITUTE(SUBSTITUTE(SUBSTITUTE(UPPER(TRIM(B394&amp;"")),"!","!E"),"*","!A"),"?","!B"),"~","!C")</f>
        <v>ID:</v>
      </c>
      <c r="S394" s="29" t="str">
        <f>"ID:"&amp;SUBSTITUTE(SUBSTITUTE(SUBSTITUTE(SUBSTITUTE(UPPER(TRIM(C394&amp;"")),"!","!E"),"*","!A"),"?","!B"),"~","!C")</f>
        <v>ID:</v>
      </c>
    </row>
    <row r="395" ht="75" customHeight="1">
      <c r="B395" s="31"/>
      <c r="C395" s="31"/>
      <c r="D395" s="31"/>
      <c r="E395" s="31"/>
      <c r="F395" s="31"/>
      <c r="G395" s="34"/>
      <c r="H395" s="34"/>
      <c r="I395" s="34"/>
      <c r="J395" s="34"/>
      <c r="K395" s="31"/>
      <c r="L395" s="31"/>
      <c r="M395" s="31"/>
      <c r="N395" s="31"/>
      <c r="O395" s="31"/>
      <c r="P395" s="35">
        <f>IF(AND(ISNUMBER(J395),'REFERENCIAS'!$Q$8=1),ROUND(J395,'REFERENCIAS'!$K$8),"")</f>
      </c>
      <c r="R395" s="29" t="str">
        <f>"ID:"&amp;SUBSTITUTE(SUBSTITUTE(SUBSTITUTE(SUBSTITUTE(UPPER(TRIM(B395&amp;"")),"!","!E"),"*","!A"),"?","!B"),"~","!C")</f>
        <v>ID:</v>
      </c>
      <c r="S395" s="29" t="str">
        <f>"ID:"&amp;SUBSTITUTE(SUBSTITUTE(SUBSTITUTE(SUBSTITUTE(UPPER(TRIM(C395&amp;"")),"!","!E"),"*","!A"),"?","!B"),"~","!C")</f>
        <v>ID:</v>
      </c>
    </row>
    <row r="396" ht="75" customHeight="1">
      <c r="B396" s="31"/>
      <c r="C396" s="31"/>
      <c r="D396" s="31"/>
      <c r="E396" s="31"/>
      <c r="F396" s="31"/>
      <c r="G396" s="34"/>
      <c r="H396" s="34"/>
      <c r="I396" s="34"/>
      <c r="J396" s="34"/>
      <c r="K396" s="31"/>
      <c r="L396" s="31"/>
      <c r="M396" s="31"/>
      <c r="N396" s="31"/>
      <c r="O396" s="31"/>
      <c r="P396" s="35">
        <f>IF(AND(ISNUMBER(J396),'REFERENCIAS'!$Q$8=1),ROUND(J396,'REFERENCIAS'!$K$8),"")</f>
      </c>
      <c r="R396" s="29" t="str">
        <f>"ID:"&amp;SUBSTITUTE(SUBSTITUTE(SUBSTITUTE(SUBSTITUTE(UPPER(TRIM(B396&amp;"")),"!","!E"),"*","!A"),"?","!B"),"~","!C")</f>
        <v>ID:</v>
      </c>
      <c r="S396" s="29" t="str">
        <f>"ID:"&amp;SUBSTITUTE(SUBSTITUTE(SUBSTITUTE(SUBSTITUTE(UPPER(TRIM(C396&amp;"")),"!","!E"),"*","!A"),"?","!B"),"~","!C")</f>
        <v>ID:</v>
      </c>
    </row>
    <row r="397" ht="75" customHeight="1">
      <c r="B397" s="31"/>
      <c r="C397" s="31"/>
      <c r="D397" s="31"/>
      <c r="E397" s="31"/>
      <c r="F397" s="31"/>
      <c r="G397" s="34"/>
      <c r="H397" s="34"/>
      <c r="I397" s="34"/>
      <c r="J397" s="34"/>
      <c r="K397" s="31"/>
      <c r="L397" s="31"/>
      <c r="M397" s="31"/>
      <c r="N397" s="31"/>
      <c r="O397" s="31"/>
      <c r="P397" s="35">
        <f>IF(AND(ISNUMBER(J397),'REFERENCIAS'!$Q$8=1),ROUND(J397,'REFERENCIAS'!$K$8),"")</f>
      </c>
      <c r="R397" s="29" t="str">
        <f>"ID:"&amp;SUBSTITUTE(SUBSTITUTE(SUBSTITUTE(SUBSTITUTE(UPPER(TRIM(B397&amp;"")),"!","!E"),"*","!A"),"?","!B"),"~","!C")</f>
        <v>ID:</v>
      </c>
      <c r="S397" s="29" t="str">
        <f>"ID:"&amp;SUBSTITUTE(SUBSTITUTE(SUBSTITUTE(SUBSTITUTE(UPPER(TRIM(C397&amp;"")),"!","!E"),"*","!A"),"?","!B"),"~","!C")</f>
        <v>ID:</v>
      </c>
    </row>
    <row r="398" ht="75" customHeight="1">
      <c r="B398" s="31"/>
      <c r="C398" s="31"/>
      <c r="D398" s="31"/>
      <c r="E398" s="31"/>
      <c r="F398" s="31"/>
      <c r="G398" s="34"/>
      <c r="H398" s="34"/>
      <c r="I398" s="34"/>
      <c r="J398" s="34"/>
      <c r="K398" s="31"/>
      <c r="L398" s="31"/>
      <c r="M398" s="31"/>
      <c r="N398" s="31"/>
      <c r="O398" s="31"/>
      <c r="P398" s="35">
        <f>IF(AND(ISNUMBER(J398),'REFERENCIAS'!$Q$8=1),ROUND(J398,'REFERENCIAS'!$K$8),"")</f>
      </c>
      <c r="R398" s="29" t="str">
        <f>"ID:"&amp;SUBSTITUTE(SUBSTITUTE(SUBSTITUTE(SUBSTITUTE(UPPER(TRIM(B398&amp;"")),"!","!E"),"*","!A"),"?","!B"),"~","!C")</f>
        <v>ID:</v>
      </c>
      <c r="S398" s="29" t="str">
        <f>"ID:"&amp;SUBSTITUTE(SUBSTITUTE(SUBSTITUTE(SUBSTITUTE(UPPER(TRIM(C398&amp;"")),"!","!E"),"*","!A"),"?","!B"),"~","!C")</f>
        <v>ID:</v>
      </c>
    </row>
    <row r="399" ht="75" customHeight="1">
      <c r="B399" s="31"/>
      <c r="C399" s="31"/>
      <c r="D399" s="31"/>
      <c r="E399" s="31"/>
      <c r="F399" s="31"/>
      <c r="G399" s="34"/>
      <c r="H399" s="34"/>
      <c r="I399" s="34"/>
      <c r="J399" s="34"/>
      <c r="K399" s="31"/>
      <c r="L399" s="31"/>
      <c r="M399" s="31"/>
      <c r="N399" s="31"/>
      <c r="O399" s="31"/>
      <c r="P399" s="35">
        <f>IF(AND(ISNUMBER(J399),'REFERENCIAS'!$Q$8=1),ROUND(J399,'REFERENCIAS'!$K$8),"")</f>
      </c>
      <c r="R399" s="29" t="str">
        <f>"ID:"&amp;SUBSTITUTE(SUBSTITUTE(SUBSTITUTE(SUBSTITUTE(UPPER(TRIM(B399&amp;"")),"!","!E"),"*","!A"),"?","!B"),"~","!C")</f>
        <v>ID:</v>
      </c>
      <c r="S399" s="29" t="str">
        <f>"ID:"&amp;SUBSTITUTE(SUBSTITUTE(SUBSTITUTE(SUBSTITUTE(UPPER(TRIM(C399&amp;"")),"!","!E"),"*","!A"),"?","!B"),"~","!C")</f>
        <v>ID:</v>
      </c>
    </row>
    <row r="400" ht="75" customHeight="1">
      <c r="B400" s="31"/>
      <c r="C400" s="31"/>
      <c r="D400" s="31"/>
      <c r="E400" s="31"/>
      <c r="F400" s="31"/>
      <c r="G400" s="34"/>
      <c r="H400" s="34"/>
      <c r="I400" s="34"/>
      <c r="J400" s="34"/>
      <c r="K400" s="31"/>
      <c r="L400" s="31"/>
      <c r="M400" s="31"/>
      <c r="N400" s="31"/>
      <c r="O400" s="31"/>
      <c r="P400" s="35">
        <f>IF(AND(ISNUMBER(J400),'REFERENCIAS'!$Q$8=1),ROUND(J400,'REFERENCIAS'!$K$8),"")</f>
      </c>
      <c r="R400" s="29" t="str">
        <f>"ID:"&amp;SUBSTITUTE(SUBSTITUTE(SUBSTITUTE(SUBSTITUTE(UPPER(TRIM(B400&amp;"")),"!","!E"),"*","!A"),"?","!B"),"~","!C")</f>
        <v>ID:</v>
      </c>
      <c r="S400" s="29" t="str">
        <f>"ID:"&amp;SUBSTITUTE(SUBSTITUTE(SUBSTITUTE(SUBSTITUTE(UPPER(TRIM(C400&amp;"")),"!","!E"),"*","!A"),"?","!B"),"~","!C")</f>
        <v>ID:</v>
      </c>
    </row>
    <row r="401" ht="75" customHeight="1">
      <c r="B401" s="31"/>
      <c r="C401" s="31"/>
      <c r="D401" s="31"/>
      <c r="E401" s="31"/>
      <c r="F401" s="31"/>
      <c r="G401" s="34"/>
      <c r="H401" s="34"/>
      <c r="I401" s="34"/>
      <c r="J401" s="34"/>
      <c r="K401" s="31"/>
      <c r="L401" s="31"/>
      <c r="M401" s="31"/>
      <c r="N401" s="31"/>
      <c r="O401" s="31"/>
      <c r="P401" s="35">
        <f>IF(AND(ISNUMBER(J401),'REFERENCIAS'!$Q$8=1),ROUND(J401,'REFERENCIAS'!$K$8),"")</f>
      </c>
      <c r="R401" s="29" t="str">
        <f>"ID:"&amp;SUBSTITUTE(SUBSTITUTE(SUBSTITUTE(SUBSTITUTE(UPPER(TRIM(B401&amp;"")),"!","!E"),"*","!A"),"?","!B"),"~","!C")</f>
        <v>ID:</v>
      </c>
      <c r="S401" s="29" t="str">
        <f>"ID:"&amp;SUBSTITUTE(SUBSTITUTE(SUBSTITUTE(SUBSTITUTE(UPPER(TRIM(C401&amp;"")),"!","!E"),"*","!A"),"?","!B"),"~","!C")</f>
        <v>ID:</v>
      </c>
    </row>
    <row r="402" ht="75" customHeight="1">
      <c r="B402" s="31"/>
      <c r="C402" s="31"/>
      <c r="D402" s="31"/>
      <c r="E402" s="31"/>
      <c r="F402" s="31"/>
      <c r="G402" s="34"/>
      <c r="H402" s="34"/>
      <c r="I402" s="34"/>
      <c r="J402" s="34"/>
      <c r="K402" s="31"/>
      <c r="L402" s="31"/>
      <c r="M402" s="31"/>
      <c r="N402" s="31"/>
      <c r="O402" s="31"/>
      <c r="P402" s="35">
        <f>IF(AND(ISNUMBER(J402),'REFERENCIAS'!$Q$8=1),ROUND(J402,'REFERENCIAS'!$K$8),"")</f>
      </c>
      <c r="R402" s="29" t="str">
        <f>"ID:"&amp;SUBSTITUTE(SUBSTITUTE(SUBSTITUTE(SUBSTITUTE(UPPER(TRIM(B402&amp;"")),"!","!E"),"*","!A"),"?","!B"),"~","!C")</f>
        <v>ID:</v>
      </c>
      <c r="S402" s="29" t="str">
        <f>"ID:"&amp;SUBSTITUTE(SUBSTITUTE(SUBSTITUTE(SUBSTITUTE(UPPER(TRIM(C402&amp;"")),"!","!E"),"*","!A"),"?","!B"),"~","!C")</f>
        <v>ID:</v>
      </c>
    </row>
    <row r="403" ht="75" customHeight="1">
      <c r="B403" s="31"/>
      <c r="C403" s="31"/>
      <c r="D403" s="31"/>
      <c r="E403" s="31"/>
      <c r="F403" s="31"/>
      <c r="G403" s="34"/>
      <c r="H403" s="34"/>
      <c r="I403" s="34"/>
      <c r="J403" s="34"/>
      <c r="K403" s="31"/>
      <c r="L403" s="31"/>
      <c r="M403" s="31"/>
      <c r="N403" s="31"/>
      <c r="O403" s="31"/>
      <c r="P403" s="35">
        <f>IF(AND(ISNUMBER(J403),'REFERENCIAS'!$Q$8=1),ROUND(J403,'REFERENCIAS'!$K$8),"")</f>
      </c>
      <c r="R403" s="29" t="str">
        <f>"ID:"&amp;SUBSTITUTE(SUBSTITUTE(SUBSTITUTE(SUBSTITUTE(UPPER(TRIM(B403&amp;"")),"!","!E"),"*","!A"),"?","!B"),"~","!C")</f>
        <v>ID:</v>
      </c>
      <c r="S403" s="29" t="str">
        <f>"ID:"&amp;SUBSTITUTE(SUBSTITUTE(SUBSTITUTE(SUBSTITUTE(UPPER(TRIM(C403&amp;"")),"!","!E"),"*","!A"),"?","!B"),"~","!C")</f>
        <v>ID:</v>
      </c>
    </row>
    <row r="404" ht="75" customHeight="1">
      <c r="B404" s="31"/>
      <c r="C404" s="31"/>
      <c r="D404" s="31"/>
      <c r="E404" s="31"/>
      <c r="F404" s="31"/>
      <c r="G404" s="34"/>
      <c r="H404" s="34"/>
      <c r="I404" s="34"/>
      <c r="J404" s="34"/>
      <c r="K404" s="31"/>
      <c r="L404" s="31"/>
      <c r="M404" s="31"/>
      <c r="N404" s="31"/>
      <c r="O404" s="31"/>
      <c r="P404" s="35">
        <f>IF(AND(ISNUMBER(J404),'REFERENCIAS'!$Q$8=1),ROUND(J404,'REFERENCIAS'!$K$8),"")</f>
      </c>
      <c r="R404" s="29" t="str">
        <f>"ID:"&amp;SUBSTITUTE(SUBSTITUTE(SUBSTITUTE(SUBSTITUTE(UPPER(TRIM(B404&amp;"")),"!","!E"),"*","!A"),"?","!B"),"~","!C")</f>
        <v>ID:</v>
      </c>
      <c r="S404" s="29" t="str">
        <f>"ID:"&amp;SUBSTITUTE(SUBSTITUTE(SUBSTITUTE(SUBSTITUTE(UPPER(TRIM(C404&amp;"")),"!","!E"),"*","!A"),"?","!B"),"~","!C")</f>
        <v>ID:</v>
      </c>
    </row>
    <row r="405" ht="75" customHeight="1">
      <c r="B405" s="31"/>
      <c r="C405" s="31"/>
      <c r="D405" s="31"/>
      <c r="E405" s="31"/>
      <c r="F405" s="31"/>
      <c r="G405" s="34"/>
      <c r="H405" s="34"/>
      <c r="I405" s="34"/>
      <c r="J405" s="34"/>
      <c r="K405" s="31"/>
      <c r="L405" s="31"/>
      <c r="M405" s="31"/>
      <c r="N405" s="31"/>
      <c r="O405" s="31"/>
      <c r="P405" s="35">
        <f>IF(AND(ISNUMBER(J405),'REFERENCIAS'!$Q$8=1),ROUND(J405,'REFERENCIAS'!$K$8),"")</f>
      </c>
      <c r="R405" s="29" t="str">
        <f>"ID:"&amp;SUBSTITUTE(SUBSTITUTE(SUBSTITUTE(SUBSTITUTE(UPPER(TRIM(B405&amp;"")),"!","!E"),"*","!A"),"?","!B"),"~","!C")</f>
        <v>ID:</v>
      </c>
      <c r="S405" s="29" t="str">
        <f>"ID:"&amp;SUBSTITUTE(SUBSTITUTE(SUBSTITUTE(SUBSTITUTE(UPPER(TRIM(C405&amp;"")),"!","!E"),"*","!A"),"?","!B"),"~","!C")</f>
        <v>ID:</v>
      </c>
    </row>
    <row r="406" ht="75" customHeight="1">
      <c r="B406" s="31"/>
      <c r="C406" s="31"/>
      <c r="D406" s="31"/>
      <c r="E406" s="31"/>
      <c r="F406" s="31"/>
      <c r="G406" s="34"/>
      <c r="H406" s="34"/>
      <c r="I406" s="34"/>
      <c r="J406" s="34"/>
      <c r="K406" s="31"/>
      <c r="L406" s="31"/>
      <c r="M406" s="31"/>
      <c r="N406" s="31"/>
      <c r="O406" s="31"/>
      <c r="P406" s="35">
        <f>IF(AND(ISNUMBER(J406),'REFERENCIAS'!$Q$8=1),ROUND(J406,'REFERENCIAS'!$K$8),"")</f>
      </c>
      <c r="R406" s="29" t="str">
        <f>"ID:"&amp;SUBSTITUTE(SUBSTITUTE(SUBSTITUTE(SUBSTITUTE(UPPER(TRIM(B406&amp;"")),"!","!E"),"*","!A"),"?","!B"),"~","!C")</f>
        <v>ID:</v>
      </c>
      <c r="S406" s="29" t="str">
        <f>"ID:"&amp;SUBSTITUTE(SUBSTITUTE(SUBSTITUTE(SUBSTITUTE(UPPER(TRIM(C406&amp;"")),"!","!E"),"*","!A"),"?","!B"),"~","!C")</f>
        <v>ID:</v>
      </c>
    </row>
    <row r="407" ht="75" customHeight="1">
      <c r="B407" s="31"/>
      <c r="C407" s="31"/>
      <c r="D407" s="31"/>
      <c r="E407" s="31"/>
      <c r="F407" s="31"/>
      <c r="G407" s="34"/>
      <c r="H407" s="34"/>
      <c r="I407" s="34"/>
      <c r="J407" s="34"/>
      <c r="K407" s="31"/>
      <c r="L407" s="31"/>
      <c r="M407" s="31"/>
      <c r="N407" s="31"/>
      <c r="O407" s="31"/>
      <c r="P407" s="35">
        <f>IF(AND(ISNUMBER(J407),'REFERENCIAS'!$Q$8=1),ROUND(J407,'REFERENCIAS'!$K$8),"")</f>
      </c>
      <c r="R407" s="29" t="str">
        <f>"ID:"&amp;SUBSTITUTE(SUBSTITUTE(SUBSTITUTE(SUBSTITUTE(UPPER(TRIM(B407&amp;"")),"!","!E"),"*","!A"),"?","!B"),"~","!C")</f>
        <v>ID:</v>
      </c>
      <c r="S407" s="29" t="str">
        <f>"ID:"&amp;SUBSTITUTE(SUBSTITUTE(SUBSTITUTE(SUBSTITUTE(UPPER(TRIM(C407&amp;"")),"!","!E"),"*","!A"),"?","!B"),"~","!C")</f>
        <v>ID:</v>
      </c>
    </row>
    <row r="408" ht="75" customHeight="1">
      <c r="B408" s="31"/>
      <c r="C408" s="31"/>
      <c r="D408" s="31"/>
      <c r="E408" s="31"/>
      <c r="F408" s="31"/>
      <c r="G408" s="34"/>
      <c r="H408" s="34"/>
      <c r="I408" s="34"/>
      <c r="J408" s="34"/>
      <c r="K408" s="31"/>
      <c r="L408" s="31"/>
      <c r="M408" s="31"/>
      <c r="N408" s="31"/>
      <c r="O408" s="31"/>
      <c r="P408" s="35">
        <f>IF(AND(ISNUMBER(J408),'REFERENCIAS'!$Q$8=1),ROUND(J408,'REFERENCIAS'!$K$8),"")</f>
      </c>
      <c r="R408" s="29" t="str">
        <f>"ID:"&amp;SUBSTITUTE(SUBSTITUTE(SUBSTITUTE(SUBSTITUTE(UPPER(TRIM(B408&amp;"")),"!","!E"),"*","!A"),"?","!B"),"~","!C")</f>
        <v>ID:</v>
      </c>
      <c r="S408" s="29" t="str">
        <f>"ID:"&amp;SUBSTITUTE(SUBSTITUTE(SUBSTITUTE(SUBSTITUTE(UPPER(TRIM(C408&amp;"")),"!","!E"),"*","!A"),"?","!B"),"~","!C")</f>
        <v>ID:</v>
      </c>
    </row>
    <row r="409" ht="75" customHeight="1">
      <c r="B409" s="31"/>
      <c r="C409" s="31"/>
      <c r="D409" s="31"/>
      <c r="E409" s="31"/>
      <c r="F409" s="31"/>
      <c r="G409" s="34"/>
      <c r="H409" s="34"/>
      <c r="I409" s="34"/>
      <c r="J409" s="34"/>
      <c r="K409" s="31"/>
      <c r="L409" s="31"/>
      <c r="M409" s="31"/>
      <c r="N409" s="31"/>
      <c r="O409" s="31"/>
      <c r="P409" s="35">
        <f>IF(AND(ISNUMBER(J409),'REFERENCIAS'!$Q$8=1),ROUND(J409,'REFERENCIAS'!$K$8),"")</f>
      </c>
      <c r="R409" s="29" t="str">
        <f>"ID:"&amp;SUBSTITUTE(SUBSTITUTE(SUBSTITUTE(SUBSTITUTE(UPPER(TRIM(B409&amp;"")),"!","!E"),"*","!A"),"?","!B"),"~","!C")</f>
        <v>ID:</v>
      </c>
      <c r="S409" s="29" t="str">
        <f>"ID:"&amp;SUBSTITUTE(SUBSTITUTE(SUBSTITUTE(SUBSTITUTE(UPPER(TRIM(C409&amp;"")),"!","!E"),"*","!A"),"?","!B"),"~","!C")</f>
        <v>ID:</v>
      </c>
    </row>
    <row r="410" ht="75" customHeight="1">
      <c r="B410" s="31"/>
      <c r="C410" s="31"/>
      <c r="D410" s="31"/>
      <c r="E410" s="31"/>
      <c r="F410" s="31"/>
      <c r="G410" s="34"/>
      <c r="H410" s="34"/>
      <c r="I410" s="34"/>
      <c r="J410" s="34"/>
      <c r="K410" s="31"/>
      <c r="L410" s="31"/>
      <c r="M410" s="31"/>
      <c r="N410" s="31"/>
      <c r="O410" s="31"/>
      <c r="P410" s="35">
        <f>IF(AND(ISNUMBER(J410),'REFERENCIAS'!$Q$8=1),ROUND(J410,'REFERENCIAS'!$K$8),"")</f>
      </c>
      <c r="R410" s="29" t="str">
        <f>"ID:"&amp;SUBSTITUTE(SUBSTITUTE(SUBSTITUTE(SUBSTITUTE(UPPER(TRIM(B410&amp;"")),"!","!E"),"*","!A"),"?","!B"),"~","!C")</f>
        <v>ID:</v>
      </c>
      <c r="S410" s="29" t="str">
        <f>"ID:"&amp;SUBSTITUTE(SUBSTITUTE(SUBSTITUTE(SUBSTITUTE(UPPER(TRIM(C410&amp;"")),"!","!E"),"*","!A"),"?","!B"),"~","!C")</f>
        <v>ID:</v>
      </c>
    </row>
    <row r="411" ht="75" customHeight="1">
      <c r="B411" s="31"/>
      <c r="C411" s="31"/>
      <c r="D411" s="31"/>
      <c r="E411" s="31"/>
      <c r="F411" s="31"/>
      <c r="G411" s="34"/>
      <c r="H411" s="34"/>
      <c r="I411" s="34"/>
      <c r="J411" s="34"/>
      <c r="K411" s="31"/>
      <c r="L411" s="31"/>
      <c r="M411" s="31"/>
      <c r="N411" s="31"/>
      <c r="O411" s="31"/>
      <c r="P411" s="35">
        <f>IF(AND(ISNUMBER(J411),'REFERENCIAS'!$Q$8=1),ROUND(J411,'REFERENCIAS'!$K$8),"")</f>
      </c>
      <c r="R411" s="29" t="str">
        <f>"ID:"&amp;SUBSTITUTE(SUBSTITUTE(SUBSTITUTE(SUBSTITUTE(UPPER(TRIM(B411&amp;"")),"!","!E"),"*","!A"),"?","!B"),"~","!C")</f>
        <v>ID:</v>
      </c>
      <c r="S411" s="29" t="str">
        <f>"ID:"&amp;SUBSTITUTE(SUBSTITUTE(SUBSTITUTE(SUBSTITUTE(UPPER(TRIM(C411&amp;"")),"!","!E"),"*","!A"),"?","!B"),"~","!C")</f>
        <v>ID:</v>
      </c>
    </row>
    <row r="412" ht="75" customHeight="1">
      <c r="B412" s="31"/>
      <c r="C412" s="31"/>
      <c r="D412" s="31"/>
      <c r="E412" s="31"/>
      <c r="F412" s="31"/>
      <c r="G412" s="34"/>
      <c r="H412" s="34"/>
      <c r="I412" s="34"/>
      <c r="J412" s="34"/>
      <c r="K412" s="31"/>
      <c r="L412" s="31"/>
      <c r="M412" s="31"/>
      <c r="N412" s="31"/>
      <c r="O412" s="31"/>
      <c r="P412" s="35">
        <f>IF(AND(ISNUMBER(J412),'REFERENCIAS'!$Q$8=1),ROUND(J412,'REFERENCIAS'!$K$8),"")</f>
      </c>
      <c r="R412" s="29" t="str">
        <f>"ID:"&amp;SUBSTITUTE(SUBSTITUTE(SUBSTITUTE(SUBSTITUTE(UPPER(TRIM(B412&amp;"")),"!","!E"),"*","!A"),"?","!B"),"~","!C")</f>
        <v>ID:</v>
      </c>
      <c r="S412" s="29" t="str">
        <f>"ID:"&amp;SUBSTITUTE(SUBSTITUTE(SUBSTITUTE(SUBSTITUTE(UPPER(TRIM(C412&amp;"")),"!","!E"),"*","!A"),"?","!B"),"~","!C")</f>
        <v>ID:</v>
      </c>
    </row>
    <row r="413" ht="75" customHeight="1">
      <c r="B413" s="31"/>
      <c r="C413" s="31"/>
      <c r="D413" s="31"/>
      <c r="E413" s="31"/>
      <c r="F413" s="31"/>
      <c r="G413" s="34"/>
      <c r="H413" s="34"/>
      <c r="I413" s="34"/>
      <c r="J413" s="34"/>
      <c r="K413" s="31"/>
      <c r="L413" s="31"/>
      <c r="M413" s="31"/>
      <c r="N413" s="31"/>
      <c r="O413" s="31"/>
      <c r="P413" s="35">
        <f>IF(AND(ISNUMBER(J413),'REFERENCIAS'!$Q$8=1),ROUND(J413,'REFERENCIAS'!$K$8),"")</f>
      </c>
      <c r="R413" s="29" t="str">
        <f>"ID:"&amp;SUBSTITUTE(SUBSTITUTE(SUBSTITUTE(SUBSTITUTE(UPPER(TRIM(B413&amp;"")),"!","!E"),"*","!A"),"?","!B"),"~","!C")</f>
        <v>ID:</v>
      </c>
      <c r="S413" s="29" t="str">
        <f>"ID:"&amp;SUBSTITUTE(SUBSTITUTE(SUBSTITUTE(SUBSTITUTE(UPPER(TRIM(C413&amp;"")),"!","!E"),"*","!A"),"?","!B"),"~","!C")</f>
        <v>ID:</v>
      </c>
    </row>
    <row r="414" ht="75" customHeight="1">
      <c r="B414" s="31"/>
      <c r="C414" s="31"/>
      <c r="D414" s="31"/>
      <c r="E414" s="31"/>
      <c r="F414" s="31"/>
      <c r="G414" s="34"/>
      <c r="H414" s="34"/>
      <c r="I414" s="34"/>
      <c r="J414" s="34"/>
      <c r="K414" s="31"/>
      <c r="L414" s="31"/>
      <c r="M414" s="31"/>
      <c r="N414" s="31"/>
      <c r="O414" s="31"/>
      <c r="P414" s="35">
        <f>IF(AND(ISNUMBER(J414),'REFERENCIAS'!$Q$8=1),ROUND(J414,'REFERENCIAS'!$K$8),"")</f>
      </c>
      <c r="R414" s="29" t="str">
        <f>"ID:"&amp;SUBSTITUTE(SUBSTITUTE(SUBSTITUTE(SUBSTITUTE(UPPER(TRIM(B414&amp;"")),"!","!E"),"*","!A"),"?","!B"),"~","!C")</f>
        <v>ID:</v>
      </c>
      <c r="S414" s="29" t="str">
        <f>"ID:"&amp;SUBSTITUTE(SUBSTITUTE(SUBSTITUTE(SUBSTITUTE(UPPER(TRIM(C414&amp;"")),"!","!E"),"*","!A"),"?","!B"),"~","!C")</f>
        <v>ID:</v>
      </c>
    </row>
    <row r="415" ht="75" customHeight="1">
      <c r="B415" s="31"/>
      <c r="C415" s="31"/>
      <c r="D415" s="31"/>
      <c r="E415" s="31"/>
      <c r="F415" s="31"/>
      <c r="G415" s="34"/>
      <c r="H415" s="34"/>
      <c r="I415" s="34"/>
      <c r="J415" s="34"/>
      <c r="K415" s="31"/>
      <c r="L415" s="31"/>
      <c r="M415" s="31"/>
      <c r="N415" s="31"/>
      <c r="O415" s="31"/>
      <c r="P415" s="35">
        <f>IF(AND(ISNUMBER(J415),'REFERENCIAS'!$Q$8=1),ROUND(J415,'REFERENCIAS'!$K$8),"")</f>
      </c>
      <c r="R415" s="29" t="str">
        <f>"ID:"&amp;SUBSTITUTE(SUBSTITUTE(SUBSTITUTE(SUBSTITUTE(UPPER(TRIM(B415&amp;"")),"!","!E"),"*","!A"),"?","!B"),"~","!C")</f>
        <v>ID:</v>
      </c>
      <c r="S415" s="29" t="str">
        <f>"ID:"&amp;SUBSTITUTE(SUBSTITUTE(SUBSTITUTE(SUBSTITUTE(UPPER(TRIM(C415&amp;"")),"!","!E"),"*","!A"),"?","!B"),"~","!C")</f>
        <v>ID:</v>
      </c>
    </row>
    <row r="416" ht="75" customHeight="1">
      <c r="B416" s="31"/>
      <c r="C416" s="31"/>
      <c r="D416" s="31"/>
      <c r="E416" s="31"/>
      <c r="F416" s="31"/>
      <c r="G416" s="34"/>
      <c r="H416" s="34"/>
      <c r="I416" s="34"/>
      <c r="J416" s="34"/>
      <c r="K416" s="31"/>
      <c r="L416" s="31"/>
      <c r="M416" s="31"/>
      <c r="N416" s="31"/>
      <c r="O416" s="31"/>
      <c r="P416" s="35">
        <f>IF(AND(ISNUMBER(J416),'REFERENCIAS'!$Q$8=1),ROUND(J416,'REFERENCIAS'!$K$8),"")</f>
      </c>
      <c r="R416" s="29" t="str">
        <f>"ID:"&amp;SUBSTITUTE(SUBSTITUTE(SUBSTITUTE(SUBSTITUTE(UPPER(TRIM(B416&amp;"")),"!","!E"),"*","!A"),"?","!B"),"~","!C")</f>
        <v>ID:</v>
      </c>
      <c r="S416" s="29" t="str">
        <f>"ID:"&amp;SUBSTITUTE(SUBSTITUTE(SUBSTITUTE(SUBSTITUTE(UPPER(TRIM(C416&amp;"")),"!","!E"),"*","!A"),"?","!B"),"~","!C")</f>
        <v>ID:</v>
      </c>
    </row>
    <row r="417" ht="75" customHeight="1">
      <c r="B417" s="31"/>
      <c r="C417" s="31"/>
      <c r="D417" s="31"/>
      <c r="E417" s="31"/>
      <c r="F417" s="31"/>
      <c r="G417" s="34"/>
      <c r="H417" s="34"/>
      <c r="I417" s="34"/>
      <c r="J417" s="34"/>
      <c r="K417" s="31"/>
      <c r="L417" s="31"/>
      <c r="M417" s="31"/>
      <c r="N417" s="31"/>
      <c r="O417" s="31"/>
      <c r="P417" s="35">
        <f>IF(AND(ISNUMBER(J417),'REFERENCIAS'!$Q$8=1),ROUND(J417,'REFERENCIAS'!$K$8),"")</f>
      </c>
      <c r="R417" s="29" t="str">
        <f>"ID:"&amp;SUBSTITUTE(SUBSTITUTE(SUBSTITUTE(SUBSTITUTE(UPPER(TRIM(B417&amp;"")),"!","!E"),"*","!A"),"?","!B"),"~","!C")</f>
        <v>ID:</v>
      </c>
      <c r="S417" s="29" t="str">
        <f>"ID:"&amp;SUBSTITUTE(SUBSTITUTE(SUBSTITUTE(SUBSTITUTE(UPPER(TRIM(C417&amp;"")),"!","!E"),"*","!A"),"?","!B"),"~","!C")</f>
        <v>ID:</v>
      </c>
    </row>
    <row r="418" ht="75" customHeight="1">
      <c r="B418" s="31"/>
      <c r="C418" s="31"/>
      <c r="D418" s="31"/>
      <c r="E418" s="31"/>
      <c r="F418" s="31"/>
      <c r="G418" s="34"/>
      <c r="H418" s="34"/>
      <c r="I418" s="34"/>
      <c r="J418" s="34"/>
      <c r="K418" s="31"/>
      <c r="L418" s="31"/>
      <c r="M418" s="31"/>
      <c r="N418" s="31"/>
      <c r="O418" s="31"/>
      <c r="P418" s="35">
        <f>IF(AND(ISNUMBER(J418),'REFERENCIAS'!$Q$8=1),ROUND(J418,'REFERENCIAS'!$K$8),"")</f>
      </c>
      <c r="R418" s="29" t="str">
        <f>"ID:"&amp;SUBSTITUTE(SUBSTITUTE(SUBSTITUTE(SUBSTITUTE(UPPER(TRIM(B418&amp;"")),"!","!E"),"*","!A"),"?","!B"),"~","!C")</f>
        <v>ID:</v>
      </c>
      <c r="S418" s="29" t="str">
        <f>"ID:"&amp;SUBSTITUTE(SUBSTITUTE(SUBSTITUTE(SUBSTITUTE(UPPER(TRIM(C418&amp;"")),"!","!E"),"*","!A"),"?","!B"),"~","!C")</f>
        <v>ID:</v>
      </c>
    </row>
    <row r="419" ht="75" customHeight="1">
      <c r="B419" s="31"/>
      <c r="C419" s="31"/>
      <c r="D419" s="31"/>
      <c r="E419" s="31"/>
      <c r="F419" s="31"/>
      <c r="G419" s="34"/>
      <c r="H419" s="34"/>
      <c r="I419" s="34"/>
      <c r="J419" s="34"/>
      <c r="K419" s="31"/>
      <c r="L419" s="31"/>
      <c r="M419" s="31"/>
      <c r="N419" s="31"/>
      <c r="O419" s="31"/>
      <c r="P419" s="35">
        <f>IF(AND(ISNUMBER(J419),'REFERENCIAS'!$Q$8=1),ROUND(J419,'REFERENCIAS'!$K$8),"")</f>
      </c>
      <c r="R419" s="29" t="str">
        <f>"ID:"&amp;SUBSTITUTE(SUBSTITUTE(SUBSTITUTE(SUBSTITUTE(UPPER(TRIM(B419&amp;"")),"!","!E"),"*","!A"),"?","!B"),"~","!C")</f>
        <v>ID:</v>
      </c>
      <c r="S419" s="29" t="str">
        <f>"ID:"&amp;SUBSTITUTE(SUBSTITUTE(SUBSTITUTE(SUBSTITUTE(UPPER(TRIM(C419&amp;"")),"!","!E"),"*","!A"),"?","!B"),"~","!C")</f>
        <v>ID:</v>
      </c>
    </row>
    <row r="420" ht="75" customHeight="1">
      <c r="B420" s="31"/>
      <c r="C420" s="31"/>
      <c r="D420" s="31"/>
      <c r="E420" s="31"/>
      <c r="F420" s="31"/>
      <c r="G420" s="34"/>
      <c r="H420" s="34"/>
      <c r="I420" s="34"/>
      <c r="J420" s="34"/>
      <c r="K420" s="31"/>
      <c r="L420" s="31"/>
      <c r="M420" s="31"/>
      <c r="N420" s="31"/>
      <c r="O420" s="31"/>
      <c r="P420" s="35">
        <f>IF(AND(ISNUMBER(J420),'REFERENCIAS'!$Q$8=1),ROUND(J420,'REFERENCIAS'!$K$8),"")</f>
      </c>
      <c r="R420" s="29" t="str">
        <f>"ID:"&amp;SUBSTITUTE(SUBSTITUTE(SUBSTITUTE(SUBSTITUTE(UPPER(TRIM(B420&amp;"")),"!","!E"),"*","!A"),"?","!B"),"~","!C")</f>
        <v>ID:</v>
      </c>
      <c r="S420" s="29" t="str">
        <f>"ID:"&amp;SUBSTITUTE(SUBSTITUTE(SUBSTITUTE(SUBSTITUTE(UPPER(TRIM(C420&amp;"")),"!","!E"),"*","!A"),"?","!B"),"~","!C")</f>
        <v>ID:</v>
      </c>
    </row>
    <row r="421" ht="75" customHeight="1">
      <c r="B421" s="31"/>
      <c r="C421" s="31"/>
      <c r="D421" s="31"/>
      <c r="E421" s="31"/>
      <c r="F421" s="31"/>
      <c r="G421" s="34"/>
      <c r="H421" s="34"/>
      <c r="I421" s="34"/>
      <c r="J421" s="34"/>
      <c r="K421" s="31"/>
      <c r="L421" s="31"/>
      <c r="M421" s="31"/>
      <c r="N421" s="31"/>
      <c r="O421" s="31"/>
      <c r="P421" s="35">
        <f>IF(AND(ISNUMBER(J421),'REFERENCIAS'!$Q$8=1),ROUND(J421,'REFERENCIAS'!$K$8),"")</f>
      </c>
      <c r="R421" s="29" t="str">
        <f>"ID:"&amp;SUBSTITUTE(SUBSTITUTE(SUBSTITUTE(SUBSTITUTE(UPPER(TRIM(B421&amp;"")),"!","!E"),"*","!A"),"?","!B"),"~","!C")</f>
        <v>ID:</v>
      </c>
      <c r="S421" s="29" t="str">
        <f>"ID:"&amp;SUBSTITUTE(SUBSTITUTE(SUBSTITUTE(SUBSTITUTE(UPPER(TRIM(C421&amp;"")),"!","!E"),"*","!A"),"?","!B"),"~","!C")</f>
        <v>ID:</v>
      </c>
    </row>
    <row r="422" ht="75" customHeight="1">
      <c r="B422" s="31"/>
      <c r="C422" s="31"/>
      <c r="D422" s="31"/>
      <c r="E422" s="31"/>
      <c r="F422" s="31"/>
      <c r="G422" s="34"/>
      <c r="H422" s="34"/>
      <c r="I422" s="34"/>
      <c r="J422" s="34"/>
      <c r="K422" s="31"/>
      <c r="L422" s="31"/>
      <c r="M422" s="31"/>
      <c r="N422" s="31"/>
      <c r="O422" s="31"/>
      <c r="P422" s="35">
        <f>IF(AND(ISNUMBER(J422),'REFERENCIAS'!$Q$8=1),ROUND(J422,'REFERENCIAS'!$K$8),"")</f>
      </c>
      <c r="R422" s="29" t="str">
        <f>"ID:"&amp;SUBSTITUTE(SUBSTITUTE(SUBSTITUTE(SUBSTITUTE(UPPER(TRIM(B422&amp;"")),"!","!E"),"*","!A"),"?","!B"),"~","!C")</f>
        <v>ID:</v>
      </c>
      <c r="S422" s="29" t="str">
        <f>"ID:"&amp;SUBSTITUTE(SUBSTITUTE(SUBSTITUTE(SUBSTITUTE(UPPER(TRIM(C422&amp;"")),"!","!E"),"*","!A"),"?","!B"),"~","!C")</f>
        <v>ID:</v>
      </c>
    </row>
    <row r="423" ht="75" customHeight="1">
      <c r="B423" s="31"/>
      <c r="C423" s="31"/>
      <c r="D423" s="31"/>
      <c r="E423" s="31"/>
      <c r="F423" s="31"/>
      <c r="G423" s="34"/>
      <c r="H423" s="34"/>
      <c r="I423" s="34"/>
      <c r="J423" s="34"/>
      <c r="K423" s="31"/>
      <c r="L423" s="31"/>
      <c r="M423" s="31"/>
      <c r="N423" s="31"/>
      <c r="O423" s="31"/>
      <c r="P423" s="35">
        <f>IF(AND(ISNUMBER(J423),'REFERENCIAS'!$Q$8=1),ROUND(J423,'REFERENCIAS'!$K$8),"")</f>
      </c>
      <c r="R423" s="29" t="str">
        <f>"ID:"&amp;SUBSTITUTE(SUBSTITUTE(SUBSTITUTE(SUBSTITUTE(UPPER(TRIM(B423&amp;"")),"!","!E"),"*","!A"),"?","!B"),"~","!C")</f>
        <v>ID:</v>
      </c>
      <c r="S423" s="29" t="str">
        <f>"ID:"&amp;SUBSTITUTE(SUBSTITUTE(SUBSTITUTE(SUBSTITUTE(UPPER(TRIM(C423&amp;"")),"!","!E"),"*","!A"),"?","!B"),"~","!C")</f>
        <v>ID:</v>
      </c>
    </row>
    <row r="424" ht="75" customHeight="1">
      <c r="B424" s="31"/>
      <c r="C424" s="31"/>
      <c r="D424" s="31"/>
      <c r="E424" s="31"/>
      <c r="F424" s="31"/>
      <c r="G424" s="34"/>
      <c r="H424" s="34"/>
      <c r="I424" s="34"/>
      <c r="J424" s="34"/>
      <c r="K424" s="31"/>
      <c r="L424" s="31"/>
      <c r="M424" s="31"/>
      <c r="N424" s="31"/>
      <c r="O424" s="31"/>
      <c r="P424" s="35">
        <f>IF(AND(ISNUMBER(J424),'REFERENCIAS'!$Q$8=1),ROUND(J424,'REFERENCIAS'!$K$8),"")</f>
      </c>
      <c r="R424" s="29" t="str">
        <f>"ID:"&amp;SUBSTITUTE(SUBSTITUTE(SUBSTITUTE(SUBSTITUTE(UPPER(TRIM(B424&amp;"")),"!","!E"),"*","!A"),"?","!B"),"~","!C")</f>
        <v>ID:</v>
      </c>
      <c r="S424" s="29" t="str">
        <f>"ID:"&amp;SUBSTITUTE(SUBSTITUTE(SUBSTITUTE(SUBSTITUTE(UPPER(TRIM(C424&amp;"")),"!","!E"),"*","!A"),"?","!B"),"~","!C")</f>
        <v>ID:</v>
      </c>
    </row>
    <row r="425" ht="75" customHeight="1">
      <c r="B425" s="31"/>
      <c r="C425" s="31"/>
      <c r="D425" s="31"/>
      <c r="E425" s="31"/>
      <c r="F425" s="31"/>
      <c r="G425" s="34"/>
      <c r="H425" s="34"/>
      <c r="I425" s="34"/>
      <c r="J425" s="34"/>
      <c r="K425" s="31"/>
      <c r="L425" s="31"/>
      <c r="M425" s="31"/>
      <c r="N425" s="31"/>
      <c r="O425" s="31"/>
      <c r="P425" s="35">
        <f>IF(AND(ISNUMBER(J425),'REFERENCIAS'!$Q$8=1),ROUND(J425,'REFERENCIAS'!$K$8),"")</f>
      </c>
      <c r="R425" s="29" t="str">
        <f>"ID:"&amp;SUBSTITUTE(SUBSTITUTE(SUBSTITUTE(SUBSTITUTE(UPPER(TRIM(B425&amp;"")),"!","!E"),"*","!A"),"?","!B"),"~","!C")</f>
        <v>ID:</v>
      </c>
      <c r="S425" s="29" t="str">
        <f>"ID:"&amp;SUBSTITUTE(SUBSTITUTE(SUBSTITUTE(SUBSTITUTE(UPPER(TRIM(C425&amp;"")),"!","!E"),"*","!A"),"?","!B"),"~","!C")</f>
        <v>ID:</v>
      </c>
    </row>
    <row r="426" ht="75" customHeight="1">
      <c r="B426" s="31"/>
      <c r="C426" s="31"/>
      <c r="D426" s="31"/>
      <c r="E426" s="31"/>
      <c r="F426" s="31"/>
      <c r="G426" s="34"/>
      <c r="H426" s="34"/>
      <c r="I426" s="34"/>
      <c r="J426" s="34"/>
      <c r="K426" s="31"/>
      <c r="L426" s="31"/>
      <c r="M426" s="31"/>
      <c r="N426" s="31"/>
      <c r="O426" s="31"/>
      <c r="P426" s="35">
        <f>IF(AND(ISNUMBER(J426),'REFERENCIAS'!$Q$8=1),ROUND(J426,'REFERENCIAS'!$K$8),"")</f>
      </c>
      <c r="R426" s="29" t="str">
        <f>"ID:"&amp;SUBSTITUTE(SUBSTITUTE(SUBSTITUTE(SUBSTITUTE(UPPER(TRIM(B426&amp;"")),"!","!E"),"*","!A"),"?","!B"),"~","!C")</f>
        <v>ID:</v>
      </c>
      <c r="S426" s="29" t="str">
        <f>"ID:"&amp;SUBSTITUTE(SUBSTITUTE(SUBSTITUTE(SUBSTITUTE(UPPER(TRIM(C426&amp;"")),"!","!E"),"*","!A"),"?","!B"),"~","!C")</f>
        <v>ID:</v>
      </c>
    </row>
    <row r="427" ht="75" customHeight="1">
      <c r="B427" s="31"/>
      <c r="C427" s="31"/>
      <c r="D427" s="31"/>
      <c r="E427" s="31"/>
      <c r="F427" s="31"/>
      <c r="G427" s="34"/>
      <c r="H427" s="34"/>
      <c r="I427" s="34"/>
      <c r="J427" s="34"/>
      <c r="K427" s="31"/>
      <c r="L427" s="31"/>
      <c r="M427" s="31"/>
      <c r="N427" s="31"/>
      <c r="O427" s="31"/>
      <c r="P427" s="35">
        <f>IF(AND(ISNUMBER(J427),'REFERENCIAS'!$Q$8=1),ROUND(J427,'REFERENCIAS'!$K$8),"")</f>
      </c>
      <c r="R427" s="29" t="str">
        <f>"ID:"&amp;SUBSTITUTE(SUBSTITUTE(SUBSTITUTE(SUBSTITUTE(UPPER(TRIM(B427&amp;"")),"!","!E"),"*","!A"),"?","!B"),"~","!C")</f>
        <v>ID:</v>
      </c>
      <c r="S427" s="29" t="str">
        <f>"ID:"&amp;SUBSTITUTE(SUBSTITUTE(SUBSTITUTE(SUBSTITUTE(UPPER(TRIM(C427&amp;"")),"!","!E"),"*","!A"),"?","!B"),"~","!C")</f>
        <v>ID:</v>
      </c>
    </row>
    <row r="428" ht="75" customHeight="1">
      <c r="B428" s="31"/>
      <c r="C428" s="31"/>
      <c r="D428" s="31"/>
      <c r="E428" s="31"/>
      <c r="F428" s="31"/>
      <c r="G428" s="34"/>
      <c r="H428" s="34"/>
      <c r="I428" s="34"/>
      <c r="J428" s="34"/>
      <c r="K428" s="31"/>
      <c r="L428" s="31"/>
      <c r="M428" s="31"/>
      <c r="N428" s="31"/>
      <c r="O428" s="31"/>
      <c r="P428" s="35">
        <f>IF(AND(ISNUMBER(J428),'REFERENCIAS'!$Q$8=1),ROUND(J428,'REFERENCIAS'!$K$8),"")</f>
      </c>
      <c r="R428" s="29" t="str">
        <f>"ID:"&amp;SUBSTITUTE(SUBSTITUTE(SUBSTITUTE(SUBSTITUTE(UPPER(TRIM(B428&amp;"")),"!","!E"),"*","!A"),"?","!B"),"~","!C")</f>
        <v>ID:</v>
      </c>
      <c r="S428" s="29" t="str">
        <f>"ID:"&amp;SUBSTITUTE(SUBSTITUTE(SUBSTITUTE(SUBSTITUTE(UPPER(TRIM(C428&amp;"")),"!","!E"),"*","!A"),"?","!B"),"~","!C")</f>
        <v>ID:</v>
      </c>
    </row>
    <row r="429" ht="75" customHeight="1">
      <c r="B429" s="31"/>
      <c r="C429" s="31"/>
      <c r="D429" s="31"/>
      <c r="E429" s="31"/>
      <c r="F429" s="31"/>
      <c r="G429" s="34"/>
      <c r="H429" s="34"/>
      <c r="I429" s="34"/>
      <c r="J429" s="34"/>
      <c r="K429" s="31"/>
      <c r="L429" s="31"/>
      <c r="M429" s="31"/>
      <c r="N429" s="31"/>
      <c r="O429" s="31"/>
      <c r="P429" s="35">
        <f>IF(AND(ISNUMBER(J429),'REFERENCIAS'!$Q$8=1),ROUND(J429,'REFERENCIAS'!$K$8),"")</f>
      </c>
      <c r="R429" s="29" t="str">
        <f>"ID:"&amp;SUBSTITUTE(SUBSTITUTE(SUBSTITUTE(SUBSTITUTE(UPPER(TRIM(B429&amp;"")),"!","!E"),"*","!A"),"?","!B"),"~","!C")</f>
        <v>ID:</v>
      </c>
      <c r="S429" s="29" t="str">
        <f>"ID:"&amp;SUBSTITUTE(SUBSTITUTE(SUBSTITUTE(SUBSTITUTE(UPPER(TRIM(C429&amp;"")),"!","!E"),"*","!A"),"?","!B"),"~","!C")</f>
        <v>ID:</v>
      </c>
    </row>
    <row r="430" ht="75" customHeight="1">
      <c r="B430" s="31"/>
      <c r="C430" s="31"/>
      <c r="D430" s="31"/>
      <c r="E430" s="31"/>
      <c r="F430" s="31"/>
      <c r="G430" s="34"/>
      <c r="H430" s="34"/>
      <c r="I430" s="34"/>
      <c r="J430" s="34"/>
      <c r="K430" s="31"/>
      <c r="L430" s="31"/>
      <c r="M430" s="31"/>
      <c r="N430" s="31"/>
      <c r="O430" s="31"/>
      <c r="P430" s="35">
        <f>IF(AND(ISNUMBER(J430),'REFERENCIAS'!$Q$8=1),ROUND(J430,'REFERENCIAS'!$K$8),"")</f>
      </c>
      <c r="R430" s="29" t="str">
        <f>"ID:"&amp;SUBSTITUTE(SUBSTITUTE(SUBSTITUTE(SUBSTITUTE(UPPER(TRIM(B430&amp;"")),"!","!E"),"*","!A"),"?","!B"),"~","!C")</f>
        <v>ID:</v>
      </c>
      <c r="S430" s="29" t="str">
        <f>"ID:"&amp;SUBSTITUTE(SUBSTITUTE(SUBSTITUTE(SUBSTITUTE(UPPER(TRIM(C430&amp;"")),"!","!E"),"*","!A"),"?","!B"),"~","!C")</f>
        <v>ID:</v>
      </c>
    </row>
    <row r="431" ht="75" customHeight="1">
      <c r="B431" s="31"/>
      <c r="C431" s="31"/>
      <c r="D431" s="31"/>
      <c r="E431" s="31"/>
      <c r="F431" s="31"/>
      <c r="G431" s="34"/>
      <c r="H431" s="34"/>
      <c r="I431" s="34"/>
      <c r="J431" s="34"/>
      <c r="K431" s="31"/>
      <c r="L431" s="31"/>
      <c r="M431" s="31"/>
      <c r="N431" s="31"/>
      <c r="O431" s="31"/>
      <c r="P431" s="35">
        <f>IF(AND(ISNUMBER(J431),'REFERENCIAS'!$Q$8=1),ROUND(J431,'REFERENCIAS'!$K$8),"")</f>
      </c>
      <c r="R431" s="29" t="str">
        <f>"ID:"&amp;SUBSTITUTE(SUBSTITUTE(SUBSTITUTE(SUBSTITUTE(UPPER(TRIM(B431&amp;"")),"!","!E"),"*","!A"),"?","!B"),"~","!C")</f>
        <v>ID:</v>
      </c>
      <c r="S431" s="29" t="str">
        <f>"ID:"&amp;SUBSTITUTE(SUBSTITUTE(SUBSTITUTE(SUBSTITUTE(UPPER(TRIM(C431&amp;"")),"!","!E"),"*","!A"),"?","!B"),"~","!C")</f>
        <v>ID:</v>
      </c>
    </row>
    <row r="432" ht="75" customHeight="1">
      <c r="B432" s="31"/>
      <c r="C432" s="31"/>
      <c r="D432" s="31"/>
      <c r="E432" s="31"/>
      <c r="F432" s="31"/>
      <c r="G432" s="34"/>
      <c r="H432" s="34"/>
      <c r="I432" s="34"/>
      <c r="J432" s="34"/>
      <c r="K432" s="31"/>
      <c r="L432" s="31"/>
      <c r="M432" s="31"/>
      <c r="N432" s="31"/>
      <c r="O432" s="31"/>
      <c r="P432" s="35">
        <f>IF(AND(ISNUMBER(J432),'REFERENCIAS'!$Q$8=1),ROUND(J432,'REFERENCIAS'!$K$8),"")</f>
      </c>
      <c r="R432" s="29" t="str">
        <f>"ID:"&amp;SUBSTITUTE(SUBSTITUTE(SUBSTITUTE(SUBSTITUTE(UPPER(TRIM(B432&amp;"")),"!","!E"),"*","!A"),"?","!B"),"~","!C")</f>
        <v>ID:</v>
      </c>
      <c r="S432" s="29" t="str">
        <f>"ID:"&amp;SUBSTITUTE(SUBSTITUTE(SUBSTITUTE(SUBSTITUTE(UPPER(TRIM(C432&amp;"")),"!","!E"),"*","!A"),"?","!B"),"~","!C")</f>
        <v>ID:</v>
      </c>
    </row>
    <row r="433" ht="75" customHeight="1">
      <c r="B433" s="31"/>
      <c r="C433" s="31"/>
      <c r="D433" s="31"/>
      <c r="E433" s="31"/>
      <c r="F433" s="31"/>
      <c r="G433" s="34"/>
      <c r="H433" s="34"/>
      <c r="I433" s="34"/>
      <c r="J433" s="34"/>
      <c r="K433" s="31"/>
      <c r="L433" s="31"/>
      <c r="M433" s="31"/>
      <c r="N433" s="31"/>
      <c r="O433" s="31"/>
      <c r="P433" s="35">
        <f>IF(AND(ISNUMBER(J433),'REFERENCIAS'!$Q$8=1),ROUND(J433,'REFERENCIAS'!$K$8),"")</f>
      </c>
      <c r="R433" s="29" t="str">
        <f>"ID:"&amp;SUBSTITUTE(SUBSTITUTE(SUBSTITUTE(SUBSTITUTE(UPPER(TRIM(B433&amp;"")),"!","!E"),"*","!A"),"?","!B"),"~","!C")</f>
        <v>ID:</v>
      </c>
      <c r="S433" s="29" t="str">
        <f>"ID:"&amp;SUBSTITUTE(SUBSTITUTE(SUBSTITUTE(SUBSTITUTE(UPPER(TRIM(C433&amp;"")),"!","!E"),"*","!A"),"?","!B"),"~","!C")</f>
        <v>ID:</v>
      </c>
    </row>
    <row r="434" ht="75" customHeight="1">
      <c r="B434" s="31"/>
      <c r="C434" s="31"/>
      <c r="D434" s="31"/>
      <c r="E434" s="31"/>
      <c r="F434" s="31"/>
      <c r="G434" s="34"/>
      <c r="H434" s="34"/>
      <c r="I434" s="34"/>
      <c r="J434" s="34"/>
      <c r="K434" s="31"/>
      <c r="L434" s="31"/>
      <c r="M434" s="31"/>
      <c r="N434" s="31"/>
      <c r="O434" s="31"/>
      <c r="P434" s="35">
        <f>IF(AND(ISNUMBER(J434),'REFERENCIAS'!$Q$8=1),ROUND(J434,'REFERENCIAS'!$K$8),"")</f>
      </c>
      <c r="R434" s="29" t="str">
        <f>"ID:"&amp;SUBSTITUTE(SUBSTITUTE(SUBSTITUTE(SUBSTITUTE(UPPER(TRIM(B434&amp;"")),"!","!E"),"*","!A"),"?","!B"),"~","!C")</f>
        <v>ID:</v>
      </c>
      <c r="S434" s="29" t="str">
        <f>"ID:"&amp;SUBSTITUTE(SUBSTITUTE(SUBSTITUTE(SUBSTITUTE(UPPER(TRIM(C434&amp;"")),"!","!E"),"*","!A"),"?","!B"),"~","!C")</f>
        <v>ID:</v>
      </c>
    </row>
    <row r="435" ht="75" customHeight="1">
      <c r="B435" s="31"/>
      <c r="C435" s="31"/>
      <c r="D435" s="31"/>
      <c r="E435" s="31"/>
      <c r="F435" s="31"/>
      <c r="G435" s="34"/>
      <c r="H435" s="34"/>
      <c r="I435" s="34"/>
      <c r="J435" s="34"/>
      <c r="K435" s="31"/>
      <c r="L435" s="31"/>
      <c r="M435" s="31"/>
      <c r="N435" s="31"/>
      <c r="O435" s="31"/>
      <c r="P435" s="35">
        <f>IF(AND(ISNUMBER(J435),'REFERENCIAS'!$Q$8=1),ROUND(J435,'REFERENCIAS'!$K$8),"")</f>
      </c>
      <c r="R435" s="29" t="str">
        <f>"ID:"&amp;SUBSTITUTE(SUBSTITUTE(SUBSTITUTE(SUBSTITUTE(UPPER(TRIM(B435&amp;"")),"!","!E"),"*","!A"),"?","!B"),"~","!C")</f>
        <v>ID:</v>
      </c>
      <c r="S435" s="29" t="str">
        <f>"ID:"&amp;SUBSTITUTE(SUBSTITUTE(SUBSTITUTE(SUBSTITUTE(UPPER(TRIM(C435&amp;"")),"!","!E"),"*","!A"),"?","!B"),"~","!C")</f>
        <v>ID:</v>
      </c>
    </row>
    <row r="436" ht="75" customHeight="1">
      <c r="B436" s="31"/>
      <c r="C436" s="31"/>
      <c r="D436" s="31"/>
      <c r="E436" s="31"/>
      <c r="F436" s="31"/>
      <c r="G436" s="34"/>
      <c r="H436" s="34"/>
      <c r="I436" s="34"/>
      <c r="J436" s="34"/>
      <c r="K436" s="31"/>
      <c r="L436" s="31"/>
      <c r="M436" s="31"/>
      <c r="N436" s="31"/>
      <c r="O436" s="31"/>
      <c r="P436" s="35">
        <f>IF(AND(ISNUMBER(J436),'REFERENCIAS'!$Q$8=1),ROUND(J436,'REFERENCIAS'!$K$8),"")</f>
      </c>
      <c r="R436" s="29" t="str">
        <f>"ID:"&amp;SUBSTITUTE(SUBSTITUTE(SUBSTITUTE(SUBSTITUTE(UPPER(TRIM(B436&amp;"")),"!","!E"),"*","!A"),"?","!B"),"~","!C")</f>
        <v>ID:</v>
      </c>
      <c r="S436" s="29" t="str">
        <f>"ID:"&amp;SUBSTITUTE(SUBSTITUTE(SUBSTITUTE(SUBSTITUTE(UPPER(TRIM(C436&amp;"")),"!","!E"),"*","!A"),"?","!B"),"~","!C")</f>
        <v>ID:</v>
      </c>
    </row>
    <row r="437" ht="75" customHeight="1">
      <c r="B437" s="31"/>
      <c r="C437" s="31"/>
      <c r="D437" s="31"/>
      <c r="E437" s="31"/>
      <c r="F437" s="31"/>
      <c r="G437" s="34"/>
      <c r="H437" s="34"/>
      <c r="I437" s="34"/>
      <c r="J437" s="34"/>
      <c r="K437" s="31"/>
      <c r="L437" s="31"/>
      <c r="M437" s="31"/>
      <c r="N437" s="31"/>
      <c r="O437" s="31"/>
      <c r="P437" s="35">
        <f>IF(AND(ISNUMBER(J437),'REFERENCIAS'!$Q$8=1),ROUND(J437,'REFERENCIAS'!$K$8),"")</f>
      </c>
      <c r="R437" s="29" t="str">
        <f>"ID:"&amp;SUBSTITUTE(SUBSTITUTE(SUBSTITUTE(SUBSTITUTE(UPPER(TRIM(B437&amp;"")),"!","!E"),"*","!A"),"?","!B"),"~","!C")</f>
        <v>ID:</v>
      </c>
      <c r="S437" s="29" t="str">
        <f>"ID:"&amp;SUBSTITUTE(SUBSTITUTE(SUBSTITUTE(SUBSTITUTE(UPPER(TRIM(C437&amp;"")),"!","!E"),"*","!A"),"?","!B"),"~","!C")</f>
        <v>ID:</v>
      </c>
    </row>
    <row r="438" ht="75" customHeight="1">
      <c r="B438" s="31"/>
      <c r="C438" s="31"/>
      <c r="D438" s="31"/>
      <c r="E438" s="31"/>
      <c r="F438" s="31"/>
      <c r="G438" s="34"/>
      <c r="H438" s="34"/>
      <c r="I438" s="34"/>
      <c r="J438" s="34"/>
      <c r="K438" s="31"/>
      <c r="L438" s="31"/>
      <c r="M438" s="31"/>
      <c r="N438" s="31"/>
      <c r="O438" s="31"/>
      <c r="P438" s="35">
        <f>IF(AND(ISNUMBER(J438),'REFERENCIAS'!$Q$8=1),ROUND(J438,'REFERENCIAS'!$K$8),"")</f>
      </c>
      <c r="R438" s="29" t="str">
        <f>"ID:"&amp;SUBSTITUTE(SUBSTITUTE(SUBSTITUTE(SUBSTITUTE(UPPER(TRIM(B438&amp;"")),"!","!E"),"*","!A"),"?","!B"),"~","!C")</f>
        <v>ID:</v>
      </c>
      <c r="S438" s="29" t="str">
        <f>"ID:"&amp;SUBSTITUTE(SUBSTITUTE(SUBSTITUTE(SUBSTITUTE(UPPER(TRIM(C438&amp;"")),"!","!E"),"*","!A"),"?","!B"),"~","!C")</f>
        <v>ID:</v>
      </c>
    </row>
    <row r="439" ht="75" customHeight="1">
      <c r="B439" s="31"/>
      <c r="C439" s="31"/>
      <c r="D439" s="31"/>
      <c r="E439" s="31"/>
      <c r="F439" s="31"/>
      <c r="G439" s="34"/>
      <c r="H439" s="34"/>
      <c r="I439" s="34"/>
      <c r="J439" s="34"/>
      <c r="K439" s="31"/>
      <c r="L439" s="31"/>
      <c r="M439" s="31"/>
      <c r="N439" s="31"/>
      <c r="O439" s="31"/>
      <c r="P439" s="35">
        <f>IF(AND(ISNUMBER(J439),'REFERENCIAS'!$Q$8=1),ROUND(J439,'REFERENCIAS'!$K$8),"")</f>
      </c>
      <c r="R439" s="29" t="str">
        <f>"ID:"&amp;SUBSTITUTE(SUBSTITUTE(SUBSTITUTE(SUBSTITUTE(UPPER(TRIM(B439&amp;"")),"!","!E"),"*","!A"),"?","!B"),"~","!C")</f>
        <v>ID:</v>
      </c>
      <c r="S439" s="29" t="str">
        <f>"ID:"&amp;SUBSTITUTE(SUBSTITUTE(SUBSTITUTE(SUBSTITUTE(UPPER(TRIM(C439&amp;"")),"!","!E"),"*","!A"),"?","!B"),"~","!C")</f>
        <v>ID:</v>
      </c>
    </row>
    <row r="440" ht="75" customHeight="1">
      <c r="B440" s="31"/>
      <c r="C440" s="31"/>
      <c r="D440" s="31"/>
      <c r="E440" s="31"/>
      <c r="F440" s="31"/>
      <c r="G440" s="34"/>
      <c r="H440" s="34"/>
      <c r="I440" s="34"/>
      <c r="J440" s="34"/>
      <c r="K440" s="31"/>
      <c r="L440" s="31"/>
      <c r="M440" s="31"/>
      <c r="N440" s="31"/>
      <c r="O440" s="31"/>
      <c r="P440" s="35">
        <f>IF(AND(ISNUMBER(J440),'REFERENCIAS'!$Q$8=1),ROUND(J440,'REFERENCIAS'!$K$8),"")</f>
      </c>
      <c r="R440" s="29" t="str">
        <f>"ID:"&amp;SUBSTITUTE(SUBSTITUTE(SUBSTITUTE(SUBSTITUTE(UPPER(TRIM(B440&amp;"")),"!","!E"),"*","!A"),"?","!B"),"~","!C")</f>
        <v>ID:</v>
      </c>
      <c r="S440" s="29" t="str">
        <f>"ID:"&amp;SUBSTITUTE(SUBSTITUTE(SUBSTITUTE(SUBSTITUTE(UPPER(TRIM(C440&amp;"")),"!","!E"),"*","!A"),"?","!B"),"~","!C")</f>
        <v>ID:</v>
      </c>
    </row>
    <row r="441" ht="75" customHeight="1">
      <c r="B441" s="31"/>
      <c r="C441" s="31"/>
      <c r="D441" s="31"/>
      <c r="E441" s="31"/>
      <c r="F441" s="31"/>
      <c r="G441" s="34"/>
      <c r="H441" s="34"/>
      <c r="I441" s="34"/>
      <c r="J441" s="34"/>
      <c r="K441" s="31"/>
      <c r="L441" s="31"/>
      <c r="M441" s="31"/>
      <c r="N441" s="31"/>
      <c r="O441" s="31"/>
      <c r="P441" s="35">
        <f>IF(AND(ISNUMBER(J441),'REFERENCIAS'!$Q$8=1),ROUND(J441,'REFERENCIAS'!$K$8),"")</f>
      </c>
      <c r="R441" s="29" t="str">
        <f>"ID:"&amp;SUBSTITUTE(SUBSTITUTE(SUBSTITUTE(SUBSTITUTE(UPPER(TRIM(B441&amp;"")),"!","!E"),"*","!A"),"?","!B"),"~","!C")</f>
        <v>ID:</v>
      </c>
      <c r="S441" s="29" t="str">
        <f>"ID:"&amp;SUBSTITUTE(SUBSTITUTE(SUBSTITUTE(SUBSTITUTE(UPPER(TRIM(C441&amp;"")),"!","!E"),"*","!A"),"?","!B"),"~","!C")</f>
        <v>ID:</v>
      </c>
    </row>
    <row r="442" ht="75" customHeight="1">
      <c r="B442" s="31"/>
      <c r="C442" s="31"/>
      <c r="D442" s="31"/>
      <c r="E442" s="31"/>
      <c r="F442" s="31"/>
      <c r="G442" s="34"/>
      <c r="H442" s="34"/>
      <c r="I442" s="34"/>
      <c r="J442" s="34"/>
      <c r="K442" s="31"/>
      <c r="L442" s="31"/>
      <c r="M442" s="31"/>
      <c r="N442" s="31"/>
      <c r="O442" s="31"/>
      <c r="P442" s="35">
        <f>IF(AND(ISNUMBER(J442),'REFERENCIAS'!$Q$8=1),ROUND(J442,'REFERENCIAS'!$K$8),"")</f>
      </c>
      <c r="R442" s="29" t="str">
        <f>"ID:"&amp;SUBSTITUTE(SUBSTITUTE(SUBSTITUTE(SUBSTITUTE(UPPER(TRIM(B442&amp;"")),"!","!E"),"*","!A"),"?","!B"),"~","!C")</f>
        <v>ID:</v>
      </c>
      <c r="S442" s="29" t="str">
        <f>"ID:"&amp;SUBSTITUTE(SUBSTITUTE(SUBSTITUTE(SUBSTITUTE(UPPER(TRIM(C442&amp;"")),"!","!E"),"*","!A"),"?","!B"),"~","!C")</f>
        <v>ID:</v>
      </c>
    </row>
    <row r="443" ht="75" customHeight="1">
      <c r="B443" s="31"/>
      <c r="C443" s="31"/>
      <c r="D443" s="31"/>
      <c r="E443" s="31"/>
      <c r="F443" s="31"/>
      <c r="G443" s="34"/>
      <c r="H443" s="34"/>
      <c r="I443" s="34"/>
      <c r="J443" s="34"/>
      <c r="K443" s="31"/>
      <c r="L443" s="31"/>
      <c r="M443" s="31"/>
      <c r="N443" s="31"/>
      <c r="O443" s="31"/>
      <c r="P443" s="35">
        <f>IF(AND(ISNUMBER(J443),'REFERENCIAS'!$Q$8=1),ROUND(J443,'REFERENCIAS'!$K$8),"")</f>
      </c>
      <c r="R443" s="29" t="str">
        <f>"ID:"&amp;SUBSTITUTE(SUBSTITUTE(SUBSTITUTE(SUBSTITUTE(UPPER(TRIM(B443&amp;"")),"!","!E"),"*","!A"),"?","!B"),"~","!C")</f>
        <v>ID:</v>
      </c>
      <c r="S443" s="29" t="str">
        <f>"ID:"&amp;SUBSTITUTE(SUBSTITUTE(SUBSTITUTE(SUBSTITUTE(UPPER(TRIM(C443&amp;"")),"!","!E"),"*","!A"),"?","!B"),"~","!C")</f>
        <v>ID:</v>
      </c>
    </row>
    <row r="444" ht="75" customHeight="1">
      <c r="B444" s="31"/>
      <c r="C444" s="31"/>
      <c r="D444" s="31"/>
      <c r="E444" s="31"/>
      <c r="F444" s="31"/>
      <c r="G444" s="34"/>
      <c r="H444" s="34"/>
      <c r="I444" s="34"/>
      <c r="J444" s="34"/>
      <c r="K444" s="31"/>
      <c r="L444" s="31"/>
      <c r="M444" s="31"/>
      <c r="N444" s="31"/>
      <c r="O444" s="31"/>
      <c r="P444" s="35">
        <f>IF(AND(ISNUMBER(J444),'REFERENCIAS'!$Q$8=1),ROUND(J444,'REFERENCIAS'!$K$8),"")</f>
      </c>
      <c r="R444" s="29" t="str">
        <f>"ID:"&amp;SUBSTITUTE(SUBSTITUTE(SUBSTITUTE(SUBSTITUTE(UPPER(TRIM(B444&amp;"")),"!","!E"),"*","!A"),"?","!B"),"~","!C")</f>
        <v>ID:</v>
      </c>
      <c r="S444" s="29" t="str">
        <f>"ID:"&amp;SUBSTITUTE(SUBSTITUTE(SUBSTITUTE(SUBSTITUTE(UPPER(TRIM(C444&amp;"")),"!","!E"),"*","!A"),"?","!B"),"~","!C")</f>
        <v>ID:</v>
      </c>
    </row>
    <row r="445" ht="75" customHeight="1">
      <c r="B445" s="31"/>
      <c r="C445" s="31"/>
      <c r="D445" s="31"/>
      <c r="E445" s="31"/>
      <c r="F445" s="31"/>
      <c r="G445" s="34"/>
      <c r="H445" s="34"/>
      <c r="I445" s="34"/>
      <c r="J445" s="34"/>
      <c r="K445" s="31"/>
      <c r="L445" s="31"/>
      <c r="M445" s="31"/>
      <c r="N445" s="31"/>
      <c r="O445" s="31"/>
      <c r="P445" s="35">
        <f>IF(AND(ISNUMBER(J445),'REFERENCIAS'!$Q$8=1),ROUND(J445,'REFERENCIAS'!$K$8),"")</f>
      </c>
      <c r="R445" s="29" t="str">
        <f>"ID:"&amp;SUBSTITUTE(SUBSTITUTE(SUBSTITUTE(SUBSTITUTE(UPPER(TRIM(B445&amp;"")),"!","!E"),"*","!A"),"?","!B"),"~","!C")</f>
        <v>ID:</v>
      </c>
      <c r="S445" s="29" t="str">
        <f>"ID:"&amp;SUBSTITUTE(SUBSTITUTE(SUBSTITUTE(SUBSTITUTE(UPPER(TRIM(C445&amp;"")),"!","!E"),"*","!A"),"?","!B"),"~","!C")</f>
        <v>ID:</v>
      </c>
    </row>
    <row r="446" ht="75" customHeight="1">
      <c r="B446" s="31"/>
      <c r="C446" s="31"/>
      <c r="D446" s="31"/>
      <c r="E446" s="31"/>
      <c r="F446" s="31"/>
      <c r="G446" s="34"/>
      <c r="H446" s="34"/>
      <c r="I446" s="34"/>
      <c r="J446" s="34"/>
      <c r="K446" s="31"/>
      <c r="L446" s="31"/>
      <c r="M446" s="31"/>
      <c r="N446" s="31"/>
      <c r="O446" s="31"/>
      <c r="P446" s="35">
        <f>IF(AND(ISNUMBER(J446),'REFERENCIAS'!$Q$8=1),ROUND(J446,'REFERENCIAS'!$K$8),"")</f>
      </c>
      <c r="R446" s="29" t="str">
        <f>"ID:"&amp;SUBSTITUTE(SUBSTITUTE(SUBSTITUTE(SUBSTITUTE(UPPER(TRIM(B446&amp;"")),"!","!E"),"*","!A"),"?","!B"),"~","!C")</f>
        <v>ID:</v>
      </c>
      <c r="S446" s="29" t="str">
        <f>"ID:"&amp;SUBSTITUTE(SUBSTITUTE(SUBSTITUTE(SUBSTITUTE(UPPER(TRIM(C446&amp;"")),"!","!E"),"*","!A"),"?","!B"),"~","!C")</f>
        <v>ID:</v>
      </c>
    </row>
    <row r="447" ht="75" customHeight="1">
      <c r="B447" s="31"/>
      <c r="C447" s="31"/>
      <c r="D447" s="31"/>
      <c r="E447" s="31"/>
      <c r="F447" s="31"/>
      <c r="G447" s="34"/>
      <c r="H447" s="34"/>
      <c r="I447" s="34"/>
      <c r="J447" s="34"/>
      <c r="K447" s="31"/>
      <c r="L447" s="31"/>
      <c r="M447" s="31"/>
      <c r="N447" s="31"/>
      <c r="O447" s="31"/>
      <c r="P447" s="35">
        <f>IF(AND(ISNUMBER(J447),'REFERENCIAS'!$Q$8=1),ROUND(J447,'REFERENCIAS'!$K$8),"")</f>
      </c>
      <c r="R447" s="29" t="str">
        <f>"ID:"&amp;SUBSTITUTE(SUBSTITUTE(SUBSTITUTE(SUBSTITUTE(UPPER(TRIM(B447&amp;"")),"!","!E"),"*","!A"),"?","!B"),"~","!C")</f>
        <v>ID:</v>
      </c>
      <c r="S447" s="29" t="str">
        <f>"ID:"&amp;SUBSTITUTE(SUBSTITUTE(SUBSTITUTE(SUBSTITUTE(UPPER(TRIM(C447&amp;"")),"!","!E"),"*","!A"),"?","!B"),"~","!C")</f>
        <v>ID:</v>
      </c>
    </row>
    <row r="448" ht="75" customHeight="1">
      <c r="B448" s="31"/>
      <c r="C448" s="31"/>
      <c r="D448" s="31"/>
      <c r="E448" s="31"/>
      <c r="F448" s="31"/>
      <c r="G448" s="34"/>
      <c r="H448" s="34"/>
      <c r="I448" s="34"/>
      <c r="J448" s="34"/>
      <c r="K448" s="31"/>
      <c r="L448" s="31"/>
      <c r="M448" s="31"/>
      <c r="N448" s="31"/>
      <c r="O448" s="31"/>
      <c r="P448" s="35">
        <f>IF(AND(ISNUMBER(J448),'REFERENCIAS'!$Q$8=1),ROUND(J448,'REFERENCIAS'!$K$8),"")</f>
      </c>
      <c r="R448" s="29" t="str">
        <f>"ID:"&amp;SUBSTITUTE(SUBSTITUTE(SUBSTITUTE(SUBSTITUTE(UPPER(TRIM(B448&amp;"")),"!","!E"),"*","!A"),"?","!B"),"~","!C")</f>
        <v>ID:</v>
      </c>
      <c r="S448" s="29" t="str">
        <f>"ID:"&amp;SUBSTITUTE(SUBSTITUTE(SUBSTITUTE(SUBSTITUTE(UPPER(TRIM(C448&amp;"")),"!","!E"),"*","!A"),"?","!B"),"~","!C")</f>
        <v>ID:</v>
      </c>
    </row>
    <row r="449" ht="75" customHeight="1">
      <c r="B449" s="31"/>
      <c r="C449" s="31"/>
      <c r="D449" s="31"/>
      <c r="E449" s="31"/>
      <c r="F449" s="31"/>
      <c r="G449" s="34"/>
      <c r="H449" s="34"/>
      <c r="I449" s="34"/>
      <c r="J449" s="34"/>
      <c r="K449" s="31"/>
      <c r="L449" s="31"/>
      <c r="M449" s="31"/>
      <c r="N449" s="31"/>
      <c r="O449" s="31"/>
      <c r="P449" s="35">
        <f>IF(AND(ISNUMBER(J449),'REFERENCIAS'!$Q$8=1),ROUND(J449,'REFERENCIAS'!$K$8),"")</f>
      </c>
      <c r="R449" s="29" t="str">
        <f>"ID:"&amp;SUBSTITUTE(SUBSTITUTE(SUBSTITUTE(SUBSTITUTE(UPPER(TRIM(B449&amp;"")),"!","!E"),"*","!A"),"?","!B"),"~","!C")</f>
        <v>ID:</v>
      </c>
      <c r="S449" s="29" t="str">
        <f>"ID:"&amp;SUBSTITUTE(SUBSTITUTE(SUBSTITUTE(SUBSTITUTE(UPPER(TRIM(C449&amp;"")),"!","!E"),"*","!A"),"?","!B"),"~","!C")</f>
        <v>ID:</v>
      </c>
    </row>
    <row r="450" ht="75" customHeight="1">
      <c r="B450" s="31"/>
      <c r="C450" s="31"/>
      <c r="D450" s="31"/>
      <c r="E450" s="31"/>
      <c r="F450" s="31"/>
      <c r="G450" s="34"/>
      <c r="H450" s="34"/>
      <c r="I450" s="34"/>
      <c r="J450" s="34"/>
      <c r="K450" s="31"/>
      <c r="L450" s="31"/>
      <c r="M450" s="31"/>
      <c r="N450" s="31"/>
      <c r="O450" s="31"/>
      <c r="P450" s="35">
        <f>IF(AND(ISNUMBER(J450),'REFERENCIAS'!$Q$8=1),ROUND(J450,'REFERENCIAS'!$K$8),"")</f>
      </c>
      <c r="R450" s="29" t="str">
        <f>"ID:"&amp;SUBSTITUTE(SUBSTITUTE(SUBSTITUTE(SUBSTITUTE(UPPER(TRIM(B450&amp;"")),"!","!E"),"*","!A"),"?","!B"),"~","!C")</f>
        <v>ID:</v>
      </c>
      <c r="S450" s="29" t="str">
        <f>"ID:"&amp;SUBSTITUTE(SUBSTITUTE(SUBSTITUTE(SUBSTITUTE(UPPER(TRIM(C450&amp;"")),"!","!E"),"*","!A"),"?","!B"),"~","!C")</f>
        <v>ID:</v>
      </c>
    </row>
    <row r="451" ht="75" customHeight="1">
      <c r="B451" s="31"/>
      <c r="C451" s="31"/>
      <c r="D451" s="31"/>
      <c r="E451" s="31"/>
      <c r="F451" s="31"/>
      <c r="G451" s="34"/>
      <c r="H451" s="34"/>
      <c r="I451" s="34"/>
      <c r="J451" s="34"/>
      <c r="K451" s="31"/>
      <c r="L451" s="31"/>
      <c r="M451" s="31"/>
      <c r="N451" s="31"/>
      <c r="O451" s="31"/>
      <c r="P451" s="35">
        <f>IF(AND(ISNUMBER(J451),'REFERENCIAS'!$Q$8=1),ROUND(J451,'REFERENCIAS'!$K$8),"")</f>
      </c>
      <c r="R451" s="29" t="str">
        <f>"ID:"&amp;SUBSTITUTE(SUBSTITUTE(SUBSTITUTE(SUBSTITUTE(UPPER(TRIM(B451&amp;"")),"!","!E"),"*","!A"),"?","!B"),"~","!C")</f>
        <v>ID:</v>
      </c>
      <c r="S451" s="29" t="str">
        <f>"ID:"&amp;SUBSTITUTE(SUBSTITUTE(SUBSTITUTE(SUBSTITUTE(UPPER(TRIM(C451&amp;"")),"!","!E"),"*","!A"),"?","!B"),"~","!C")</f>
        <v>ID:</v>
      </c>
    </row>
    <row r="452" ht="75" customHeight="1">
      <c r="B452" s="31"/>
      <c r="C452" s="31"/>
      <c r="D452" s="31"/>
      <c r="E452" s="31"/>
      <c r="F452" s="31"/>
      <c r="G452" s="34"/>
      <c r="H452" s="34"/>
      <c r="I452" s="34"/>
      <c r="J452" s="34"/>
      <c r="K452" s="31"/>
      <c r="L452" s="31"/>
      <c r="M452" s="31"/>
      <c r="N452" s="31"/>
      <c r="O452" s="31"/>
      <c r="P452" s="35">
        <f>IF(AND(ISNUMBER(J452),'REFERENCIAS'!$Q$8=1),ROUND(J452,'REFERENCIAS'!$K$8),"")</f>
      </c>
      <c r="R452" s="29" t="str">
        <f>"ID:"&amp;SUBSTITUTE(SUBSTITUTE(SUBSTITUTE(SUBSTITUTE(UPPER(TRIM(B452&amp;"")),"!","!E"),"*","!A"),"?","!B"),"~","!C")</f>
        <v>ID:</v>
      </c>
      <c r="S452" s="29" t="str">
        <f>"ID:"&amp;SUBSTITUTE(SUBSTITUTE(SUBSTITUTE(SUBSTITUTE(UPPER(TRIM(C452&amp;"")),"!","!E"),"*","!A"),"?","!B"),"~","!C")</f>
        <v>ID:</v>
      </c>
    </row>
    <row r="453" ht="75" customHeight="1">
      <c r="B453" s="31"/>
      <c r="C453" s="31"/>
      <c r="D453" s="31"/>
      <c r="E453" s="31"/>
      <c r="F453" s="31"/>
      <c r="G453" s="34"/>
      <c r="H453" s="34"/>
      <c r="I453" s="34"/>
      <c r="J453" s="34"/>
      <c r="K453" s="31"/>
      <c r="L453" s="31"/>
      <c r="M453" s="31"/>
      <c r="N453" s="31"/>
      <c r="O453" s="31"/>
      <c r="P453" s="35">
        <f>IF(AND(ISNUMBER(J453),'REFERENCIAS'!$Q$8=1),ROUND(J453,'REFERENCIAS'!$K$8),"")</f>
      </c>
      <c r="R453" s="29" t="str">
        <f>"ID:"&amp;SUBSTITUTE(SUBSTITUTE(SUBSTITUTE(SUBSTITUTE(UPPER(TRIM(B453&amp;"")),"!","!E"),"*","!A"),"?","!B"),"~","!C")</f>
        <v>ID:</v>
      </c>
      <c r="S453" s="29" t="str">
        <f>"ID:"&amp;SUBSTITUTE(SUBSTITUTE(SUBSTITUTE(SUBSTITUTE(UPPER(TRIM(C453&amp;"")),"!","!E"),"*","!A"),"?","!B"),"~","!C")</f>
        <v>ID:</v>
      </c>
    </row>
    <row r="454" ht="75" customHeight="1">
      <c r="B454" s="31"/>
      <c r="C454" s="31"/>
      <c r="D454" s="31"/>
      <c r="E454" s="31"/>
      <c r="F454" s="31"/>
      <c r="G454" s="34"/>
      <c r="H454" s="34"/>
      <c r="I454" s="34"/>
      <c r="J454" s="34"/>
      <c r="K454" s="31"/>
      <c r="L454" s="31"/>
      <c r="M454" s="31"/>
      <c r="N454" s="31"/>
      <c r="O454" s="31"/>
      <c r="P454" s="35">
        <f>IF(AND(ISNUMBER(J454),'REFERENCIAS'!$Q$8=1),ROUND(J454,'REFERENCIAS'!$K$8),"")</f>
      </c>
      <c r="R454" s="29" t="str">
        <f>"ID:"&amp;SUBSTITUTE(SUBSTITUTE(SUBSTITUTE(SUBSTITUTE(UPPER(TRIM(B454&amp;"")),"!","!E"),"*","!A"),"?","!B"),"~","!C")</f>
        <v>ID:</v>
      </c>
      <c r="S454" s="29" t="str">
        <f>"ID:"&amp;SUBSTITUTE(SUBSTITUTE(SUBSTITUTE(SUBSTITUTE(UPPER(TRIM(C454&amp;"")),"!","!E"),"*","!A"),"?","!B"),"~","!C")</f>
        <v>ID:</v>
      </c>
    </row>
    <row r="455" ht="75" customHeight="1">
      <c r="B455" s="31"/>
      <c r="C455" s="31"/>
      <c r="D455" s="31"/>
      <c r="E455" s="31"/>
      <c r="F455" s="31"/>
      <c r="G455" s="34"/>
      <c r="H455" s="34"/>
      <c r="I455" s="34"/>
      <c r="J455" s="34"/>
      <c r="K455" s="31"/>
      <c r="L455" s="31"/>
      <c r="M455" s="31"/>
      <c r="N455" s="31"/>
      <c r="O455" s="31"/>
      <c r="P455" s="35">
        <f>IF(AND(ISNUMBER(J455),'REFERENCIAS'!$Q$8=1),ROUND(J455,'REFERENCIAS'!$K$8),"")</f>
      </c>
      <c r="R455" s="29" t="str">
        <f>"ID:"&amp;SUBSTITUTE(SUBSTITUTE(SUBSTITUTE(SUBSTITUTE(UPPER(TRIM(B455&amp;"")),"!","!E"),"*","!A"),"?","!B"),"~","!C")</f>
        <v>ID:</v>
      </c>
      <c r="S455" s="29" t="str">
        <f>"ID:"&amp;SUBSTITUTE(SUBSTITUTE(SUBSTITUTE(SUBSTITUTE(UPPER(TRIM(C455&amp;"")),"!","!E"),"*","!A"),"?","!B"),"~","!C")</f>
        <v>ID:</v>
      </c>
    </row>
    <row r="456" ht="75" customHeight="1">
      <c r="B456" s="31"/>
      <c r="C456" s="31"/>
      <c r="D456" s="31"/>
      <c r="E456" s="31"/>
      <c r="F456" s="31"/>
      <c r="G456" s="34"/>
      <c r="H456" s="34"/>
      <c r="I456" s="34"/>
      <c r="J456" s="34"/>
      <c r="K456" s="31"/>
      <c r="L456" s="31"/>
      <c r="M456" s="31"/>
      <c r="N456" s="31"/>
      <c r="O456" s="31"/>
      <c r="P456" s="35">
        <f>IF(AND(ISNUMBER(J456),'REFERENCIAS'!$Q$8=1),ROUND(J456,'REFERENCIAS'!$K$8),"")</f>
      </c>
      <c r="R456" s="29" t="str">
        <f>"ID:"&amp;SUBSTITUTE(SUBSTITUTE(SUBSTITUTE(SUBSTITUTE(UPPER(TRIM(B456&amp;"")),"!","!E"),"*","!A"),"?","!B"),"~","!C")</f>
        <v>ID:</v>
      </c>
      <c r="S456" s="29" t="str">
        <f>"ID:"&amp;SUBSTITUTE(SUBSTITUTE(SUBSTITUTE(SUBSTITUTE(UPPER(TRIM(C456&amp;"")),"!","!E"),"*","!A"),"?","!B"),"~","!C")</f>
        <v>ID:</v>
      </c>
    </row>
    <row r="457" ht="75" customHeight="1">
      <c r="B457" s="31"/>
      <c r="C457" s="31"/>
      <c r="D457" s="31"/>
      <c r="E457" s="31"/>
      <c r="F457" s="31"/>
      <c r="G457" s="34"/>
      <c r="H457" s="34"/>
      <c r="I457" s="34"/>
      <c r="J457" s="34"/>
      <c r="K457" s="31"/>
      <c r="L457" s="31"/>
      <c r="M457" s="31"/>
      <c r="N457" s="31"/>
      <c r="O457" s="31"/>
      <c r="P457" s="35">
        <f>IF(AND(ISNUMBER(J457),'REFERENCIAS'!$Q$8=1),ROUND(J457,'REFERENCIAS'!$K$8),"")</f>
      </c>
      <c r="R457" s="29" t="str">
        <f>"ID:"&amp;SUBSTITUTE(SUBSTITUTE(SUBSTITUTE(SUBSTITUTE(UPPER(TRIM(B457&amp;"")),"!","!E"),"*","!A"),"?","!B"),"~","!C")</f>
        <v>ID:</v>
      </c>
      <c r="S457" s="29" t="str">
        <f>"ID:"&amp;SUBSTITUTE(SUBSTITUTE(SUBSTITUTE(SUBSTITUTE(UPPER(TRIM(C457&amp;"")),"!","!E"),"*","!A"),"?","!B"),"~","!C")</f>
        <v>ID:</v>
      </c>
    </row>
    <row r="458" ht="75" customHeight="1">
      <c r="B458" s="31"/>
      <c r="C458" s="31"/>
      <c r="D458" s="31"/>
      <c r="E458" s="31"/>
      <c r="F458" s="31"/>
      <c r="G458" s="34"/>
      <c r="H458" s="34"/>
      <c r="I458" s="34"/>
      <c r="J458" s="34"/>
      <c r="K458" s="31"/>
      <c r="L458" s="31"/>
      <c r="M458" s="31"/>
      <c r="N458" s="31"/>
      <c r="O458" s="31"/>
      <c r="P458" s="35">
        <f>IF(AND(ISNUMBER(J458),'REFERENCIAS'!$Q$8=1),ROUND(J458,'REFERENCIAS'!$K$8),"")</f>
      </c>
      <c r="R458" s="29" t="str">
        <f>"ID:"&amp;SUBSTITUTE(SUBSTITUTE(SUBSTITUTE(SUBSTITUTE(UPPER(TRIM(B458&amp;"")),"!","!E"),"*","!A"),"?","!B"),"~","!C")</f>
        <v>ID:</v>
      </c>
      <c r="S458" s="29" t="str">
        <f>"ID:"&amp;SUBSTITUTE(SUBSTITUTE(SUBSTITUTE(SUBSTITUTE(UPPER(TRIM(C458&amp;"")),"!","!E"),"*","!A"),"?","!B"),"~","!C")</f>
        <v>ID:</v>
      </c>
    </row>
    <row r="459" ht="75" customHeight="1">
      <c r="B459" s="31"/>
      <c r="C459" s="31"/>
      <c r="D459" s="31"/>
      <c r="E459" s="31"/>
      <c r="F459" s="31"/>
      <c r="G459" s="34"/>
      <c r="H459" s="34"/>
      <c r="I459" s="34"/>
      <c r="J459" s="34"/>
      <c r="K459" s="31"/>
      <c r="L459" s="31"/>
      <c r="M459" s="31"/>
      <c r="N459" s="31"/>
      <c r="O459" s="31"/>
      <c r="P459" s="35">
        <f>IF(AND(ISNUMBER(J459),'REFERENCIAS'!$Q$8=1),ROUND(J459,'REFERENCIAS'!$K$8),"")</f>
      </c>
      <c r="R459" s="29" t="str">
        <f>"ID:"&amp;SUBSTITUTE(SUBSTITUTE(SUBSTITUTE(SUBSTITUTE(UPPER(TRIM(B459&amp;"")),"!","!E"),"*","!A"),"?","!B"),"~","!C")</f>
        <v>ID:</v>
      </c>
      <c r="S459" s="29" t="str">
        <f>"ID:"&amp;SUBSTITUTE(SUBSTITUTE(SUBSTITUTE(SUBSTITUTE(UPPER(TRIM(C459&amp;"")),"!","!E"),"*","!A"),"?","!B"),"~","!C")</f>
        <v>ID:</v>
      </c>
    </row>
    <row r="460" ht="75" customHeight="1">
      <c r="B460" s="31"/>
      <c r="C460" s="31"/>
      <c r="D460" s="31"/>
      <c r="E460" s="31"/>
      <c r="F460" s="31"/>
      <c r="G460" s="34"/>
      <c r="H460" s="34"/>
      <c r="I460" s="34"/>
      <c r="J460" s="34"/>
      <c r="K460" s="31"/>
      <c r="L460" s="31"/>
      <c r="M460" s="31"/>
      <c r="N460" s="31"/>
      <c r="O460" s="31"/>
      <c r="P460" s="35">
        <f>IF(AND(ISNUMBER(J460),'REFERENCIAS'!$Q$8=1),ROUND(J460,'REFERENCIAS'!$K$8),"")</f>
      </c>
      <c r="R460" s="29" t="str">
        <f>"ID:"&amp;SUBSTITUTE(SUBSTITUTE(SUBSTITUTE(SUBSTITUTE(UPPER(TRIM(B460&amp;"")),"!","!E"),"*","!A"),"?","!B"),"~","!C")</f>
        <v>ID:</v>
      </c>
      <c r="S460" s="29" t="str">
        <f>"ID:"&amp;SUBSTITUTE(SUBSTITUTE(SUBSTITUTE(SUBSTITUTE(UPPER(TRIM(C460&amp;"")),"!","!E"),"*","!A"),"?","!B"),"~","!C")</f>
        <v>ID:</v>
      </c>
    </row>
    <row r="461" ht="75" customHeight="1">
      <c r="B461" s="31"/>
      <c r="C461" s="31"/>
      <c r="D461" s="31"/>
      <c r="E461" s="31"/>
      <c r="F461" s="31"/>
      <c r="G461" s="34"/>
      <c r="H461" s="34"/>
      <c r="I461" s="34"/>
      <c r="J461" s="34"/>
      <c r="K461" s="31"/>
      <c r="L461" s="31"/>
      <c r="M461" s="31"/>
      <c r="N461" s="31"/>
      <c r="O461" s="31"/>
      <c r="P461" s="35">
        <f>IF(AND(ISNUMBER(J461),'REFERENCIAS'!$Q$8=1),ROUND(J461,'REFERENCIAS'!$K$8),"")</f>
      </c>
      <c r="R461" s="29" t="str">
        <f>"ID:"&amp;SUBSTITUTE(SUBSTITUTE(SUBSTITUTE(SUBSTITUTE(UPPER(TRIM(B461&amp;"")),"!","!E"),"*","!A"),"?","!B"),"~","!C")</f>
        <v>ID:</v>
      </c>
      <c r="S461" s="29" t="str">
        <f>"ID:"&amp;SUBSTITUTE(SUBSTITUTE(SUBSTITUTE(SUBSTITUTE(UPPER(TRIM(C461&amp;"")),"!","!E"),"*","!A"),"?","!B"),"~","!C")</f>
        <v>ID:</v>
      </c>
    </row>
    <row r="462" ht="75" customHeight="1">
      <c r="B462" s="31"/>
      <c r="C462" s="31"/>
      <c r="D462" s="31"/>
      <c r="E462" s="31"/>
      <c r="F462" s="31"/>
      <c r="G462" s="34"/>
      <c r="H462" s="34"/>
      <c r="I462" s="34"/>
      <c r="J462" s="34"/>
      <c r="K462" s="31"/>
      <c r="L462" s="31"/>
      <c r="M462" s="31"/>
      <c r="N462" s="31"/>
      <c r="O462" s="31"/>
      <c r="P462" s="35">
        <f>IF(AND(ISNUMBER(J462),'REFERENCIAS'!$Q$8=1),ROUND(J462,'REFERENCIAS'!$K$8),"")</f>
      </c>
      <c r="R462" s="29" t="str">
        <f>"ID:"&amp;SUBSTITUTE(SUBSTITUTE(SUBSTITUTE(SUBSTITUTE(UPPER(TRIM(B462&amp;"")),"!","!E"),"*","!A"),"?","!B"),"~","!C")</f>
        <v>ID:</v>
      </c>
      <c r="S462" s="29" t="str">
        <f>"ID:"&amp;SUBSTITUTE(SUBSTITUTE(SUBSTITUTE(SUBSTITUTE(UPPER(TRIM(C462&amp;"")),"!","!E"),"*","!A"),"?","!B"),"~","!C")</f>
        <v>ID:</v>
      </c>
    </row>
    <row r="463" ht="75" customHeight="1">
      <c r="B463" s="31"/>
      <c r="C463" s="31"/>
      <c r="D463" s="31"/>
      <c r="E463" s="31"/>
      <c r="F463" s="31"/>
      <c r="G463" s="34"/>
      <c r="H463" s="34"/>
      <c r="I463" s="34"/>
      <c r="J463" s="34"/>
      <c r="K463" s="31"/>
      <c r="L463" s="31"/>
      <c r="M463" s="31"/>
      <c r="N463" s="31"/>
      <c r="O463" s="31"/>
      <c r="P463" s="35">
        <f>IF(AND(ISNUMBER(J463),'REFERENCIAS'!$Q$8=1),ROUND(J463,'REFERENCIAS'!$K$8),"")</f>
      </c>
      <c r="R463" s="29" t="str">
        <f>"ID:"&amp;SUBSTITUTE(SUBSTITUTE(SUBSTITUTE(SUBSTITUTE(UPPER(TRIM(B463&amp;"")),"!","!E"),"*","!A"),"?","!B"),"~","!C")</f>
        <v>ID:</v>
      </c>
      <c r="S463" s="29" t="str">
        <f>"ID:"&amp;SUBSTITUTE(SUBSTITUTE(SUBSTITUTE(SUBSTITUTE(UPPER(TRIM(C463&amp;"")),"!","!E"),"*","!A"),"?","!B"),"~","!C")</f>
        <v>ID:</v>
      </c>
    </row>
    <row r="464" ht="75" customHeight="1">
      <c r="B464" s="31"/>
      <c r="C464" s="31"/>
      <c r="D464" s="31"/>
      <c r="E464" s="31"/>
      <c r="F464" s="31"/>
      <c r="G464" s="34"/>
      <c r="H464" s="34"/>
      <c r="I464" s="34"/>
      <c r="J464" s="34"/>
      <c r="K464" s="31"/>
      <c r="L464" s="31"/>
      <c r="M464" s="31"/>
      <c r="N464" s="31"/>
      <c r="O464" s="31"/>
      <c r="P464" s="35">
        <f>IF(AND(ISNUMBER(J464),'REFERENCIAS'!$Q$8=1),ROUND(J464,'REFERENCIAS'!$K$8),"")</f>
      </c>
      <c r="R464" s="29" t="str">
        <f>"ID:"&amp;SUBSTITUTE(SUBSTITUTE(SUBSTITUTE(SUBSTITUTE(UPPER(TRIM(B464&amp;"")),"!","!E"),"*","!A"),"?","!B"),"~","!C")</f>
        <v>ID:</v>
      </c>
      <c r="S464" s="29" t="str">
        <f>"ID:"&amp;SUBSTITUTE(SUBSTITUTE(SUBSTITUTE(SUBSTITUTE(UPPER(TRIM(C464&amp;"")),"!","!E"),"*","!A"),"?","!B"),"~","!C")</f>
        <v>ID:</v>
      </c>
    </row>
    <row r="465" ht="75" customHeight="1">
      <c r="B465" s="31"/>
      <c r="C465" s="31"/>
      <c r="D465" s="31"/>
      <c r="E465" s="31"/>
      <c r="F465" s="31"/>
      <c r="G465" s="34"/>
      <c r="H465" s="34"/>
      <c r="I465" s="34"/>
      <c r="J465" s="34"/>
      <c r="K465" s="31"/>
      <c r="L465" s="31"/>
      <c r="M465" s="31"/>
      <c r="N465" s="31"/>
      <c r="O465" s="31"/>
      <c r="P465" s="35">
        <f>IF(AND(ISNUMBER(J465),'REFERENCIAS'!$Q$8=1),ROUND(J465,'REFERENCIAS'!$K$8),"")</f>
      </c>
      <c r="R465" s="29" t="str">
        <f>"ID:"&amp;SUBSTITUTE(SUBSTITUTE(SUBSTITUTE(SUBSTITUTE(UPPER(TRIM(B465&amp;"")),"!","!E"),"*","!A"),"?","!B"),"~","!C")</f>
        <v>ID:</v>
      </c>
      <c r="S465" s="29" t="str">
        <f>"ID:"&amp;SUBSTITUTE(SUBSTITUTE(SUBSTITUTE(SUBSTITUTE(UPPER(TRIM(C465&amp;"")),"!","!E"),"*","!A"),"?","!B"),"~","!C")</f>
        <v>ID:</v>
      </c>
    </row>
    <row r="466" ht="75" customHeight="1">
      <c r="B466" s="31"/>
      <c r="C466" s="31"/>
      <c r="D466" s="31"/>
      <c r="E466" s="31"/>
      <c r="F466" s="31"/>
      <c r="G466" s="34"/>
      <c r="H466" s="34"/>
      <c r="I466" s="34"/>
      <c r="J466" s="34"/>
      <c r="K466" s="31"/>
      <c r="L466" s="31"/>
      <c r="M466" s="31"/>
      <c r="N466" s="31"/>
      <c r="O466" s="31"/>
      <c r="P466" s="35">
        <f>IF(AND(ISNUMBER(J466),'REFERENCIAS'!$Q$8=1),ROUND(J466,'REFERENCIAS'!$K$8),"")</f>
      </c>
      <c r="R466" s="29" t="str">
        <f>"ID:"&amp;SUBSTITUTE(SUBSTITUTE(SUBSTITUTE(SUBSTITUTE(UPPER(TRIM(B466&amp;"")),"!","!E"),"*","!A"),"?","!B"),"~","!C")</f>
        <v>ID:</v>
      </c>
      <c r="S466" s="29" t="str">
        <f>"ID:"&amp;SUBSTITUTE(SUBSTITUTE(SUBSTITUTE(SUBSTITUTE(UPPER(TRIM(C466&amp;"")),"!","!E"),"*","!A"),"?","!B"),"~","!C")</f>
        <v>ID:</v>
      </c>
    </row>
    <row r="467" ht="75" customHeight="1">
      <c r="B467" s="31"/>
      <c r="C467" s="31"/>
      <c r="D467" s="31"/>
      <c r="E467" s="31"/>
      <c r="F467" s="31"/>
      <c r="G467" s="34"/>
      <c r="H467" s="34"/>
      <c r="I467" s="34"/>
      <c r="J467" s="34"/>
      <c r="K467" s="31"/>
      <c r="L467" s="31"/>
      <c r="M467" s="31"/>
      <c r="N467" s="31"/>
      <c r="O467" s="31"/>
      <c r="P467" s="35">
        <f>IF(AND(ISNUMBER(J467),'REFERENCIAS'!$Q$8=1),ROUND(J467,'REFERENCIAS'!$K$8),"")</f>
      </c>
      <c r="R467" s="29" t="str">
        <f>"ID:"&amp;SUBSTITUTE(SUBSTITUTE(SUBSTITUTE(SUBSTITUTE(UPPER(TRIM(B467&amp;"")),"!","!E"),"*","!A"),"?","!B"),"~","!C")</f>
        <v>ID:</v>
      </c>
      <c r="S467" s="29" t="str">
        <f>"ID:"&amp;SUBSTITUTE(SUBSTITUTE(SUBSTITUTE(SUBSTITUTE(UPPER(TRIM(C467&amp;"")),"!","!E"),"*","!A"),"?","!B"),"~","!C")</f>
        <v>ID:</v>
      </c>
    </row>
    <row r="468" ht="75" customHeight="1">
      <c r="B468" s="31"/>
      <c r="C468" s="31"/>
      <c r="D468" s="31"/>
      <c r="E468" s="31"/>
      <c r="F468" s="31"/>
      <c r="G468" s="34"/>
      <c r="H468" s="34"/>
      <c r="I468" s="34"/>
      <c r="J468" s="34"/>
      <c r="K468" s="31"/>
      <c r="L468" s="31"/>
      <c r="M468" s="31"/>
      <c r="N468" s="31"/>
      <c r="O468" s="31"/>
      <c r="P468" s="35">
        <f>IF(AND(ISNUMBER(J468),'REFERENCIAS'!$Q$8=1),ROUND(J468,'REFERENCIAS'!$K$8),"")</f>
      </c>
      <c r="R468" s="29" t="str">
        <f>"ID:"&amp;SUBSTITUTE(SUBSTITUTE(SUBSTITUTE(SUBSTITUTE(UPPER(TRIM(B468&amp;"")),"!","!E"),"*","!A"),"?","!B"),"~","!C")</f>
        <v>ID:</v>
      </c>
      <c r="S468" s="29" t="str">
        <f>"ID:"&amp;SUBSTITUTE(SUBSTITUTE(SUBSTITUTE(SUBSTITUTE(UPPER(TRIM(C468&amp;"")),"!","!E"),"*","!A"),"?","!B"),"~","!C")</f>
        <v>ID:</v>
      </c>
    </row>
    <row r="469" ht="75" customHeight="1">
      <c r="B469" s="31"/>
      <c r="C469" s="31"/>
      <c r="D469" s="31"/>
      <c r="E469" s="31"/>
      <c r="F469" s="31"/>
      <c r="G469" s="34"/>
      <c r="H469" s="34"/>
      <c r="I469" s="34"/>
      <c r="J469" s="34"/>
      <c r="K469" s="31"/>
      <c r="L469" s="31"/>
      <c r="M469" s="31"/>
      <c r="N469" s="31"/>
      <c r="O469" s="31"/>
      <c r="P469" s="35">
        <f>IF(AND(ISNUMBER(J469),'REFERENCIAS'!$Q$8=1),ROUND(J469,'REFERENCIAS'!$K$8),"")</f>
      </c>
      <c r="R469" s="29" t="str">
        <f>"ID:"&amp;SUBSTITUTE(SUBSTITUTE(SUBSTITUTE(SUBSTITUTE(UPPER(TRIM(B469&amp;"")),"!","!E"),"*","!A"),"?","!B"),"~","!C")</f>
        <v>ID:</v>
      </c>
      <c r="S469" s="29" t="str">
        <f>"ID:"&amp;SUBSTITUTE(SUBSTITUTE(SUBSTITUTE(SUBSTITUTE(UPPER(TRIM(C469&amp;"")),"!","!E"),"*","!A"),"?","!B"),"~","!C")</f>
        <v>ID:</v>
      </c>
    </row>
    <row r="470" ht="75" customHeight="1">
      <c r="B470" s="31"/>
      <c r="C470" s="31"/>
      <c r="D470" s="31"/>
      <c r="E470" s="31"/>
      <c r="F470" s="31"/>
      <c r="G470" s="34"/>
      <c r="H470" s="34"/>
      <c r="I470" s="34"/>
      <c r="J470" s="34"/>
      <c r="K470" s="31"/>
      <c r="L470" s="31"/>
      <c r="M470" s="31"/>
      <c r="N470" s="31"/>
      <c r="O470" s="31"/>
      <c r="P470" s="35">
        <f>IF(AND(ISNUMBER(J470),'REFERENCIAS'!$Q$8=1),ROUND(J470,'REFERENCIAS'!$K$8),"")</f>
      </c>
      <c r="R470" s="29" t="str">
        <f>"ID:"&amp;SUBSTITUTE(SUBSTITUTE(SUBSTITUTE(SUBSTITUTE(UPPER(TRIM(B470&amp;"")),"!","!E"),"*","!A"),"?","!B"),"~","!C")</f>
        <v>ID:</v>
      </c>
      <c r="S470" s="29" t="str">
        <f>"ID:"&amp;SUBSTITUTE(SUBSTITUTE(SUBSTITUTE(SUBSTITUTE(UPPER(TRIM(C470&amp;"")),"!","!E"),"*","!A"),"?","!B"),"~","!C")</f>
        <v>ID:</v>
      </c>
    </row>
    <row r="471" ht="75" customHeight="1">
      <c r="B471" s="31"/>
      <c r="C471" s="31"/>
      <c r="D471" s="31"/>
      <c r="E471" s="31"/>
      <c r="F471" s="31"/>
      <c r="G471" s="34"/>
      <c r="H471" s="34"/>
      <c r="I471" s="34"/>
      <c r="J471" s="34"/>
      <c r="K471" s="31"/>
      <c r="L471" s="31"/>
      <c r="M471" s="31"/>
      <c r="N471" s="31"/>
      <c r="O471" s="31"/>
      <c r="P471" s="35">
        <f>IF(AND(ISNUMBER(J471),'REFERENCIAS'!$Q$8=1),ROUND(J471,'REFERENCIAS'!$K$8),"")</f>
      </c>
      <c r="R471" s="29" t="str">
        <f>"ID:"&amp;SUBSTITUTE(SUBSTITUTE(SUBSTITUTE(SUBSTITUTE(UPPER(TRIM(B471&amp;"")),"!","!E"),"*","!A"),"?","!B"),"~","!C")</f>
        <v>ID:</v>
      </c>
      <c r="S471" s="29" t="str">
        <f>"ID:"&amp;SUBSTITUTE(SUBSTITUTE(SUBSTITUTE(SUBSTITUTE(UPPER(TRIM(C471&amp;"")),"!","!E"),"*","!A"),"?","!B"),"~","!C")</f>
        <v>ID:</v>
      </c>
    </row>
    <row r="472" ht="75" customHeight="1">
      <c r="B472" s="31"/>
      <c r="C472" s="31"/>
      <c r="D472" s="31"/>
      <c r="E472" s="31"/>
      <c r="F472" s="31"/>
      <c r="G472" s="34"/>
      <c r="H472" s="34"/>
      <c r="I472" s="34"/>
      <c r="J472" s="34"/>
      <c r="K472" s="31"/>
      <c r="L472" s="31"/>
      <c r="M472" s="31"/>
      <c r="N472" s="31"/>
      <c r="O472" s="31"/>
      <c r="P472" s="35">
        <f>IF(AND(ISNUMBER(J472),'REFERENCIAS'!$Q$8=1),ROUND(J472,'REFERENCIAS'!$K$8),"")</f>
      </c>
      <c r="R472" s="29" t="str">
        <f>"ID:"&amp;SUBSTITUTE(SUBSTITUTE(SUBSTITUTE(SUBSTITUTE(UPPER(TRIM(B472&amp;"")),"!","!E"),"*","!A"),"?","!B"),"~","!C")</f>
        <v>ID:</v>
      </c>
      <c r="S472" s="29" t="str">
        <f>"ID:"&amp;SUBSTITUTE(SUBSTITUTE(SUBSTITUTE(SUBSTITUTE(UPPER(TRIM(C472&amp;"")),"!","!E"),"*","!A"),"?","!B"),"~","!C")</f>
        <v>ID:</v>
      </c>
    </row>
    <row r="473" ht="75" customHeight="1">
      <c r="B473" s="31"/>
      <c r="C473" s="31"/>
      <c r="D473" s="31"/>
      <c r="E473" s="31"/>
      <c r="F473" s="31"/>
      <c r="G473" s="34"/>
      <c r="H473" s="34"/>
      <c r="I473" s="34"/>
      <c r="J473" s="34"/>
      <c r="K473" s="31"/>
      <c r="L473" s="31"/>
      <c r="M473" s="31"/>
      <c r="N473" s="31"/>
      <c r="O473" s="31"/>
      <c r="P473" s="35">
        <f>IF(AND(ISNUMBER(J473),'REFERENCIAS'!$Q$8=1),ROUND(J473,'REFERENCIAS'!$K$8),"")</f>
      </c>
      <c r="R473" s="29" t="str">
        <f>"ID:"&amp;SUBSTITUTE(SUBSTITUTE(SUBSTITUTE(SUBSTITUTE(UPPER(TRIM(B473&amp;"")),"!","!E"),"*","!A"),"?","!B"),"~","!C")</f>
        <v>ID:</v>
      </c>
      <c r="S473" s="29" t="str">
        <f>"ID:"&amp;SUBSTITUTE(SUBSTITUTE(SUBSTITUTE(SUBSTITUTE(UPPER(TRIM(C473&amp;"")),"!","!E"),"*","!A"),"?","!B"),"~","!C")</f>
        <v>ID:</v>
      </c>
    </row>
    <row r="474" ht="75" customHeight="1">
      <c r="B474" s="31"/>
      <c r="C474" s="31"/>
      <c r="D474" s="31"/>
      <c r="E474" s="31"/>
      <c r="F474" s="31"/>
      <c r="G474" s="34"/>
      <c r="H474" s="34"/>
      <c r="I474" s="34"/>
      <c r="J474" s="34"/>
      <c r="K474" s="31"/>
      <c r="L474" s="31"/>
      <c r="M474" s="31"/>
      <c r="N474" s="31"/>
      <c r="O474" s="31"/>
      <c r="P474" s="35">
        <f>IF(AND(ISNUMBER(J474),'REFERENCIAS'!$Q$8=1),ROUND(J474,'REFERENCIAS'!$K$8),"")</f>
      </c>
      <c r="R474" s="29" t="str">
        <f>"ID:"&amp;SUBSTITUTE(SUBSTITUTE(SUBSTITUTE(SUBSTITUTE(UPPER(TRIM(B474&amp;"")),"!","!E"),"*","!A"),"?","!B"),"~","!C")</f>
        <v>ID:</v>
      </c>
      <c r="S474" s="29" t="str">
        <f>"ID:"&amp;SUBSTITUTE(SUBSTITUTE(SUBSTITUTE(SUBSTITUTE(UPPER(TRIM(C474&amp;"")),"!","!E"),"*","!A"),"?","!B"),"~","!C")</f>
        <v>ID:</v>
      </c>
    </row>
    <row r="475" ht="75" customHeight="1">
      <c r="B475" s="31"/>
      <c r="C475" s="31"/>
      <c r="D475" s="31"/>
      <c r="E475" s="31"/>
      <c r="F475" s="31"/>
      <c r="G475" s="34"/>
      <c r="H475" s="34"/>
      <c r="I475" s="34"/>
      <c r="J475" s="34"/>
      <c r="K475" s="31"/>
      <c r="L475" s="31"/>
      <c r="M475" s="31"/>
      <c r="N475" s="31"/>
      <c r="O475" s="31"/>
      <c r="P475" s="35">
        <f>IF(AND(ISNUMBER(J475),'REFERENCIAS'!$Q$8=1),ROUND(J475,'REFERENCIAS'!$K$8),"")</f>
      </c>
      <c r="R475" s="29" t="str">
        <f>"ID:"&amp;SUBSTITUTE(SUBSTITUTE(SUBSTITUTE(SUBSTITUTE(UPPER(TRIM(B475&amp;"")),"!","!E"),"*","!A"),"?","!B"),"~","!C")</f>
        <v>ID:</v>
      </c>
      <c r="S475" s="29" t="str">
        <f>"ID:"&amp;SUBSTITUTE(SUBSTITUTE(SUBSTITUTE(SUBSTITUTE(UPPER(TRIM(C475&amp;"")),"!","!E"),"*","!A"),"?","!B"),"~","!C")</f>
        <v>ID:</v>
      </c>
    </row>
    <row r="476" ht="75" customHeight="1">
      <c r="B476" s="31"/>
      <c r="C476" s="31"/>
      <c r="D476" s="31"/>
      <c r="E476" s="31"/>
      <c r="F476" s="31"/>
      <c r="G476" s="34"/>
      <c r="H476" s="34"/>
      <c r="I476" s="34"/>
      <c r="J476" s="34"/>
      <c r="K476" s="31"/>
      <c r="L476" s="31"/>
      <c r="M476" s="31"/>
      <c r="N476" s="31"/>
      <c r="O476" s="31"/>
      <c r="P476" s="35">
        <f>IF(AND(ISNUMBER(J476),'REFERENCIAS'!$Q$8=1),ROUND(J476,'REFERENCIAS'!$K$8),"")</f>
      </c>
      <c r="R476" s="29" t="str">
        <f>"ID:"&amp;SUBSTITUTE(SUBSTITUTE(SUBSTITUTE(SUBSTITUTE(UPPER(TRIM(B476&amp;"")),"!","!E"),"*","!A"),"?","!B"),"~","!C")</f>
        <v>ID:</v>
      </c>
      <c r="S476" s="29" t="str">
        <f>"ID:"&amp;SUBSTITUTE(SUBSTITUTE(SUBSTITUTE(SUBSTITUTE(UPPER(TRIM(C476&amp;"")),"!","!E"),"*","!A"),"?","!B"),"~","!C")</f>
        <v>ID:</v>
      </c>
    </row>
    <row r="477" ht="75" customHeight="1">
      <c r="B477" s="31"/>
      <c r="C477" s="31"/>
      <c r="D477" s="31"/>
      <c r="E477" s="31"/>
      <c r="F477" s="31"/>
      <c r="G477" s="34"/>
      <c r="H477" s="34"/>
      <c r="I477" s="34"/>
      <c r="J477" s="34"/>
      <c r="K477" s="31"/>
      <c r="L477" s="31"/>
      <c r="M477" s="31"/>
      <c r="N477" s="31"/>
      <c r="O477" s="31"/>
      <c r="P477" s="35">
        <f>IF(AND(ISNUMBER(J477),'REFERENCIAS'!$Q$8=1),ROUND(J477,'REFERENCIAS'!$K$8),"")</f>
      </c>
      <c r="R477" s="29" t="str">
        <f>"ID:"&amp;SUBSTITUTE(SUBSTITUTE(SUBSTITUTE(SUBSTITUTE(UPPER(TRIM(B477&amp;"")),"!","!E"),"*","!A"),"?","!B"),"~","!C")</f>
        <v>ID:</v>
      </c>
      <c r="S477" s="29" t="str">
        <f>"ID:"&amp;SUBSTITUTE(SUBSTITUTE(SUBSTITUTE(SUBSTITUTE(UPPER(TRIM(C477&amp;"")),"!","!E"),"*","!A"),"?","!B"),"~","!C")</f>
        <v>ID:</v>
      </c>
    </row>
    <row r="478" ht="75" customHeight="1">
      <c r="B478" s="31"/>
      <c r="C478" s="31"/>
      <c r="D478" s="31"/>
      <c r="E478" s="31"/>
      <c r="F478" s="31"/>
      <c r="G478" s="34"/>
      <c r="H478" s="34"/>
      <c r="I478" s="34"/>
      <c r="J478" s="34"/>
      <c r="K478" s="31"/>
      <c r="L478" s="31"/>
      <c r="M478" s="31"/>
      <c r="N478" s="31"/>
      <c r="O478" s="31"/>
      <c r="P478" s="35">
        <f>IF(AND(ISNUMBER(J478),'REFERENCIAS'!$Q$8=1),ROUND(J478,'REFERENCIAS'!$K$8),"")</f>
      </c>
      <c r="R478" s="29" t="str">
        <f>"ID:"&amp;SUBSTITUTE(SUBSTITUTE(SUBSTITUTE(SUBSTITUTE(UPPER(TRIM(B478&amp;"")),"!","!E"),"*","!A"),"?","!B"),"~","!C")</f>
        <v>ID:</v>
      </c>
      <c r="S478" s="29" t="str">
        <f>"ID:"&amp;SUBSTITUTE(SUBSTITUTE(SUBSTITUTE(SUBSTITUTE(UPPER(TRIM(C478&amp;"")),"!","!E"),"*","!A"),"?","!B"),"~","!C")</f>
        <v>ID:</v>
      </c>
    </row>
    <row r="479" ht="75" customHeight="1">
      <c r="B479" s="31"/>
      <c r="C479" s="31"/>
      <c r="D479" s="31"/>
      <c r="E479" s="31"/>
      <c r="F479" s="31"/>
      <c r="G479" s="34"/>
      <c r="H479" s="34"/>
      <c r="I479" s="34"/>
      <c r="J479" s="34"/>
      <c r="K479" s="31"/>
      <c r="L479" s="31"/>
      <c r="M479" s="31"/>
      <c r="N479" s="31"/>
      <c r="O479" s="31"/>
      <c r="P479" s="35">
        <f>IF(AND(ISNUMBER(J479),'REFERENCIAS'!$Q$8=1),ROUND(J479,'REFERENCIAS'!$K$8),"")</f>
      </c>
      <c r="R479" s="29" t="str">
        <f>"ID:"&amp;SUBSTITUTE(SUBSTITUTE(SUBSTITUTE(SUBSTITUTE(UPPER(TRIM(B479&amp;"")),"!","!E"),"*","!A"),"?","!B"),"~","!C")</f>
        <v>ID:</v>
      </c>
      <c r="S479" s="29" t="str">
        <f>"ID:"&amp;SUBSTITUTE(SUBSTITUTE(SUBSTITUTE(SUBSTITUTE(UPPER(TRIM(C479&amp;"")),"!","!E"),"*","!A"),"?","!B"),"~","!C")</f>
        <v>ID:</v>
      </c>
    </row>
    <row r="480" ht="75" customHeight="1">
      <c r="B480" s="31"/>
      <c r="C480" s="31"/>
      <c r="D480" s="31"/>
      <c r="E480" s="31"/>
      <c r="F480" s="31"/>
      <c r="G480" s="34"/>
      <c r="H480" s="34"/>
      <c r="I480" s="34"/>
      <c r="J480" s="34"/>
      <c r="K480" s="31"/>
      <c r="L480" s="31"/>
      <c r="M480" s="31"/>
      <c r="N480" s="31"/>
      <c r="O480" s="31"/>
      <c r="P480" s="35">
        <f>IF(AND(ISNUMBER(J480),'REFERENCIAS'!$Q$8=1),ROUND(J480,'REFERENCIAS'!$K$8),"")</f>
      </c>
      <c r="R480" s="29" t="str">
        <f>"ID:"&amp;SUBSTITUTE(SUBSTITUTE(SUBSTITUTE(SUBSTITUTE(UPPER(TRIM(B480&amp;"")),"!","!E"),"*","!A"),"?","!B"),"~","!C")</f>
        <v>ID:</v>
      </c>
      <c r="S480" s="29" t="str">
        <f>"ID:"&amp;SUBSTITUTE(SUBSTITUTE(SUBSTITUTE(SUBSTITUTE(UPPER(TRIM(C480&amp;"")),"!","!E"),"*","!A"),"?","!B"),"~","!C")</f>
        <v>ID:</v>
      </c>
    </row>
    <row r="481" ht="75" customHeight="1">
      <c r="B481" s="31"/>
      <c r="C481" s="31"/>
      <c r="D481" s="31"/>
      <c r="E481" s="31"/>
      <c r="F481" s="31"/>
      <c r="G481" s="34"/>
      <c r="H481" s="34"/>
      <c r="I481" s="34"/>
      <c r="J481" s="34"/>
      <c r="K481" s="31"/>
      <c r="L481" s="31"/>
      <c r="M481" s="31"/>
      <c r="N481" s="31"/>
      <c r="O481" s="31"/>
      <c r="P481" s="35">
        <f>IF(AND(ISNUMBER(J481),'REFERENCIAS'!$Q$8=1),ROUND(J481,'REFERENCIAS'!$K$8),"")</f>
      </c>
      <c r="R481" s="29" t="str">
        <f>"ID:"&amp;SUBSTITUTE(SUBSTITUTE(SUBSTITUTE(SUBSTITUTE(UPPER(TRIM(B481&amp;"")),"!","!E"),"*","!A"),"?","!B"),"~","!C")</f>
        <v>ID:</v>
      </c>
      <c r="S481" s="29" t="str">
        <f>"ID:"&amp;SUBSTITUTE(SUBSTITUTE(SUBSTITUTE(SUBSTITUTE(UPPER(TRIM(C481&amp;"")),"!","!E"),"*","!A"),"?","!B"),"~","!C")</f>
        <v>ID:</v>
      </c>
    </row>
    <row r="482" ht="75" customHeight="1">
      <c r="B482" s="31"/>
      <c r="C482" s="31"/>
      <c r="D482" s="31"/>
      <c r="E482" s="31"/>
      <c r="F482" s="31"/>
      <c r="G482" s="34"/>
      <c r="H482" s="34"/>
      <c r="I482" s="34"/>
      <c r="J482" s="34"/>
      <c r="K482" s="31"/>
      <c r="L482" s="31"/>
      <c r="M482" s="31"/>
      <c r="N482" s="31"/>
      <c r="O482" s="31"/>
      <c r="P482" s="35">
        <f>IF(AND(ISNUMBER(J482),'REFERENCIAS'!$Q$8=1),ROUND(J482,'REFERENCIAS'!$K$8),"")</f>
      </c>
      <c r="R482" s="29" t="str">
        <f>"ID:"&amp;SUBSTITUTE(SUBSTITUTE(SUBSTITUTE(SUBSTITUTE(UPPER(TRIM(B482&amp;"")),"!","!E"),"*","!A"),"?","!B"),"~","!C")</f>
        <v>ID:</v>
      </c>
      <c r="S482" s="29" t="str">
        <f>"ID:"&amp;SUBSTITUTE(SUBSTITUTE(SUBSTITUTE(SUBSTITUTE(UPPER(TRIM(C482&amp;"")),"!","!E"),"*","!A"),"?","!B"),"~","!C")</f>
        <v>ID:</v>
      </c>
    </row>
    <row r="483" ht="75" customHeight="1">
      <c r="B483" s="31"/>
      <c r="C483" s="31"/>
      <c r="D483" s="31"/>
      <c r="E483" s="31"/>
      <c r="F483" s="31"/>
      <c r="G483" s="34"/>
      <c r="H483" s="34"/>
      <c r="I483" s="34"/>
      <c r="J483" s="34"/>
      <c r="K483" s="31"/>
      <c r="L483" s="31"/>
      <c r="M483" s="31"/>
      <c r="N483" s="31"/>
      <c r="O483" s="31"/>
      <c r="P483" s="35">
        <f>IF(AND(ISNUMBER(J483),'REFERENCIAS'!$Q$8=1),ROUND(J483,'REFERENCIAS'!$K$8),"")</f>
      </c>
      <c r="R483" s="29" t="str">
        <f>"ID:"&amp;SUBSTITUTE(SUBSTITUTE(SUBSTITUTE(SUBSTITUTE(UPPER(TRIM(B483&amp;"")),"!","!E"),"*","!A"),"?","!B"),"~","!C")</f>
        <v>ID:</v>
      </c>
      <c r="S483" s="29" t="str">
        <f>"ID:"&amp;SUBSTITUTE(SUBSTITUTE(SUBSTITUTE(SUBSTITUTE(UPPER(TRIM(C483&amp;"")),"!","!E"),"*","!A"),"?","!B"),"~","!C")</f>
        <v>ID:</v>
      </c>
    </row>
    <row r="484" ht="75" customHeight="1">
      <c r="B484" s="31"/>
      <c r="C484" s="31"/>
      <c r="D484" s="31"/>
      <c r="E484" s="31"/>
      <c r="F484" s="31"/>
      <c r="G484" s="34"/>
      <c r="H484" s="34"/>
      <c r="I484" s="34"/>
      <c r="J484" s="34"/>
      <c r="K484" s="31"/>
      <c r="L484" s="31"/>
      <c r="M484" s="31"/>
      <c r="N484" s="31"/>
      <c r="O484" s="31"/>
      <c r="P484" s="35">
        <f>IF(AND(ISNUMBER(J484),'REFERENCIAS'!$Q$8=1),ROUND(J484,'REFERENCIAS'!$K$8),"")</f>
      </c>
      <c r="R484" s="29" t="str">
        <f>"ID:"&amp;SUBSTITUTE(SUBSTITUTE(SUBSTITUTE(SUBSTITUTE(UPPER(TRIM(B484&amp;"")),"!","!E"),"*","!A"),"?","!B"),"~","!C")</f>
        <v>ID:</v>
      </c>
      <c r="S484" s="29" t="str">
        <f>"ID:"&amp;SUBSTITUTE(SUBSTITUTE(SUBSTITUTE(SUBSTITUTE(UPPER(TRIM(C484&amp;"")),"!","!E"),"*","!A"),"?","!B"),"~","!C")</f>
        <v>ID:</v>
      </c>
    </row>
    <row r="485" ht="75" customHeight="1">
      <c r="B485" s="31"/>
      <c r="C485" s="31"/>
      <c r="D485" s="31"/>
      <c r="E485" s="31"/>
      <c r="F485" s="31"/>
      <c r="G485" s="34"/>
      <c r="H485" s="34"/>
      <c r="I485" s="34"/>
      <c r="J485" s="34"/>
      <c r="K485" s="31"/>
      <c r="L485" s="31"/>
      <c r="M485" s="31"/>
      <c r="N485" s="31"/>
      <c r="O485" s="31"/>
      <c r="P485" s="35">
        <f>IF(AND(ISNUMBER(J485),'REFERENCIAS'!$Q$8=1),ROUND(J485,'REFERENCIAS'!$K$8),"")</f>
      </c>
      <c r="R485" s="29" t="str">
        <f>"ID:"&amp;SUBSTITUTE(SUBSTITUTE(SUBSTITUTE(SUBSTITUTE(UPPER(TRIM(B485&amp;"")),"!","!E"),"*","!A"),"?","!B"),"~","!C")</f>
        <v>ID:</v>
      </c>
      <c r="S485" s="29" t="str">
        <f>"ID:"&amp;SUBSTITUTE(SUBSTITUTE(SUBSTITUTE(SUBSTITUTE(UPPER(TRIM(C485&amp;"")),"!","!E"),"*","!A"),"?","!B"),"~","!C")</f>
        <v>ID:</v>
      </c>
    </row>
    <row r="486" ht="75" customHeight="1">
      <c r="B486" s="31"/>
      <c r="C486" s="31"/>
      <c r="D486" s="31"/>
      <c r="E486" s="31"/>
      <c r="F486" s="31"/>
      <c r="G486" s="34"/>
      <c r="H486" s="34"/>
      <c r="I486" s="34"/>
      <c r="J486" s="34"/>
      <c r="K486" s="31"/>
      <c r="L486" s="31"/>
      <c r="M486" s="31"/>
      <c r="N486" s="31"/>
      <c r="O486" s="31"/>
      <c r="P486" s="35">
        <f>IF(AND(ISNUMBER(J486),'REFERENCIAS'!$Q$8=1),ROUND(J486,'REFERENCIAS'!$K$8),"")</f>
      </c>
      <c r="R486" s="29" t="str">
        <f>"ID:"&amp;SUBSTITUTE(SUBSTITUTE(SUBSTITUTE(SUBSTITUTE(UPPER(TRIM(B486&amp;"")),"!","!E"),"*","!A"),"?","!B"),"~","!C")</f>
        <v>ID:</v>
      </c>
      <c r="S486" s="29" t="str">
        <f>"ID:"&amp;SUBSTITUTE(SUBSTITUTE(SUBSTITUTE(SUBSTITUTE(UPPER(TRIM(C486&amp;"")),"!","!E"),"*","!A"),"?","!B"),"~","!C")</f>
        <v>ID:</v>
      </c>
    </row>
    <row r="487" ht="75" customHeight="1">
      <c r="B487" s="31"/>
      <c r="C487" s="31"/>
      <c r="D487" s="31"/>
      <c r="E487" s="31"/>
      <c r="F487" s="31"/>
      <c r="G487" s="34"/>
      <c r="H487" s="34"/>
      <c r="I487" s="34"/>
      <c r="J487" s="34"/>
      <c r="K487" s="31"/>
      <c r="L487" s="31"/>
      <c r="M487" s="31"/>
      <c r="N487" s="31"/>
      <c r="O487" s="31"/>
      <c r="P487" s="35">
        <f>IF(AND(ISNUMBER(J487),'REFERENCIAS'!$Q$8=1),ROUND(J487,'REFERENCIAS'!$K$8),"")</f>
      </c>
      <c r="R487" s="29" t="str">
        <f>"ID:"&amp;SUBSTITUTE(SUBSTITUTE(SUBSTITUTE(SUBSTITUTE(UPPER(TRIM(B487&amp;"")),"!","!E"),"*","!A"),"?","!B"),"~","!C")</f>
        <v>ID:</v>
      </c>
      <c r="S487" s="29" t="str">
        <f>"ID:"&amp;SUBSTITUTE(SUBSTITUTE(SUBSTITUTE(SUBSTITUTE(UPPER(TRIM(C487&amp;"")),"!","!E"),"*","!A"),"?","!B"),"~","!C")</f>
        <v>ID:</v>
      </c>
    </row>
    <row r="488" ht="75" customHeight="1">
      <c r="B488" s="31"/>
      <c r="C488" s="31"/>
      <c r="D488" s="31"/>
      <c r="E488" s="31"/>
      <c r="F488" s="31"/>
      <c r="G488" s="34"/>
      <c r="H488" s="34"/>
      <c r="I488" s="34"/>
      <c r="J488" s="34"/>
      <c r="K488" s="31"/>
      <c r="L488" s="31"/>
      <c r="M488" s="31"/>
      <c r="N488" s="31"/>
      <c r="O488" s="31"/>
      <c r="P488" s="35">
        <f>IF(AND(ISNUMBER(J488),'REFERENCIAS'!$Q$8=1),ROUND(J488,'REFERENCIAS'!$K$8),"")</f>
      </c>
      <c r="R488" s="29" t="str">
        <f>"ID:"&amp;SUBSTITUTE(SUBSTITUTE(SUBSTITUTE(SUBSTITUTE(UPPER(TRIM(B488&amp;"")),"!","!E"),"*","!A"),"?","!B"),"~","!C")</f>
        <v>ID:</v>
      </c>
      <c r="S488" s="29" t="str">
        <f>"ID:"&amp;SUBSTITUTE(SUBSTITUTE(SUBSTITUTE(SUBSTITUTE(UPPER(TRIM(C488&amp;"")),"!","!E"),"*","!A"),"?","!B"),"~","!C")</f>
        <v>ID:</v>
      </c>
    </row>
    <row r="489" ht="75" customHeight="1">
      <c r="B489" s="31"/>
      <c r="C489" s="31"/>
      <c r="D489" s="31"/>
      <c r="E489" s="31"/>
      <c r="F489" s="31"/>
      <c r="G489" s="34"/>
      <c r="H489" s="34"/>
      <c r="I489" s="34"/>
      <c r="J489" s="34"/>
      <c r="K489" s="31"/>
      <c r="L489" s="31"/>
      <c r="M489" s="31"/>
      <c r="N489" s="31"/>
      <c r="O489" s="31"/>
      <c r="P489" s="35">
        <f>IF(AND(ISNUMBER(J489),'REFERENCIAS'!$Q$8=1),ROUND(J489,'REFERENCIAS'!$K$8),"")</f>
      </c>
      <c r="R489" s="29" t="str">
        <f>"ID:"&amp;SUBSTITUTE(SUBSTITUTE(SUBSTITUTE(SUBSTITUTE(UPPER(TRIM(B489&amp;"")),"!","!E"),"*","!A"),"?","!B"),"~","!C")</f>
        <v>ID:</v>
      </c>
      <c r="S489" s="29" t="str">
        <f>"ID:"&amp;SUBSTITUTE(SUBSTITUTE(SUBSTITUTE(SUBSTITUTE(UPPER(TRIM(C489&amp;"")),"!","!E"),"*","!A"),"?","!B"),"~","!C")</f>
        <v>ID:</v>
      </c>
    </row>
    <row r="490" ht="75" customHeight="1">
      <c r="B490" s="31"/>
      <c r="C490" s="31"/>
      <c r="D490" s="31"/>
      <c r="E490" s="31"/>
      <c r="F490" s="31"/>
      <c r="G490" s="34"/>
      <c r="H490" s="34"/>
      <c r="I490" s="34"/>
      <c r="J490" s="34"/>
      <c r="K490" s="31"/>
      <c r="L490" s="31"/>
      <c r="M490" s="31"/>
      <c r="N490" s="31"/>
      <c r="O490" s="31"/>
      <c r="P490" s="35">
        <f>IF(AND(ISNUMBER(J490),'REFERENCIAS'!$Q$8=1),ROUND(J490,'REFERENCIAS'!$K$8),"")</f>
      </c>
      <c r="R490" s="29" t="str">
        <f>"ID:"&amp;SUBSTITUTE(SUBSTITUTE(SUBSTITUTE(SUBSTITUTE(UPPER(TRIM(B490&amp;"")),"!","!E"),"*","!A"),"?","!B"),"~","!C")</f>
        <v>ID:</v>
      </c>
      <c r="S490" s="29" t="str">
        <f>"ID:"&amp;SUBSTITUTE(SUBSTITUTE(SUBSTITUTE(SUBSTITUTE(UPPER(TRIM(C490&amp;"")),"!","!E"),"*","!A"),"?","!B"),"~","!C")</f>
        <v>ID:</v>
      </c>
    </row>
    <row r="491" ht="75" customHeight="1">
      <c r="B491" s="31"/>
      <c r="C491" s="31"/>
      <c r="D491" s="31"/>
      <c r="E491" s="31"/>
      <c r="F491" s="31"/>
      <c r="G491" s="34"/>
      <c r="H491" s="34"/>
      <c r="I491" s="34"/>
      <c r="J491" s="34"/>
      <c r="K491" s="31"/>
      <c r="L491" s="31"/>
      <c r="M491" s="31"/>
      <c r="N491" s="31"/>
      <c r="O491" s="31"/>
      <c r="P491" s="35">
        <f>IF(AND(ISNUMBER(J491),'REFERENCIAS'!$Q$8=1),ROUND(J491,'REFERENCIAS'!$K$8),"")</f>
      </c>
      <c r="R491" s="29" t="str">
        <f>"ID:"&amp;SUBSTITUTE(SUBSTITUTE(SUBSTITUTE(SUBSTITUTE(UPPER(TRIM(B491&amp;"")),"!","!E"),"*","!A"),"?","!B"),"~","!C")</f>
        <v>ID:</v>
      </c>
      <c r="S491" s="29" t="str">
        <f>"ID:"&amp;SUBSTITUTE(SUBSTITUTE(SUBSTITUTE(SUBSTITUTE(UPPER(TRIM(C491&amp;"")),"!","!E"),"*","!A"),"?","!B"),"~","!C")</f>
        <v>ID:</v>
      </c>
    </row>
    <row r="492" ht="75" customHeight="1">
      <c r="B492" s="31"/>
      <c r="C492" s="31"/>
      <c r="D492" s="31"/>
      <c r="E492" s="31"/>
      <c r="F492" s="31"/>
      <c r="G492" s="34"/>
      <c r="H492" s="34"/>
      <c r="I492" s="34"/>
      <c r="J492" s="34"/>
      <c r="K492" s="31"/>
      <c r="L492" s="31"/>
      <c r="M492" s="31"/>
      <c r="N492" s="31"/>
      <c r="O492" s="31"/>
      <c r="P492" s="35">
        <f>IF(AND(ISNUMBER(J492),'REFERENCIAS'!$Q$8=1),ROUND(J492,'REFERENCIAS'!$K$8),"")</f>
      </c>
      <c r="R492" s="29" t="str">
        <f>"ID:"&amp;SUBSTITUTE(SUBSTITUTE(SUBSTITUTE(SUBSTITUTE(UPPER(TRIM(B492&amp;"")),"!","!E"),"*","!A"),"?","!B"),"~","!C")</f>
        <v>ID:</v>
      </c>
      <c r="S492" s="29" t="str">
        <f>"ID:"&amp;SUBSTITUTE(SUBSTITUTE(SUBSTITUTE(SUBSTITUTE(UPPER(TRIM(C492&amp;"")),"!","!E"),"*","!A"),"?","!B"),"~","!C")</f>
        <v>ID:</v>
      </c>
    </row>
    <row r="493" ht="75" customHeight="1">
      <c r="B493" s="31"/>
      <c r="C493" s="31"/>
      <c r="D493" s="31"/>
      <c r="E493" s="31"/>
      <c r="F493" s="31"/>
      <c r="G493" s="34"/>
      <c r="H493" s="34"/>
      <c r="I493" s="34"/>
      <c r="J493" s="34"/>
      <c r="K493" s="31"/>
      <c r="L493" s="31"/>
      <c r="M493" s="31"/>
      <c r="N493" s="31"/>
      <c r="O493" s="31"/>
      <c r="P493" s="35">
        <f>IF(AND(ISNUMBER(J493),'REFERENCIAS'!$Q$8=1),ROUND(J493,'REFERENCIAS'!$K$8),"")</f>
      </c>
      <c r="R493" s="29" t="str">
        <f>"ID:"&amp;SUBSTITUTE(SUBSTITUTE(SUBSTITUTE(SUBSTITUTE(UPPER(TRIM(B493&amp;"")),"!","!E"),"*","!A"),"?","!B"),"~","!C")</f>
        <v>ID:</v>
      </c>
      <c r="S493" s="29" t="str">
        <f>"ID:"&amp;SUBSTITUTE(SUBSTITUTE(SUBSTITUTE(SUBSTITUTE(UPPER(TRIM(C493&amp;"")),"!","!E"),"*","!A"),"?","!B"),"~","!C")</f>
        <v>ID:</v>
      </c>
    </row>
    <row r="494" ht="75" customHeight="1">
      <c r="B494" s="31"/>
      <c r="C494" s="31"/>
      <c r="D494" s="31"/>
      <c r="E494" s="31"/>
      <c r="F494" s="31"/>
      <c r="G494" s="34"/>
      <c r="H494" s="34"/>
      <c r="I494" s="34"/>
      <c r="J494" s="34"/>
      <c r="K494" s="31"/>
      <c r="L494" s="31"/>
      <c r="M494" s="31"/>
      <c r="N494" s="31"/>
      <c r="O494" s="31"/>
      <c r="P494" s="35">
        <f>IF(AND(ISNUMBER(J494),'REFERENCIAS'!$Q$8=1),ROUND(J494,'REFERENCIAS'!$K$8),"")</f>
      </c>
      <c r="R494" s="29" t="str">
        <f>"ID:"&amp;SUBSTITUTE(SUBSTITUTE(SUBSTITUTE(SUBSTITUTE(UPPER(TRIM(B494&amp;"")),"!","!E"),"*","!A"),"?","!B"),"~","!C")</f>
        <v>ID:</v>
      </c>
      <c r="S494" s="29" t="str">
        <f>"ID:"&amp;SUBSTITUTE(SUBSTITUTE(SUBSTITUTE(SUBSTITUTE(UPPER(TRIM(C494&amp;"")),"!","!E"),"*","!A"),"?","!B"),"~","!C")</f>
        <v>ID:</v>
      </c>
    </row>
    <row r="495" ht="75" customHeight="1">
      <c r="B495" s="31"/>
      <c r="C495" s="31"/>
      <c r="D495" s="31"/>
      <c r="E495" s="31"/>
      <c r="F495" s="31"/>
      <c r="G495" s="34"/>
      <c r="H495" s="34"/>
      <c r="I495" s="34"/>
      <c r="J495" s="34"/>
      <c r="K495" s="31"/>
      <c r="L495" s="31"/>
      <c r="M495" s="31"/>
      <c r="N495" s="31"/>
      <c r="O495" s="31"/>
      <c r="P495" s="35">
        <f>IF(AND(ISNUMBER(J495),'REFERENCIAS'!$Q$8=1),ROUND(J495,'REFERENCIAS'!$K$8),"")</f>
      </c>
      <c r="R495" s="29" t="str">
        <f>"ID:"&amp;SUBSTITUTE(SUBSTITUTE(SUBSTITUTE(SUBSTITUTE(UPPER(TRIM(B495&amp;"")),"!","!E"),"*","!A"),"?","!B"),"~","!C")</f>
        <v>ID:</v>
      </c>
      <c r="S495" s="29" t="str">
        <f>"ID:"&amp;SUBSTITUTE(SUBSTITUTE(SUBSTITUTE(SUBSTITUTE(UPPER(TRIM(C495&amp;"")),"!","!E"),"*","!A"),"?","!B"),"~","!C")</f>
        <v>ID:</v>
      </c>
    </row>
    <row r="496" ht="75" customHeight="1">
      <c r="B496" s="31"/>
      <c r="C496" s="31"/>
      <c r="D496" s="31"/>
      <c r="E496" s="31"/>
      <c r="F496" s="31"/>
      <c r="G496" s="34"/>
      <c r="H496" s="34"/>
      <c r="I496" s="34"/>
      <c r="J496" s="34"/>
      <c r="K496" s="31"/>
      <c r="L496" s="31"/>
      <c r="M496" s="31"/>
      <c r="N496" s="31"/>
      <c r="O496" s="31"/>
      <c r="P496" s="35">
        <f>IF(AND(ISNUMBER(J496),'REFERENCIAS'!$Q$8=1),ROUND(J496,'REFERENCIAS'!$K$8),"")</f>
      </c>
      <c r="R496" s="29" t="str">
        <f>"ID:"&amp;SUBSTITUTE(SUBSTITUTE(SUBSTITUTE(SUBSTITUTE(UPPER(TRIM(B496&amp;"")),"!","!E"),"*","!A"),"?","!B"),"~","!C")</f>
        <v>ID:</v>
      </c>
      <c r="S496" s="29" t="str">
        <f>"ID:"&amp;SUBSTITUTE(SUBSTITUTE(SUBSTITUTE(SUBSTITUTE(UPPER(TRIM(C496&amp;"")),"!","!E"),"*","!A"),"?","!B"),"~","!C")</f>
        <v>ID:</v>
      </c>
    </row>
    <row r="497" ht="75" customHeight="1">
      <c r="B497" s="31"/>
      <c r="C497" s="31"/>
      <c r="D497" s="31"/>
      <c r="E497" s="31"/>
      <c r="F497" s="31"/>
      <c r="G497" s="34"/>
      <c r="H497" s="34"/>
      <c r="I497" s="34"/>
      <c r="J497" s="34"/>
      <c r="K497" s="31"/>
      <c r="L497" s="31"/>
      <c r="M497" s="31"/>
      <c r="N497" s="31"/>
      <c r="O497" s="31"/>
      <c r="P497" s="35">
        <f>IF(AND(ISNUMBER(J497),'REFERENCIAS'!$Q$8=1),ROUND(J497,'REFERENCIAS'!$K$8),"")</f>
      </c>
      <c r="R497" s="29" t="str">
        <f>"ID:"&amp;SUBSTITUTE(SUBSTITUTE(SUBSTITUTE(SUBSTITUTE(UPPER(TRIM(B497&amp;"")),"!","!E"),"*","!A"),"?","!B"),"~","!C")</f>
        <v>ID:</v>
      </c>
      <c r="S497" s="29" t="str">
        <f>"ID:"&amp;SUBSTITUTE(SUBSTITUTE(SUBSTITUTE(SUBSTITUTE(UPPER(TRIM(C497&amp;"")),"!","!E"),"*","!A"),"?","!B"),"~","!C")</f>
        <v>ID:</v>
      </c>
    </row>
    <row r="498" ht="75" customHeight="1">
      <c r="B498" s="31"/>
      <c r="C498" s="31"/>
      <c r="D498" s="31"/>
      <c r="E498" s="31"/>
      <c r="F498" s="31"/>
      <c r="G498" s="34"/>
      <c r="H498" s="34"/>
      <c r="I498" s="34"/>
      <c r="J498" s="34"/>
      <c r="K498" s="31"/>
      <c r="L498" s="31"/>
      <c r="M498" s="31"/>
      <c r="N498" s="31"/>
      <c r="O498" s="31"/>
      <c r="P498" s="35">
        <f>IF(AND(ISNUMBER(J498),'REFERENCIAS'!$Q$8=1),ROUND(J498,'REFERENCIAS'!$K$8),"")</f>
      </c>
      <c r="R498" s="29" t="str">
        <f>"ID:"&amp;SUBSTITUTE(SUBSTITUTE(SUBSTITUTE(SUBSTITUTE(UPPER(TRIM(B498&amp;"")),"!","!E"),"*","!A"),"?","!B"),"~","!C")</f>
        <v>ID:</v>
      </c>
      <c r="S498" s="29" t="str">
        <f>"ID:"&amp;SUBSTITUTE(SUBSTITUTE(SUBSTITUTE(SUBSTITUTE(UPPER(TRIM(C498&amp;"")),"!","!E"),"*","!A"),"?","!B"),"~","!C")</f>
        <v>ID:</v>
      </c>
    </row>
    <row r="499" ht="75" customHeight="1">
      <c r="B499" s="31"/>
      <c r="C499" s="31"/>
      <c r="D499" s="31"/>
      <c r="E499" s="31"/>
      <c r="F499" s="31"/>
      <c r="G499" s="34"/>
      <c r="H499" s="34"/>
      <c r="I499" s="34"/>
      <c r="J499" s="34"/>
      <c r="K499" s="31"/>
      <c r="L499" s="31"/>
      <c r="M499" s="31"/>
      <c r="N499" s="31"/>
      <c r="O499" s="31"/>
      <c r="P499" s="35">
        <f>IF(AND(ISNUMBER(J499),'REFERENCIAS'!$Q$8=1),ROUND(J499,'REFERENCIAS'!$K$8),"")</f>
      </c>
      <c r="R499" s="29" t="str">
        <f>"ID:"&amp;SUBSTITUTE(SUBSTITUTE(SUBSTITUTE(SUBSTITUTE(UPPER(TRIM(B499&amp;"")),"!","!E"),"*","!A"),"?","!B"),"~","!C")</f>
        <v>ID:</v>
      </c>
      <c r="S499" s="29" t="str">
        <f>"ID:"&amp;SUBSTITUTE(SUBSTITUTE(SUBSTITUTE(SUBSTITUTE(UPPER(TRIM(C499&amp;"")),"!","!E"),"*","!A"),"?","!B"),"~","!C")</f>
        <v>ID:</v>
      </c>
    </row>
    <row r="500" ht="75" customHeight="1">
      <c r="B500" s="31"/>
      <c r="C500" s="31"/>
      <c r="D500" s="31"/>
      <c r="E500" s="31"/>
      <c r="F500" s="31"/>
      <c r="G500" s="34"/>
      <c r="H500" s="34"/>
      <c r="I500" s="34"/>
      <c r="J500" s="34"/>
      <c r="K500" s="31"/>
      <c r="L500" s="31"/>
      <c r="M500" s="31"/>
      <c r="N500" s="31"/>
      <c r="O500" s="31"/>
      <c r="P500" s="35">
        <f>IF(AND(ISNUMBER(J500),'REFERENCIAS'!$Q$8=1),ROUND(J500,'REFERENCIAS'!$K$8),"")</f>
      </c>
      <c r="R500" s="29" t="str">
        <f>"ID:"&amp;SUBSTITUTE(SUBSTITUTE(SUBSTITUTE(SUBSTITUTE(UPPER(TRIM(B500&amp;"")),"!","!E"),"*","!A"),"?","!B"),"~","!C")</f>
        <v>ID:</v>
      </c>
      <c r="S500" s="29" t="str">
        <f>"ID:"&amp;SUBSTITUTE(SUBSTITUTE(SUBSTITUTE(SUBSTITUTE(UPPER(TRIM(C500&amp;"")),"!","!E"),"*","!A"),"?","!B"),"~","!C")</f>
        <v>ID:</v>
      </c>
    </row>
    <row r="501" ht="75" customHeight="1">
      <c r="B501" s="31"/>
      <c r="C501" s="31"/>
      <c r="D501" s="31"/>
      <c r="E501" s="31"/>
      <c r="F501" s="31"/>
      <c r="G501" s="34"/>
      <c r="H501" s="34"/>
      <c r="I501" s="34"/>
      <c r="J501" s="34"/>
      <c r="K501" s="31"/>
      <c r="L501" s="31"/>
      <c r="M501" s="31"/>
      <c r="N501" s="31"/>
      <c r="O501" s="31"/>
      <c r="P501" s="35">
        <f>IF(AND(ISNUMBER(J501),'REFERENCIAS'!$Q$8=1),ROUND(J501,'REFERENCIAS'!$K$8),"")</f>
      </c>
      <c r="R501" s="29" t="str">
        <f>"ID:"&amp;SUBSTITUTE(SUBSTITUTE(SUBSTITUTE(SUBSTITUTE(UPPER(TRIM(B501&amp;"")),"!","!E"),"*","!A"),"?","!B"),"~","!C")</f>
        <v>ID:</v>
      </c>
      <c r="S501" s="29" t="str">
        <f>"ID:"&amp;SUBSTITUTE(SUBSTITUTE(SUBSTITUTE(SUBSTITUTE(UPPER(TRIM(C501&amp;"")),"!","!E"),"*","!A"),"?","!B"),"~","!C")</f>
        <v>ID:</v>
      </c>
    </row>
    <row r="502" ht="75" customHeight="1">
      <c r="B502" s="31"/>
      <c r="C502" s="31"/>
      <c r="D502" s="31"/>
      <c r="E502" s="31"/>
      <c r="F502" s="31"/>
      <c r="G502" s="34"/>
      <c r="H502" s="34"/>
      <c r="I502" s="34"/>
      <c r="J502" s="34"/>
      <c r="K502" s="31"/>
      <c r="L502" s="31"/>
      <c r="M502" s="31"/>
      <c r="N502" s="31"/>
      <c r="O502" s="31"/>
      <c r="P502" s="35">
        <f>IF(AND(ISNUMBER(J502),'REFERENCIAS'!$Q$8=1),ROUND(J502,'REFERENCIAS'!$K$8),"")</f>
      </c>
      <c r="R502" s="29" t="str">
        <f>"ID:"&amp;SUBSTITUTE(SUBSTITUTE(SUBSTITUTE(SUBSTITUTE(UPPER(TRIM(B502&amp;"")),"!","!E"),"*","!A"),"?","!B"),"~","!C")</f>
        <v>ID:</v>
      </c>
      <c r="S502" s="29" t="str">
        <f>"ID:"&amp;SUBSTITUTE(SUBSTITUTE(SUBSTITUTE(SUBSTITUTE(UPPER(TRIM(C502&amp;"")),"!","!E"),"*","!A"),"?","!B"),"~","!C")</f>
        <v>ID:</v>
      </c>
    </row>
    <row r="503" ht="75" customHeight="1">
      <c r="B503" s="31"/>
      <c r="C503" s="31"/>
      <c r="D503" s="31"/>
      <c r="E503" s="31"/>
      <c r="F503" s="31"/>
      <c r="G503" s="34"/>
      <c r="H503" s="34"/>
      <c r="I503" s="34"/>
      <c r="J503" s="34"/>
      <c r="K503" s="31"/>
      <c r="L503" s="31"/>
      <c r="M503" s="31"/>
      <c r="N503" s="31"/>
      <c r="O503" s="31"/>
      <c r="P503" s="35">
        <f>IF(AND(ISNUMBER(J503),'REFERENCIAS'!$Q$8=1),ROUND(J503,'REFERENCIAS'!$K$8),"")</f>
      </c>
      <c r="R503" s="29" t="str">
        <f>"ID:"&amp;SUBSTITUTE(SUBSTITUTE(SUBSTITUTE(SUBSTITUTE(UPPER(TRIM(B503&amp;"")),"!","!E"),"*","!A"),"?","!B"),"~","!C")</f>
        <v>ID:</v>
      </c>
      <c r="S503" s="29" t="str">
        <f>"ID:"&amp;SUBSTITUTE(SUBSTITUTE(SUBSTITUTE(SUBSTITUTE(UPPER(TRIM(C503&amp;"")),"!","!E"),"*","!A"),"?","!B"),"~","!C")</f>
        <v>ID:</v>
      </c>
    </row>
    <row r="504" ht="75" customHeight="1">
      <c r="B504" s="31"/>
      <c r="C504" s="31"/>
      <c r="D504" s="31"/>
      <c r="E504" s="31"/>
      <c r="F504" s="31"/>
      <c r="G504" s="34"/>
      <c r="H504" s="34"/>
      <c r="I504" s="34"/>
      <c r="J504" s="34"/>
      <c r="K504" s="31"/>
      <c r="L504" s="31"/>
      <c r="M504" s="31"/>
      <c r="N504" s="31"/>
      <c r="O504" s="31"/>
      <c r="P504" s="35">
        <f>IF(AND(ISNUMBER(J504),'REFERENCIAS'!$Q$8=1),ROUND(J504,'REFERENCIAS'!$K$8),"")</f>
      </c>
      <c r="R504" s="29" t="str">
        <f>"ID:"&amp;SUBSTITUTE(SUBSTITUTE(SUBSTITUTE(SUBSTITUTE(UPPER(TRIM(B504&amp;"")),"!","!E"),"*","!A"),"?","!B"),"~","!C")</f>
        <v>ID:</v>
      </c>
      <c r="S504" s="29" t="str">
        <f>"ID:"&amp;SUBSTITUTE(SUBSTITUTE(SUBSTITUTE(SUBSTITUTE(UPPER(TRIM(C504&amp;"")),"!","!E"),"*","!A"),"?","!B"),"~","!C")</f>
        <v>ID:</v>
      </c>
    </row>
    <row r="505" ht="75" customHeight="1">
      <c r="B505" s="31"/>
      <c r="C505" s="31"/>
      <c r="D505" s="31"/>
      <c r="E505" s="31"/>
      <c r="F505" s="31"/>
      <c r="G505" s="34"/>
      <c r="H505" s="34"/>
      <c r="I505" s="34"/>
      <c r="J505" s="34"/>
      <c r="K505" s="31"/>
      <c r="L505" s="31"/>
      <c r="M505" s="31"/>
      <c r="N505" s="31"/>
      <c r="O505" s="31"/>
      <c r="P505" s="35">
        <f>IF(AND(ISNUMBER(J505),'REFERENCIAS'!$Q$8=1),ROUND(J505,'REFERENCIAS'!$K$8),"")</f>
      </c>
      <c r="R505" s="29" t="str">
        <f>"ID:"&amp;SUBSTITUTE(SUBSTITUTE(SUBSTITUTE(SUBSTITUTE(UPPER(TRIM(B505&amp;"")),"!","!E"),"*","!A"),"?","!B"),"~","!C")</f>
        <v>ID:</v>
      </c>
      <c r="S505" s="29" t="str">
        <f>"ID:"&amp;SUBSTITUTE(SUBSTITUTE(SUBSTITUTE(SUBSTITUTE(UPPER(TRIM(C505&amp;"")),"!","!E"),"*","!A"),"?","!B"),"~","!C")</f>
        <v>ID:</v>
      </c>
    </row>
    <row r="506" ht="75" customHeight="1">
      <c r="B506" s="31"/>
      <c r="C506" s="31"/>
      <c r="D506" s="31"/>
      <c r="E506" s="31"/>
      <c r="F506" s="31"/>
      <c r="G506" s="34"/>
      <c r="H506" s="34"/>
      <c r="I506" s="34"/>
      <c r="J506" s="34"/>
      <c r="K506" s="31"/>
      <c r="L506" s="31"/>
      <c r="M506" s="31"/>
      <c r="N506" s="31"/>
      <c r="O506" s="31"/>
      <c r="P506" s="35">
        <f>IF(AND(ISNUMBER(J506),'REFERENCIAS'!$Q$8=1),ROUND(J506,'REFERENCIAS'!$K$8),"")</f>
      </c>
      <c r="R506" s="29" t="str">
        <f>"ID:"&amp;SUBSTITUTE(SUBSTITUTE(SUBSTITUTE(SUBSTITUTE(UPPER(TRIM(B506&amp;"")),"!","!E"),"*","!A"),"?","!B"),"~","!C")</f>
        <v>ID:</v>
      </c>
      <c r="S506" s="29" t="str">
        <f>"ID:"&amp;SUBSTITUTE(SUBSTITUTE(SUBSTITUTE(SUBSTITUTE(UPPER(TRIM(C506&amp;"")),"!","!E"),"*","!A"),"?","!B"),"~","!C")</f>
        <v>ID:</v>
      </c>
    </row>
    <row r="507" ht="75" customHeight="1">
      <c r="B507" s="31"/>
      <c r="C507" s="31"/>
      <c r="D507" s="31"/>
      <c r="E507" s="31"/>
      <c r="F507" s="31"/>
      <c r="G507" s="34"/>
      <c r="H507" s="34"/>
      <c r="I507" s="34"/>
      <c r="J507" s="34"/>
      <c r="K507" s="31"/>
      <c r="L507" s="31"/>
      <c r="M507" s="31"/>
      <c r="N507" s="31"/>
      <c r="O507" s="31"/>
      <c r="P507" s="35">
        <f>IF(AND(ISNUMBER(J507),'REFERENCIAS'!$Q$8=1),ROUND(J507,'REFERENCIAS'!$K$8),"")</f>
      </c>
      <c r="R507" s="29" t="str">
        <f>"ID:"&amp;SUBSTITUTE(SUBSTITUTE(SUBSTITUTE(SUBSTITUTE(UPPER(TRIM(B507&amp;"")),"!","!E"),"*","!A"),"?","!B"),"~","!C")</f>
        <v>ID:</v>
      </c>
      <c r="S507" s="29" t="str">
        <f>"ID:"&amp;SUBSTITUTE(SUBSTITUTE(SUBSTITUTE(SUBSTITUTE(UPPER(TRIM(C507&amp;"")),"!","!E"),"*","!A"),"?","!B"),"~","!C")</f>
        <v>ID:</v>
      </c>
    </row>
    <row r="508" ht="75" customHeight="1">
      <c r="B508" s="31"/>
      <c r="C508" s="31"/>
      <c r="D508" s="31"/>
      <c r="E508" s="31"/>
      <c r="F508" s="31"/>
      <c r="G508" s="34"/>
      <c r="H508" s="34"/>
      <c r="I508" s="34"/>
      <c r="J508" s="34"/>
      <c r="K508" s="31"/>
      <c r="L508" s="31"/>
      <c r="M508" s="31"/>
      <c r="N508" s="31"/>
      <c r="O508" s="31"/>
      <c r="P508" s="35">
        <f>IF(AND(ISNUMBER(J508),'REFERENCIAS'!$Q$8=1),ROUND(J508,'REFERENCIAS'!$K$8),"")</f>
      </c>
      <c r="R508" s="29" t="str">
        <f>"ID:"&amp;SUBSTITUTE(SUBSTITUTE(SUBSTITUTE(SUBSTITUTE(UPPER(TRIM(B508&amp;"")),"!","!E"),"*","!A"),"?","!B"),"~","!C")</f>
        <v>ID:</v>
      </c>
      <c r="S508" s="29" t="str">
        <f>"ID:"&amp;SUBSTITUTE(SUBSTITUTE(SUBSTITUTE(SUBSTITUTE(UPPER(TRIM(C508&amp;"")),"!","!E"),"*","!A"),"?","!B"),"~","!C")</f>
        <v>ID:</v>
      </c>
    </row>
    <row r="509" ht="75" customHeight="1">
      <c r="B509" s="31"/>
      <c r="C509" s="31"/>
      <c r="D509" s="31"/>
      <c r="E509" s="31"/>
      <c r="F509" s="31"/>
      <c r="G509" s="34"/>
      <c r="H509" s="34"/>
      <c r="I509" s="34"/>
      <c r="J509" s="34"/>
      <c r="K509" s="31"/>
      <c r="L509" s="31"/>
      <c r="M509" s="31"/>
      <c r="N509" s="31"/>
      <c r="O509" s="31"/>
      <c r="P509" s="35">
        <f>IF(AND(ISNUMBER(J509),'REFERENCIAS'!$Q$8=1),ROUND(J509,'REFERENCIAS'!$K$8),"")</f>
      </c>
      <c r="R509" s="29" t="str">
        <f>"ID:"&amp;SUBSTITUTE(SUBSTITUTE(SUBSTITUTE(SUBSTITUTE(UPPER(TRIM(B509&amp;"")),"!","!E"),"*","!A"),"?","!B"),"~","!C")</f>
        <v>ID:</v>
      </c>
      <c r="S509" s="29" t="str">
        <f>"ID:"&amp;SUBSTITUTE(SUBSTITUTE(SUBSTITUTE(SUBSTITUTE(UPPER(TRIM(C509&amp;"")),"!","!E"),"*","!A"),"?","!B"),"~","!C")</f>
        <v>ID:</v>
      </c>
    </row>
    <row r="510" ht="23" customHeight="1">
      <c r="B510" s="23"/>
      <c r="C510" s="23"/>
      <c r="D510" s="23"/>
      <c r="E510" s="23"/>
      <c r="F510" s="23"/>
      <c r="G510" s="23"/>
      <c r="H510" s="23"/>
      <c r="I510" s="23"/>
      <c r="J510" s="23"/>
      <c r="K510" s="23"/>
      <c r="L510" s="23"/>
      <c r="M510" s="23"/>
      <c r="N510" s="23"/>
      <c r="O510" s="23"/>
      <c r="P510" s="23"/>
    </row>
    <row r="511" ht="23" customHeight="1">
      <c r="B511" s="23"/>
      <c r="C511" s="23"/>
      <c r="D511" s="23"/>
      <c r="E511" s="23"/>
      <c r="F511" s="23"/>
      <c r="G511" s="23"/>
      <c r="H511" s="23"/>
      <c r="I511" s="23"/>
      <c r="J511" s="23"/>
      <c r="K511" s="23"/>
      <c r="L511" s="23"/>
      <c r="M511" s="23"/>
      <c r="N511" s="23"/>
      <c r="O511" s="23"/>
      <c r="P511" s="23"/>
    </row>
    <row r="512" ht="25" customHeight="1">
      <c r="B512" s="33" t="str">
        <v>Cuitó Digital · cuitodigital.com</v>
      </c>
      <c r="C512" s="33"/>
      <c r="D512" s="33"/>
      <c r="E512" s="33"/>
      <c r="F512" s="33"/>
      <c r="G512" s="33"/>
      <c r="H512" s="33"/>
      <c r="I512" s="33"/>
      <c r="J512" s="33"/>
      <c r="K512" s="33"/>
      <c r="L512" s="33"/>
      <c r="M512" s="33"/>
      <c r="N512" s="33"/>
      <c r="O512" s="33"/>
      <c r="P512" s="33"/>
    </row>
    <row r="513" ht="23" customHeight="1">
      <c r="B513" s="23"/>
      <c r="C513" s="23"/>
      <c r="D513" s="23"/>
      <c r="E513" s="23"/>
      <c r="F513" s="23"/>
      <c r="G513" s="23"/>
      <c r="H513" s="23"/>
      <c r="I513" s="23"/>
      <c r="J513" s="23"/>
      <c r="K513" s="23"/>
      <c r="L513" s="23"/>
      <c r="M513" s="23"/>
      <c r="N513" s="23"/>
      <c r="O513" s="23"/>
      <c r="P513" s="23"/>
    </row>
  </sheetData>
  <sheetProtection sheet="1" objects="1" scenarios="1" formatCells="1" formatColumns="0" formatRows="0" insertColumns="1" insertRows="1" deleteColumns="1" deleteRows="1" sort="1" autoFilter="1" selectLockedCells="0" selectUnlockedCells="0"/>
  <mergeCells>
    <mergeCell ref="B2:O3"/>
    <mergeCell ref="B5:P6"/>
    <mergeCell ref="B512:P512"/>
  </mergeCells>
  <dataValidations count="3">
    <dataValidation type="list" sqref="K10:K509" showErrorMessage="1" errorStyle="stop" allowBlank="1" errorTitle="Revisamos el dato" error="Elegimos una opción válida. Un dato pendiente no es cero.">
      <formula1>"Sin valorar,Sin coste documentado,Incluido en otra partida,Por confirmar"</formula1>
    </dataValidation>
    <dataValidation type="list" sqref="M10:M509" showErrorMessage="1" errorStyle="stop" allowBlank="1" errorTitle="Revisamos el dato" error="Elegimos una opción válida. Un dato pendiente no es cero.">
      <formula1>"Sí,No,Por confirmar"</formula1>
    </dataValidation>
    <dataValidation type="list" sqref="O10:O509" showErrorMessage="1" errorStyle="stop" allowBlank="1" errorTitle="Revisamos el dato" error="Elegimos una opción válida. Un dato pendiente no es cero.">
      <formula1>"Comparamos,No existe,Por confirmar"</formula1>
    </dataValidation>
  </dataValidations>
  <pageMargins left=".25" right=".25" top=".35" bottom=".35" header=".15" footer=".15"/>
  <pageSetup paperSize="9" orientation="landscape" fitToWidth="1" fitToHeight="0"/>
  <headerFooter>
    <oddFooter>&amp;LCuitó Digital · cuitodigital.com&amp;R&amp;P</oddFooter>
  </headerFooter>
  <drawing r:id="Rfb7f7706cc694521"/>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80">
      <pane ySplit="9" topLeftCell="A10" activePane="bottomLeft" state="frozen"/>
    </sheetView>
  </sheetViews>
  <sheetFormatPr defaultRowHeight="15"/>
  <cols>
    <col min="1" max="1" width="3" hidden="0" customWidth="1"/>
    <col min="2" max="2" width="6" hidden="0" customWidth="1"/>
    <col min="3" max="3" width="14" hidden="0" customWidth="1"/>
    <col min="4" max="4" width="14" hidden="0" customWidth="1"/>
    <col min="5" max="5" width="18" hidden="0" customWidth="1"/>
    <col min="6" max="6" width="16" hidden="0" customWidth="1"/>
    <col min="7" max="7" width="18" hidden="0" customWidth="1"/>
    <col min="8" max="8" width="18" hidden="0" customWidth="1"/>
    <col min="9" max="9" width="16" hidden="0" customWidth="1"/>
    <col min="10" max="10" width="19" hidden="0" customWidth="1"/>
    <col min="11" max="11" width="32" hidden="0" customWidth="1"/>
    <col min="12" max="12" width="70" hidden="0" customWidth="1"/>
    <col min="13" max="13" hidden="1"/>
    <col min="14" max="14" hidden="1"/>
    <col min="15" max="15" hidden="1"/>
    <col min="16" max="16" hidden="1"/>
    <col min="17" max="17" hidden="1"/>
    <col min="18" max="18" hidden="1"/>
    <col min="19" max="19" hidden="1"/>
    <col min="20" max="20" hidden="1"/>
    <col min="21" max="21" hidden="1"/>
    <col min="22" max="22" hidden="1"/>
    <col min="23" max="23" hidden="1"/>
    <col min="24" max="24" hidden="1"/>
    <col min="25" max="25" hidden="1"/>
  </cols>
  <sheetData>
    <row r="1" ht="23" customHeight="1">
      <c r="B1" s="23"/>
      <c r="C1" s="23"/>
      <c r="D1" s="23"/>
      <c r="E1" s="23"/>
      <c r="F1" s="23"/>
      <c r="G1" s="23"/>
      <c r="H1" s="23"/>
      <c r="I1" s="23"/>
      <c r="J1" s="23"/>
      <c r="K1" s="23"/>
      <c r="L1" s="23"/>
    </row>
    <row r="2" ht="25" customHeight="1">
      <c r="B2" s="24" t="str">
        <v>Avisos por partida</v>
      </c>
      <c r="C2" s="24"/>
      <c r="D2" s="24"/>
      <c r="E2" s="24"/>
      <c r="F2" s="24"/>
      <c r="G2" s="24"/>
      <c r="H2" s="24"/>
      <c r="I2" s="24"/>
      <c r="J2" s="24"/>
      <c r="K2" s="24"/>
      <c r="L2" s="23"/>
    </row>
    <row r="3" ht="25" customHeight="1">
      <c r="B3" s="24"/>
      <c r="C3" s="24"/>
      <c r="D3" s="24"/>
      <c r="E3" s="24"/>
      <c r="F3" s="24"/>
      <c r="G3" s="24"/>
      <c r="H3" s="24"/>
      <c r="I3" s="24"/>
      <c r="J3" s="24"/>
      <c r="K3" s="24"/>
      <c r="L3" s="23"/>
    </row>
    <row r="4" ht="23" customHeight="1">
      <c r="B4" s="25"/>
      <c r="C4" s="25"/>
      <c r="D4" s="25"/>
      <c r="E4" s="25"/>
      <c r="F4" s="25"/>
      <c r="G4" s="25"/>
      <c r="H4" s="25"/>
      <c r="I4" s="25"/>
      <c r="J4" s="25"/>
      <c r="K4" s="25"/>
      <c r="L4" s="25"/>
    </row>
    <row r="5" ht="24" customHeight="1">
      <c r="B5" s="26" t="str">
        <v>Filtramos por ROJO o ÁMBAR en la columna que revisamos. Los ID conservan el vínculo con DATOS. El verde solo cubre lo introducido; no demuestra que estén todas las partidas ni que el PDF o el BC3 estén revisados.</v>
      </c>
      <c r="C5" s="26"/>
      <c r="D5" s="26"/>
      <c r="E5" s="26"/>
      <c r="F5" s="26"/>
      <c r="G5" s="26"/>
      <c r="H5" s="26"/>
      <c r="I5" s="26"/>
      <c r="J5" s="26"/>
      <c r="K5" s="26"/>
      <c r="L5" s="26"/>
    </row>
    <row r="6" ht="24" customHeight="1">
      <c r="B6" s="26"/>
      <c r="C6" s="26"/>
      <c r="D6" s="26"/>
      <c r="E6" s="26"/>
      <c r="F6" s="26"/>
      <c r="G6" s="26"/>
      <c r="H6" s="26"/>
      <c r="I6" s="26"/>
      <c r="J6" s="26"/>
      <c r="K6" s="26"/>
      <c r="L6" s="26"/>
    </row>
    <row r="7" ht="23" customHeight="1">
      <c r="B7" s="23"/>
      <c r="C7" s="23"/>
      <c r="D7" s="23"/>
      <c r="E7" s="23"/>
      <c r="F7" s="23"/>
      <c r="G7" s="23"/>
      <c r="H7" s="23"/>
      <c r="I7" s="23"/>
      <c r="J7" s="23"/>
      <c r="K7" s="23"/>
      <c r="L7" s="23"/>
    </row>
    <row r="8" ht="23" customHeight="1">
      <c r="B8" s="23"/>
      <c r="C8" s="23"/>
      <c r="D8" s="23"/>
      <c r="E8" s="23"/>
      <c r="F8" s="23"/>
      <c r="G8" s="23"/>
      <c r="H8" s="23"/>
      <c r="I8" s="23"/>
      <c r="J8" s="23"/>
      <c r="K8" s="23"/>
      <c r="L8" s="23"/>
    </row>
    <row r="9" ht="42" customHeight="1">
      <c r="B9" s="27" t="str">
        <v>Fila</v>
      </c>
      <c r="C9" s="27" t="str">
        <v>Capítulo</v>
      </c>
      <c r="D9" s="27" t="str">
        <v>Código</v>
      </c>
      <c r="E9" s="27" t="str">
        <v>Precios e importe</v>
      </c>
      <c r="F9" s="27" t="str">
        <v>Ceros</v>
      </c>
      <c r="G9" s="27" t="str">
        <v>Textos</v>
      </c>
      <c r="H9" s="27" t="str">
        <v>Decimales visibles</v>
      </c>
      <c r="I9" s="27" t="str">
        <v>Unidades</v>
      </c>
      <c r="J9" s="27" t="str">
        <v>Datos y claves</v>
      </c>
      <c r="K9" s="27" t="str">
        <v>Localizador</v>
      </c>
      <c r="L9" s="27" t="str">
        <v>Qué comprobamos</v>
      </c>
    </row>
    <row r="10" ht="64" customHeight="1">
      <c r="B10" s="26" t="n">
        <f>IF(N10=1,1,"")</f>
        <v>1</v>
      </c>
      <c r="C10" s="26" t="str">
        <f>IF(AND(N10=1,LEN(TRIM('DATOS'!B10&amp;""))&gt;0),'DATOS'!B10,"")</f>
        <v>EJ-01</v>
      </c>
      <c r="D10" s="26" t="str">
        <f>IF(AND(N10=1,LEN(TRIM('DATOS'!C10&amp;""))&gt;0),'DATOS'!C10,"")</f>
        <v>E-01</v>
      </c>
      <c r="E10" s="26" t="str">
        <f>IF(NOT(ISNUMBER(P10)),"",IF(P10=2,"ROJO",IF(P10=1,"ÁMBAR","VERDE")))</f>
        <v>VERDE</v>
      </c>
      <c r="F10" s="26" t="str">
        <f>IF(NOT(ISNUMBER(Q10)),"",IF(Q10=2,"ROJO",IF(Q10=1,"ÁMBAR","VERDE")))</f>
        <v>VERDE</v>
      </c>
      <c r="G10" s="26" t="str">
        <f>IF(NOT(ISNUMBER(R10)),"",IF(R10=2,"ROJO",IF(R10=1,"ÁMBAR","VERDE")))</f>
        <v>VERDE</v>
      </c>
      <c r="H10" s="26" t="str">
        <f>IF(NOT(ISNUMBER(S10)),"",IF(S10=2,"ROJO",IF(S10=1,"ÁMBAR","VERDE")))</f>
        <v>VERDE</v>
      </c>
      <c r="I10" s="26" t="str">
        <f>IF(NOT(ISNUMBER(T10)),"",IF(T10=2,"ROJO",IF(T10=1,"ÁMBAR","VERDE")))</f>
        <v>VERDE</v>
      </c>
      <c r="J10" s="26" t="str">
        <f>IF(NOT(ISNUMBER(O10)),"",IF(O10=2,"ROJO",IF(O10=1,"ÁMBAR","VERDE")))</f>
        <v>VERDE</v>
      </c>
      <c r="K10" s="26" t="str">
        <f>IFERROR(IF(AND(N10=1,LEN(TRIM('DATOS'!N10&amp;""))&gt;0),'DATOS'!N10,""),"Hay una entrada con error. Corregimos el dato antes de cerrar la comprobación.")</f>
        <v>Ejemplo · documento y partida</v>
      </c>
      <c r="L10" s="26">
        <f>IFERROR(IF(N10=0,"",IF(O10&gt;0,"Completamos datos, claves o motivo. ","")&amp;IF(P10&gt;0,"Cotejamos precios e importe. ","")&amp;IF(Q10&gt;0,"Aclaramos el cero. ","")&amp;IF(R10&gt;0,"Comprobamos el texto. ","")&amp;IF(S10&gt;0,"Revisamos decimales visibles. ","")&amp;IF(T10&gt;0,"Confirmamos la unidad.","")),"Hay una entrada con error. Corregimos el dato antes de cerrar la comprobación.")</f>
      </c>
      <c r="N10" s="29" t="n">
        <f>IF(COUNTA('DATOS'!B10:O10)&gt;0,1,0)</f>
        <v>1</v>
      </c>
      <c r="O10" s="29" t="n">
        <f>IFERROR(IF(N10=0,"",IF(OR(NOT(AND(LEN(TRIM('DATOS'!B10&amp;""))&gt;0,TRIM('DATOS'!B10&amp;"")&lt;&gt;"Pendiente",TRIM('DATOS'!B10&amp;"")&lt;&gt;"Por confirmar",TRIM('DATOS'!B10&amp;"")&lt;&gt;"No consta",TRIM('DATOS'!B10&amp;"")&lt;&gt;"Desconocido",TRIM('DATOS'!B10&amp;"")&lt;&gt;"Sin confirmar",TRIM('DATOS'!B10&amp;"")&lt;&gt;"Por decidir",TRIM('DATOS'!B10&amp;"")&lt;&gt;"Por comprobar")),NOT(AND(LEN(TRIM('DATOS'!C10&amp;""))&gt;0,TRIM('DATOS'!C10&amp;"")&lt;&gt;"Pendiente",TRIM('DATOS'!C10&amp;"")&lt;&gt;"Por confirmar",TRIM('DATOS'!C10&amp;"")&lt;&gt;"No consta",TRIM('DATOS'!C10&amp;"")&lt;&gt;"Desconocido",TRIM('DATOS'!C10&amp;"")&lt;&gt;"Sin confirmar",TRIM('DATOS'!C10&amp;"")&lt;&gt;"Por decidir",TRIM('DATOS'!C10&amp;"")&lt;&gt;"Por comprobar")),NOT(AND(LEN(TRIM('DATOS'!D10&amp;""))&gt;0,TRIM('DATOS'!D10&amp;"")&lt;&gt;"Pendiente",TRIM('DATOS'!D10&amp;"")&lt;&gt;"Por confirmar",TRIM('DATOS'!D10&amp;"")&lt;&gt;"No consta",TRIM('DATOS'!D10&amp;"")&lt;&gt;"Desconocido",TRIM('DATOS'!D10&amp;"")&lt;&gt;"Sin confirmar",TRIM('DATOS'!D10&amp;"")&lt;&gt;"Por decidir",TRIM('DATOS'!D10&amp;"")&lt;&gt;"Por comprobar")),NOT(AND(LEN(TRIM('DATOS'!E10&amp;""))&gt;0,TRIM('DATOS'!E10&amp;"")&lt;&gt;"Pendiente",TRIM('DATOS'!E10&amp;"")&lt;&gt;"Por confirmar",TRIM('DATOS'!E10&amp;"")&lt;&gt;"No consta",TRIM('DATOS'!E10&amp;"")&lt;&gt;"Desconocido",TRIM('DATOS'!E10&amp;"")&lt;&gt;"Sin confirmar",TRIM('DATOS'!E10&amp;"")&lt;&gt;"Por decidir",TRIM('DATOS'!E10&amp;"")&lt;&gt;"Por comprobar")),NOT(AND(LEN(TRIM('DATOS'!F10&amp;""))&gt;0,TRIM('DATOS'!F10&amp;"")&lt;&gt;"Pendiente",TRIM('DATOS'!F10&amp;"")&lt;&gt;"Por confirmar",TRIM('DATOS'!F10&amp;"")&lt;&gt;"No consta",TRIM('DATOS'!F10&amp;"")&lt;&gt;"Desconocido",TRIM('DATOS'!F10&amp;"")&lt;&gt;"Sin confirmar",TRIM('DATOS'!F10&amp;"")&lt;&gt;"Por decidir",TRIM('DATOS'!F10&amp;"")&lt;&gt;"Por comprobar")),NOT(AND(LEN(TRIM('DATOS'!N10&amp;""))&gt;0,TRIM('DATOS'!N10&amp;"")&lt;&gt;"Pendiente",TRIM('DATOS'!N10&amp;"")&lt;&gt;"Por confirmar",TRIM('DATOS'!N10&amp;"")&lt;&gt;"No consta",TRIM('DATOS'!N10&amp;"")&lt;&gt;"Desconocido",TRIM('DATOS'!N10&amp;"")&lt;&gt;"Sin confirmar",TRIM('DATOS'!N10&amp;"")&lt;&gt;"Por decidir",TRIM('DATOS'!N10&amp;"")&lt;&gt;"Por comprobar")),NOT(Y10=1),W10&lt;&gt;1,X10&gt;1,NOT(OR(LEN(TRIM('DATOS'!K10&amp;""))=0,'DATOS'!K10="Sin valorar",'DATOS'!K10="Sin coste documentado",'DATOS'!K10="Incluido en otra partida",'DATOS'!K10="Por confirmar")),NOT(OR(LEN(TRIM('DATOS'!M10&amp;""))=0,'DATOS'!M10="Sí",'DATOS'!M10="No",'DATOS'!M10="Por confirmar")),NOT(OR(LEN(TRIM('DATOS'!O10&amp;""))=0,'DATOS'!O10="Comparamos",'DATOS'!O10="No existe",'DATOS'!O10="Por confirmar"))),2,IF(AND(OR('DATOS'!G10&lt;0,'DATOS'!H10&lt;0,'DATOS'!J10&lt;0),NOT(AND(LEN(TRIM('DATOS'!L10&amp;""))&gt;0,TRIM('DATOS'!L10&amp;"")&lt;&gt;"Pendiente",TRIM('DATOS'!L10&amp;"")&lt;&gt;"Por confirmar",TRIM('DATOS'!L10&amp;"")&lt;&gt;"No consta",TRIM('DATOS'!L10&amp;"")&lt;&gt;"Desconocido",TRIM('DATOS'!L10&amp;"")&lt;&gt;"Sin confirmar",TRIM('DATOS'!L10&amp;"")&lt;&gt;"Por decidir",TRIM('DATOS'!L10&amp;"")&lt;&gt;"Por comprobar"))),1,0))),2)</f>
        <v>0</v>
      </c>
      <c r="P10" s="29" t="n">
        <f>IFERROR(IF(N10=0,"",IF(NOT(Y10=1),1,IF('REFERENCIAS'!$Q$8&lt;&gt;1,2,IF(ABS('DATOS'!J10-ROUND('DATOS'!G10*'DATOS'!H10,'REFERENCIAS'!$K$8))&gt;0.00000001,2,IF('DATOS'!O10="No existe",IF(LEN(TRIM('DATOS'!I10&amp;""))=0,0,2),IF('DATOS'!O10="Comparamos",IF(LEN(TRIM('DATOS'!I10&amp;""))=0,1,IF(ISNUMBER('DATOS'!I10),IF(ABS('DATOS'!H10-'DATOS'!I10)&gt;0.00000001,2,0),2)),1)))))),2)</f>
        <v>0</v>
      </c>
      <c r="Q10" s="29" t="n">
        <f>IFERROR(IF(N10=0,"",IF(NOT(Y10=1),1,IF('DATOS'!K10="Sin valorar",2,IF('DATOS'!G10=0,1,IF(OR('DATOS'!H10=0,'DATOS'!J10=0),IF(AND(OR('DATOS'!K10="Sin coste documentado",'DATOS'!K10="Incluido en otra partida"),AND(LEN(TRIM('DATOS'!L10&amp;""))&gt;0,TRIM('DATOS'!L10&amp;"")&lt;&gt;"Pendiente",TRIM('DATOS'!L10&amp;"")&lt;&gt;"Por confirmar",TRIM('DATOS'!L10&amp;"")&lt;&gt;"No consta",TRIM('DATOS'!L10&amp;"")&lt;&gt;"Desconocido",TRIM('DATOS'!L10&amp;"")&lt;&gt;"Sin confirmar",TRIM('DATOS'!L10&amp;"")&lt;&gt;"Por decidir",TRIM('DATOS'!L10&amp;"")&lt;&gt;"Por comprobar")),0,1),0))))),2)</f>
        <v>0</v>
      </c>
      <c r="R10" s="29" t="n">
        <f>IFERROR(IF(N10=0,"",IF(OR(NOT(AND(LEN(TRIM('DATOS'!D10&amp;""))&gt;0,TRIM('DATOS'!D10&amp;"")&lt;&gt;"Pendiente",TRIM('DATOS'!D10&amp;"")&lt;&gt;"Por confirmar",TRIM('DATOS'!D10&amp;"")&lt;&gt;"No consta",TRIM('DATOS'!D10&amp;"")&lt;&gt;"Desconocido",TRIM('DATOS'!D10&amp;"")&lt;&gt;"Sin confirmar",TRIM('DATOS'!D10&amp;"")&lt;&gt;"Por decidir",TRIM('DATOS'!D10&amp;"")&lt;&gt;"Por comprobar")),NOT(AND(LEN(TRIM('DATOS'!E10&amp;""))&gt;0,TRIM('DATOS'!E10&amp;"")&lt;&gt;"Pendiente",TRIM('DATOS'!E10&amp;"")&lt;&gt;"Por confirmar",TRIM('DATOS'!E10&amp;"")&lt;&gt;"No consta",TRIM('DATOS'!E10&amp;"")&lt;&gt;"Desconocido",TRIM('DATOS'!E10&amp;"")&lt;&gt;"Sin confirmar",TRIM('DATOS'!E10&amp;"")&lt;&gt;"Por decidir",TRIM('DATOS'!E10&amp;"")&lt;&gt;"Por comprobar"))),2,IF('DATOS'!M10="No",2,IF('DATOS'!M10="Sí",0,IF(OR('DATOS'!D10&lt;&gt;'DATOS'!E10,LEN('DATOS'!E10)&gt;300,RIGHT(TRIM('DATOS'!E10),3)="...",RIGHT(TRIM('DATOS'!E10),1)="…"),1,0))))),2)</f>
        <v>0</v>
      </c>
      <c r="S10" s="29" t="n">
        <f>IFERROR(IF(N10=0,"",IF('REFERENCIAS'!$Q$8&lt;&gt;1,2,IF(NOT(Y10=1),1,IF(OR(ABS('DATOS'!G10-ROUND('DATOS'!G10,'REFERENCIAS'!$E$8))&gt;0.00000001,ABS('DATOS'!H10-ROUND('DATOS'!H10,'REFERENCIAS'!$H$8))&gt;0.00000001,ABS('DATOS'!J10-ROUND('DATOS'!J10,'REFERENCIAS'!$K$8))&gt;0.00000001,IF(ISNUMBER('DATOS'!I10),ABS('DATOS'!I10-ROUND('DATOS'!I10,'REFERENCIAS'!$H$8))&gt;0.00000001,FALSE)),1,0)))),2)</f>
        <v>0</v>
      </c>
      <c r="T10" s="29" t="n">
        <f>IFERROR(IF(N10=0,"",IF(NOT(AND(LEN(TRIM('DATOS'!F10&amp;""))&gt;0,TRIM('DATOS'!F10&amp;"")&lt;&gt;"Pendiente",TRIM('DATOS'!F10&amp;"")&lt;&gt;"Por confirmar",TRIM('DATOS'!F10&amp;"")&lt;&gt;"No consta",TRIM('DATOS'!F10&amp;"")&lt;&gt;"Desconocido",TRIM('DATOS'!F10&amp;"")&lt;&gt;"Sin confirmar",TRIM('DATOS'!F10&amp;"")&lt;&gt;"Por decidir",TRIM('DATOS'!F10&amp;"")&lt;&gt;"Por comprobar")),2,IF(COUNTIFS('REFERENCIAS'!$T$15:$T$34,"ID:"&amp;SUBSTITUTE(SUBSTITUTE(SUBSTITUTE(SUBSTITUTE(UPPER(TRIM('DATOS'!F10&amp;"")),"!","!E"),"*","!A"),"?","!B"),"~","!C"),'REFERENCIAS'!$H$15:$H$34,"&lt;&gt;")&gt;0,0,1))),2)</f>
        <v>0</v>
      </c>
      <c r="U10" s="29" t="str">
        <f>'DATOS'!R10</f>
        <v>ID:EJ-01</v>
      </c>
      <c r="V10" s="29" t="str">
        <f>'DATOS'!S10</f>
        <v>ID:E-01</v>
      </c>
      <c r="W10" s="29" t="n">
        <f>IF(N10=0,0,COUNTIFS('REFERENCIAS'!$R$15:$R$64,U10))</f>
        <v>1</v>
      </c>
      <c r="X10" s="29" t="n">
        <f>IF(N10=0,0,COUNTIFS('DATOS'!$R$10:$R$509,U10,'DATOS'!$S$10:$S$509,V10))</f>
        <v>1</v>
      </c>
      <c r="Y10" s="29" t="n">
        <f>IF(AND(ISNUMBER('DATOS'!G10),ISNUMBER('DATOS'!H10),ISNUMBER('DATOS'!J10)),1,0)</f>
        <v>1</v>
      </c>
    </row>
    <row r="11" ht="64" customHeight="1">
      <c r="B11" s="26" t="n">
        <f>IF(N11=1,2,"")</f>
        <v>2</v>
      </c>
      <c r="C11" s="26" t="str">
        <f>IF(AND(N11=1,LEN(TRIM('DATOS'!B11&amp;""))&gt;0),'DATOS'!B11,"")</f>
        <v>EJ-01</v>
      </c>
      <c r="D11" s="26" t="str">
        <f>IF(AND(N11=1,LEN(TRIM('DATOS'!C11&amp;""))&gt;0),'DATOS'!C11,"")</f>
        <v>E-02</v>
      </c>
      <c r="E11" s="26" t="str">
        <f>IF(NOT(ISNUMBER(P11)),"",IF(P11=2,"ROJO",IF(P11=1,"ÁMBAR","VERDE")))</f>
        <v>VERDE</v>
      </c>
      <c r="F11" s="26" t="str">
        <f>IF(NOT(ISNUMBER(Q11)),"",IF(Q11=2,"ROJO",IF(Q11=1,"ÁMBAR","VERDE")))</f>
        <v>VERDE</v>
      </c>
      <c r="G11" s="26" t="str">
        <f>IF(NOT(ISNUMBER(R11)),"",IF(R11=2,"ROJO",IF(R11=1,"ÁMBAR","VERDE")))</f>
        <v>VERDE</v>
      </c>
      <c r="H11" s="26" t="str">
        <f>IF(NOT(ISNUMBER(S11)),"",IF(S11=2,"ROJO",IF(S11=1,"ÁMBAR","VERDE")))</f>
        <v>VERDE</v>
      </c>
      <c r="I11" s="26" t="str">
        <f>IF(NOT(ISNUMBER(T11)),"",IF(T11=2,"ROJO",IF(T11=1,"ÁMBAR","VERDE")))</f>
        <v>VERDE</v>
      </c>
      <c r="J11" s="26" t="str">
        <f>IF(NOT(ISNUMBER(O11)),"",IF(O11=2,"ROJO",IF(O11=1,"ÁMBAR","VERDE")))</f>
        <v>VERDE</v>
      </c>
      <c r="K11" s="26" t="str">
        <f>IFERROR(IF(AND(N11=1,LEN(TRIM('DATOS'!N11&amp;""))&gt;0),'DATOS'!N11,""),"Hay una entrada con error. Corregimos el dato antes de cerrar la comprobación.")</f>
        <v>Ejemplo · documento y partida</v>
      </c>
      <c r="L11" s="26">
        <f>IFERROR(IF(N11=0,"",IF(O11&gt;0,"Completamos datos, claves o motivo. ","")&amp;IF(P11&gt;0,"Cotejamos precios e importe. ","")&amp;IF(Q11&gt;0,"Aclaramos el cero. ","")&amp;IF(R11&gt;0,"Comprobamos el texto. ","")&amp;IF(S11&gt;0,"Revisamos decimales visibles. ","")&amp;IF(T11&gt;0,"Confirmamos la unidad.","")),"Hay una entrada con error. Corregimos el dato antes de cerrar la comprobación.")</f>
      </c>
      <c r="N11" s="29" t="n">
        <f>IF(COUNTA('DATOS'!B11:O11)&gt;0,1,0)</f>
        <v>1</v>
      </c>
      <c r="O11" s="29" t="n">
        <f>IFERROR(IF(N11=0,"",IF(OR(NOT(AND(LEN(TRIM('DATOS'!B11&amp;""))&gt;0,TRIM('DATOS'!B11&amp;"")&lt;&gt;"Pendiente",TRIM('DATOS'!B11&amp;"")&lt;&gt;"Por confirmar",TRIM('DATOS'!B11&amp;"")&lt;&gt;"No consta",TRIM('DATOS'!B11&amp;"")&lt;&gt;"Desconocido",TRIM('DATOS'!B11&amp;"")&lt;&gt;"Sin confirmar",TRIM('DATOS'!B11&amp;"")&lt;&gt;"Por decidir",TRIM('DATOS'!B11&amp;"")&lt;&gt;"Por comprobar")),NOT(AND(LEN(TRIM('DATOS'!C11&amp;""))&gt;0,TRIM('DATOS'!C11&amp;"")&lt;&gt;"Pendiente",TRIM('DATOS'!C11&amp;"")&lt;&gt;"Por confirmar",TRIM('DATOS'!C11&amp;"")&lt;&gt;"No consta",TRIM('DATOS'!C11&amp;"")&lt;&gt;"Desconocido",TRIM('DATOS'!C11&amp;"")&lt;&gt;"Sin confirmar",TRIM('DATOS'!C11&amp;"")&lt;&gt;"Por decidir",TRIM('DATOS'!C11&amp;"")&lt;&gt;"Por comprobar")),NOT(AND(LEN(TRIM('DATOS'!D11&amp;""))&gt;0,TRIM('DATOS'!D11&amp;"")&lt;&gt;"Pendiente",TRIM('DATOS'!D11&amp;"")&lt;&gt;"Por confirmar",TRIM('DATOS'!D11&amp;"")&lt;&gt;"No consta",TRIM('DATOS'!D11&amp;"")&lt;&gt;"Desconocido",TRIM('DATOS'!D11&amp;"")&lt;&gt;"Sin confirmar",TRIM('DATOS'!D11&amp;"")&lt;&gt;"Por decidir",TRIM('DATOS'!D11&amp;"")&lt;&gt;"Por comprobar")),NOT(AND(LEN(TRIM('DATOS'!E11&amp;""))&gt;0,TRIM('DATOS'!E11&amp;"")&lt;&gt;"Pendiente",TRIM('DATOS'!E11&amp;"")&lt;&gt;"Por confirmar",TRIM('DATOS'!E11&amp;"")&lt;&gt;"No consta",TRIM('DATOS'!E11&amp;"")&lt;&gt;"Desconocido",TRIM('DATOS'!E11&amp;"")&lt;&gt;"Sin confirmar",TRIM('DATOS'!E11&amp;"")&lt;&gt;"Por decidir",TRIM('DATOS'!E11&amp;"")&lt;&gt;"Por comprobar")),NOT(AND(LEN(TRIM('DATOS'!F11&amp;""))&gt;0,TRIM('DATOS'!F11&amp;"")&lt;&gt;"Pendiente",TRIM('DATOS'!F11&amp;"")&lt;&gt;"Por confirmar",TRIM('DATOS'!F11&amp;"")&lt;&gt;"No consta",TRIM('DATOS'!F11&amp;"")&lt;&gt;"Desconocido",TRIM('DATOS'!F11&amp;"")&lt;&gt;"Sin confirmar",TRIM('DATOS'!F11&amp;"")&lt;&gt;"Por decidir",TRIM('DATOS'!F11&amp;"")&lt;&gt;"Por comprobar")),NOT(AND(LEN(TRIM('DATOS'!N11&amp;""))&gt;0,TRIM('DATOS'!N11&amp;"")&lt;&gt;"Pendiente",TRIM('DATOS'!N11&amp;"")&lt;&gt;"Por confirmar",TRIM('DATOS'!N11&amp;"")&lt;&gt;"No consta",TRIM('DATOS'!N11&amp;"")&lt;&gt;"Desconocido",TRIM('DATOS'!N11&amp;"")&lt;&gt;"Sin confirmar",TRIM('DATOS'!N11&amp;"")&lt;&gt;"Por decidir",TRIM('DATOS'!N11&amp;"")&lt;&gt;"Por comprobar")),NOT(Y11=1),W11&lt;&gt;1,X11&gt;1,NOT(OR(LEN(TRIM('DATOS'!K11&amp;""))=0,'DATOS'!K11="Sin valorar",'DATOS'!K11="Sin coste documentado",'DATOS'!K11="Incluido en otra partida",'DATOS'!K11="Por confirmar")),NOT(OR(LEN(TRIM('DATOS'!M11&amp;""))=0,'DATOS'!M11="Sí",'DATOS'!M11="No",'DATOS'!M11="Por confirmar")),NOT(OR(LEN(TRIM('DATOS'!O11&amp;""))=0,'DATOS'!O11="Comparamos",'DATOS'!O11="No existe",'DATOS'!O11="Por confirmar"))),2,IF(AND(OR('DATOS'!G11&lt;0,'DATOS'!H11&lt;0,'DATOS'!J11&lt;0),NOT(AND(LEN(TRIM('DATOS'!L11&amp;""))&gt;0,TRIM('DATOS'!L11&amp;"")&lt;&gt;"Pendiente",TRIM('DATOS'!L11&amp;"")&lt;&gt;"Por confirmar",TRIM('DATOS'!L11&amp;"")&lt;&gt;"No consta",TRIM('DATOS'!L11&amp;"")&lt;&gt;"Desconocido",TRIM('DATOS'!L11&amp;"")&lt;&gt;"Sin confirmar",TRIM('DATOS'!L11&amp;"")&lt;&gt;"Por decidir",TRIM('DATOS'!L11&amp;"")&lt;&gt;"Por comprobar"))),1,0))),2)</f>
        <v>0</v>
      </c>
      <c r="P11" s="29" t="n">
        <f>IFERROR(IF(N11=0,"",IF(NOT(Y11=1),1,IF('REFERENCIAS'!$Q$8&lt;&gt;1,2,IF(ABS('DATOS'!J11-ROUND('DATOS'!G11*'DATOS'!H11,'REFERENCIAS'!$K$8))&gt;0.00000001,2,IF('DATOS'!O11="No existe",IF(LEN(TRIM('DATOS'!I11&amp;""))=0,0,2),IF('DATOS'!O11="Comparamos",IF(LEN(TRIM('DATOS'!I11&amp;""))=0,1,IF(ISNUMBER('DATOS'!I11),IF(ABS('DATOS'!H11-'DATOS'!I11)&gt;0.00000001,2,0),2)),1)))))),2)</f>
        <v>0</v>
      </c>
      <c r="Q11" s="29" t="n">
        <f>IFERROR(IF(N11=0,"",IF(NOT(Y11=1),1,IF('DATOS'!K11="Sin valorar",2,IF('DATOS'!G11=0,1,IF(OR('DATOS'!H11=0,'DATOS'!J11=0),IF(AND(OR('DATOS'!K11="Sin coste documentado",'DATOS'!K11="Incluido en otra partida"),AND(LEN(TRIM('DATOS'!L11&amp;""))&gt;0,TRIM('DATOS'!L11&amp;"")&lt;&gt;"Pendiente",TRIM('DATOS'!L11&amp;"")&lt;&gt;"Por confirmar",TRIM('DATOS'!L11&amp;"")&lt;&gt;"No consta",TRIM('DATOS'!L11&amp;"")&lt;&gt;"Desconocido",TRIM('DATOS'!L11&amp;"")&lt;&gt;"Sin confirmar",TRIM('DATOS'!L11&amp;"")&lt;&gt;"Por decidir",TRIM('DATOS'!L11&amp;"")&lt;&gt;"Por comprobar")),0,1),0))))),2)</f>
        <v>0</v>
      </c>
      <c r="R11" s="29" t="n">
        <f>IFERROR(IF(N11=0,"",IF(OR(NOT(AND(LEN(TRIM('DATOS'!D11&amp;""))&gt;0,TRIM('DATOS'!D11&amp;"")&lt;&gt;"Pendiente",TRIM('DATOS'!D11&amp;"")&lt;&gt;"Por confirmar",TRIM('DATOS'!D11&amp;"")&lt;&gt;"No consta",TRIM('DATOS'!D11&amp;"")&lt;&gt;"Desconocido",TRIM('DATOS'!D11&amp;"")&lt;&gt;"Sin confirmar",TRIM('DATOS'!D11&amp;"")&lt;&gt;"Por decidir",TRIM('DATOS'!D11&amp;"")&lt;&gt;"Por comprobar")),NOT(AND(LEN(TRIM('DATOS'!E11&amp;""))&gt;0,TRIM('DATOS'!E11&amp;"")&lt;&gt;"Pendiente",TRIM('DATOS'!E11&amp;"")&lt;&gt;"Por confirmar",TRIM('DATOS'!E11&amp;"")&lt;&gt;"No consta",TRIM('DATOS'!E11&amp;"")&lt;&gt;"Desconocido",TRIM('DATOS'!E11&amp;"")&lt;&gt;"Sin confirmar",TRIM('DATOS'!E11&amp;"")&lt;&gt;"Por decidir",TRIM('DATOS'!E11&amp;"")&lt;&gt;"Por comprobar"))),2,IF('DATOS'!M11="No",2,IF('DATOS'!M11="Sí",0,IF(OR('DATOS'!D11&lt;&gt;'DATOS'!E11,LEN('DATOS'!E11)&gt;300,RIGHT(TRIM('DATOS'!E11),3)="...",RIGHT(TRIM('DATOS'!E11),1)="…"),1,0))))),2)</f>
        <v>0</v>
      </c>
      <c r="S11" s="29" t="n">
        <f>IFERROR(IF(N11=0,"",IF('REFERENCIAS'!$Q$8&lt;&gt;1,2,IF(NOT(Y11=1),1,IF(OR(ABS('DATOS'!G11-ROUND('DATOS'!G11,'REFERENCIAS'!$E$8))&gt;0.00000001,ABS('DATOS'!H11-ROUND('DATOS'!H11,'REFERENCIAS'!$H$8))&gt;0.00000001,ABS('DATOS'!J11-ROUND('DATOS'!J11,'REFERENCIAS'!$K$8))&gt;0.00000001,IF(ISNUMBER('DATOS'!I11),ABS('DATOS'!I11-ROUND('DATOS'!I11,'REFERENCIAS'!$H$8))&gt;0.00000001,FALSE)),1,0)))),2)</f>
        <v>0</v>
      </c>
      <c r="T11" s="29" t="n">
        <f>IFERROR(IF(N11=0,"",IF(NOT(AND(LEN(TRIM('DATOS'!F11&amp;""))&gt;0,TRIM('DATOS'!F11&amp;"")&lt;&gt;"Pendiente",TRIM('DATOS'!F11&amp;"")&lt;&gt;"Por confirmar",TRIM('DATOS'!F11&amp;"")&lt;&gt;"No consta",TRIM('DATOS'!F11&amp;"")&lt;&gt;"Desconocido",TRIM('DATOS'!F11&amp;"")&lt;&gt;"Sin confirmar",TRIM('DATOS'!F11&amp;"")&lt;&gt;"Por decidir",TRIM('DATOS'!F11&amp;"")&lt;&gt;"Por comprobar")),2,IF(COUNTIFS('REFERENCIAS'!$T$15:$T$34,"ID:"&amp;SUBSTITUTE(SUBSTITUTE(SUBSTITUTE(SUBSTITUTE(UPPER(TRIM('DATOS'!F11&amp;"")),"!","!E"),"*","!A"),"?","!B"),"~","!C"),'REFERENCIAS'!$H$15:$H$34,"&lt;&gt;")&gt;0,0,1))),2)</f>
        <v>0</v>
      </c>
      <c r="U11" s="29" t="str">
        <f>'DATOS'!R11</f>
        <v>ID:EJ-01</v>
      </c>
      <c r="V11" s="29" t="str">
        <f>'DATOS'!S11</f>
        <v>ID:E-02</v>
      </c>
      <c r="W11" s="29" t="n">
        <f>IF(N11=0,0,COUNTIFS('REFERENCIAS'!$R$15:$R$64,U11))</f>
        <v>1</v>
      </c>
      <c r="X11" s="29" t="n">
        <f>IF(N11=0,0,COUNTIFS('DATOS'!$R$10:$R$509,U11,'DATOS'!$S$10:$S$509,V11))</f>
        <v>1</v>
      </c>
      <c r="Y11" s="29" t="n">
        <f>IF(AND(ISNUMBER('DATOS'!G11),ISNUMBER('DATOS'!H11),ISNUMBER('DATOS'!J11)),1,0)</f>
        <v>1</v>
      </c>
    </row>
    <row r="12" ht="64" customHeight="1">
      <c r="B12" s="26">
        <f>IF(N12=1,3,"")</f>
      </c>
      <c r="C12" s="26">
        <f>IF(AND(N12=1,LEN(TRIM('DATOS'!B12&amp;""))&gt;0),'DATOS'!B12,"")</f>
      </c>
      <c r="D12" s="26">
        <f>IF(AND(N12=1,LEN(TRIM('DATOS'!C12&amp;""))&gt;0),'DATOS'!C12,"")</f>
      </c>
      <c r="E12" s="26">
        <f>IF(NOT(ISNUMBER(P12)),"",IF(P12=2,"ROJO",IF(P12=1,"ÁMBAR","VERDE")))</f>
      </c>
      <c r="F12" s="26">
        <f>IF(NOT(ISNUMBER(Q12)),"",IF(Q12=2,"ROJO",IF(Q12=1,"ÁMBAR","VERDE")))</f>
      </c>
      <c r="G12" s="26">
        <f>IF(NOT(ISNUMBER(R12)),"",IF(R12=2,"ROJO",IF(R12=1,"ÁMBAR","VERDE")))</f>
      </c>
      <c r="H12" s="26">
        <f>IF(NOT(ISNUMBER(S12)),"",IF(S12=2,"ROJO",IF(S12=1,"ÁMBAR","VERDE")))</f>
      </c>
      <c r="I12" s="26">
        <f>IF(NOT(ISNUMBER(T12)),"",IF(T12=2,"ROJO",IF(T12=1,"ÁMBAR","VERDE")))</f>
      </c>
      <c r="J12" s="26">
        <f>IF(NOT(ISNUMBER(O12)),"",IF(O12=2,"ROJO",IF(O12=1,"ÁMBAR","VERDE")))</f>
      </c>
      <c r="K12" s="26">
        <f>IFERROR(IF(AND(N12=1,LEN(TRIM('DATOS'!N12&amp;""))&gt;0),'DATOS'!N12,""),"Hay una entrada con error. Corregimos el dato antes de cerrar la comprobación.")</f>
      </c>
      <c r="L12" s="26">
        <f>IFERROR(IF(N12=0,"",IF(O12&gt;0,"Completamos datos, claves o motivo. ","")&amp;IF(P12&gt;0,"Cotejamos precios e importe. ","")&amp;IF(Q12&gt;0,"Aclaramos el cero. ","")&amp;IF(R12&gt;0,"Comprobamos el texto. ","")&amp;IF(S12&gt;0,"Revisamos decimales visibles. ","")&amp;IF(T12&gt;0,"Confirmamos la unidad.","")),"Hay una entrada con error. Corregimos el dato antes de cerrar la comprobación.")</f>
      </c>
      <c r="N12" s="29" t="n">
        <f>IF(COUNTA('DATOS'!B12:O12)&gt;0,1,0)</f>
        <v>0</v>
      </c>
      <c r="O12" s="29">
        <f>IFERROR(IF(N12=0,"",IF(OR(NOT(AND(LEN(TRIM('DATOS'!B12&amp;""))&gt;0,TRIM('DATOS'!B12&amp;"")&lt;&gt;"Pendiente",TRIM('DATOS'!B12&amp;"")&lt;&gt;"Por confirmar",TRIM('DATOS'!B12&amp;"")&lt;&gt;"No consta",TRIM('DATOS'!B12&amp;"")&lt;&gt;"Desconocido",TRIM('DATOS'!B12&amp;"")&lt;&gt;"Sin confirmar",TRIM('DATOS'!B12&amp;"")&lt;&gt;"Por decidir",TRIM('DATOS'!B12&amp;"")&lt;&gt;"Por comprobar")),NOT(AND(LEN(TRIM('DATOS'!C12&amp;""))&gt;0,TRIM('DATOS'!C12&amp;"")&lt;&gt;"Pendiente",TRIM('DATOS'!C12&amp;"")&lt;&gt;"Por confirmar",TRIM('DATOS'!C12&amp;"")&lt;&gt;"No consta",TRIM('DATOS'!C12&amp;"")&lt;&gt;"Desconocido",TRIM('DATOS'!C12&amp;"")&lt;&gt;"Sin confirmar",TRIM('DATOS'!C12&amp;"")&lt;&gt;"Por decidir",TRIM('DATOS'!C12&amp;"")&lt;&gt;"Por comprobar")),NOT(AND(LEN(TRIM('DATOS'!D12&amp;""))&gt;0,TRIM('DATOS'!D12&amp;"")&lt;&gt;"Pendiente",TRIM('DATOS'!D12&amp;"")&lt;&gt;"Por confirmar",TRIM('DATOS'!D12&amp;"")&lt;&gt;"No consta",TRIM('DATOS'!D12&amp;"")&lt;&gt;"Desconocido",TRIM('DATOS'!D12&amp;"")&lt;&gt;"Sin confirmar",TRIM('DATOS'!D12&amp;"")&lt;&gt;"Por decidir",TRIM('DATOS'!D12&amp;"")&lt;&gt;"Por comprobar")),NOT(AND(LEN(TRIM('DATOS'!E12&amp;""))&gt;0,TRIM('DATOS'!E12&amp;"")&lt;&gt;"Pendiente",TRIM('DATOS'!E12&amp;"")&lt;&gt;"Por confirmar",TRIM('DATOS'!E12&amp;"")&lt;&gt;"No consta",TRIM('DATOS'!E12&amp;"")&lt;&gt;"Desconocido",TRIM('DATOS'!E12&amp;"")&lt;&gt;"Sin confirmar",TRIM('DATOS'!E12&amp;"")&lt;&gt;"Por decidir",TRIM('DATOS'!E12&amp;"")&lt;&gt;"Por comprobar")),NOT(AND(LEN(TRIM('DATOS'!F12&amp;""))&gt;0,TRIM('DATOS'!F12&amp;"")&lt;&gt;"Pendiente",TRIM('DATOS'!F12&amp;"")&lt;&gt;"Por confirmar",TRIM('DATOS'!F12&amp;"")&lt;&gt;"No consta",TRIM('DATOS'!F12&amp;"")&lt;&gt;"Desconocido",TRIM('DATOS'!F12&amp;"")&lt;&gt;"Sin confirmar",TRIM('DATOS'!F12&amp;"")&lt;&gt;"Por decidir",TRIM('DATOS'!F12&amp;"")&lt;&gt;"Por comprobar")),NOT(AND(LEN(TRIM('DATOS'!N12&amp;""))&gt;0,TRIM('DATOS'!N12&amp;"")&lt;&gt;"Pendiente",TRIM('DATOS'!N12&amp;"")&lt;&gt;"Por confirmar",TRIM('DATOS'!N12&amp;"")&lt;&gt;"No consta",TRIM('DATOS'!N12&amp;"")&lt;&gt;"Desconocido",TRIM('DATOS'!N12&amp;"")&lt;&gt;"Sin confirmar",TRIM('DATOS'!N12&amp;"")&lt;&gt;"Por decidir",TRIM('DATOS'!N12&amp;"")&lt;&gt;"Por comprobar")),NOT(Y12=1),W12&lt;&gt;1,X12&gt;1,NOT(OR(LEN(TRIM('DATOS'!K12&amp;""))=0,'DATOS'!K12="Sin valorar",'DATOS'!K12="Sin coste documentado",'DATOS'!K12="Incluido en otra partida",'DATOS'!K12="Por confirmar")),NOT(OR(LEN(TRIM('DATOS'!M12&amp;""))=0,'DATOS'!M12="Sí",'DATOS'!M12="No",'DATOS'!M12="Por confirmar")),NOT(OR(LEN(TRIM('DATOS'!O12&amp;""))=0,'DATOS'!O12="Comparamos",'DATOS'!O12="No existe",'DATOS'!O12="Por confirmar"))),2,IF(AND(OR('DATOS'!G12&lt;0,'DATOS'!H12&lt;0,'DATOS'!J12&lt;0),NOT(AND(LEN(TRIM('DATOS'!L12&amp;""))&gt;0,TRIM('DATOS'!L12&amp;"")&lt;&gt;"Pendiente",TRIM('DATOS'!L12&amp;"")&lt;&gt;"Por confirmar",TRIM('DATOS'!L12&amp;"")&lt;&gt;"No consta",TRIM('DATOS'!L12&amp;"")&lt;&gt;"Desconocido",TRIM('DATOS'!L12&amp;"")&lt;&gt;"Sin confirmar",TRIM('DATOS'!L12&amp;"")&lt;&gt;"Por decidir",TRIM('DATOS'!L12&amp;"")&lt;&gt;"Por comprobar"))),1,0))),2)</f>
      </c>
      <c r="P12" s="29">
        <f>IFERROR(IF(N12=0,"",IF(NOT(Y12=1),1,IF('REFERENCIAS'!$Q$8&lt;&gt;1,2,IF(ABS('DATOS'!J12-ROUND('DATOS'!G12*'DATOS'!H12,'REFERENCIAS'!$K$8))&gt;0.00000001,2,IF('DATOS'!O12="No existe",IF(LEN(TRIM('DATOS'!I12&amp;""))=0,0,2),IF('DATOS'!O12="Comparamos",IF(LEN(TRIM('DATOS'!I12&amp;""))=0,1,IF(ISNUMBER('DATOS'!I12),IF(ABS('DATOS'!H12-'DATOS'!I12)&gt;0.00000001,2,0),2)),1)))))),2)</f>
      </c>
      <c r="Q12" s="29">
        <f>IFERROR(IF(N12=0,"",IF(NOT(Y12=1),1,IF('DATOS'!K12="Sin valorar",2,IF('DATOS'!G12=0,1,IF(OR('DATOS'!H12=0,'DATOS'!J12=0),IF(AND(OR('DATOS'!K12="Sin coste documentado",'DATOS'!K12="Incluido en otra partida"),AND(LEN(TRIM('DATOS'!L12&amp;""))&gt;0,TRIM('DATOS'!L12&amp;"")&lt;&gt;"Pendiente",TRIM('DATOS'!L12&amp;"")&lt;&gt;"Por confirmar",TRIM('DATOS'!L12&amp;"")&lt;&gt;"No consta",TRIM('DATOS'!L12&amp;"")&lt;&gt;"Desconocido",TRIM('DATOS'!L12&amp;"")&lt;&gt;"Sin confirmar",TRIM('DATOS'!L12&amp;"")&lt;&gt;"Por decidir",TRIM('DATOS'!L12&amp;"")&lt;&gt;"Por comprobar")),0,1),0))))),2)</f>
      </c>
      <c r="R12" s="29">
        <f>IFERROR(IF(N12=0,"",IF(OR(NOT(AND(LEN(TRIM('DATOS'!D12&amp;""))&gt;0,TRIM('DATOS'!D12&amp;"")&lt;&gt;"Pendiente",TRIM('DATOS'!D12&amp;"")&lt;&gt;"Por confirmar",TRIM('DATOS'!D12&amp;"")&lt;&gt;"No consta",TRIM('DATOS'!D12&amp;"")&lt;&gt;"Desconocido",TRIM('DATOS'!D12&amp;"")&lt;&gt;"Sin confirmar",TRIM('DATOS'!D12&amp;"")&lt;&gt;"Por decidir",TRIM('DATOS'!D12&amp;"")&lt;&gt;"Por comprobar")),NOT(AND(LEN(TRIM('DATOS'!E12&amp;""))&gt;0,TRIM('DATOS'!E12&amp;"")&lt;&gt;"Pendiente",TRIM('DATOS'!E12&amp;"")&lt;&gt;"Por confirmar",TRIM('DATOS'!E12&amp;"")&lt;&gt;"No consta",TRIM('DATOS'!E12&amp;"")&lt;&gt;"Desconocido",TRIM('DATOS'!E12&amp;"")&lt;&gt;"Sin confirmar",TRIM('DATOS'!E12&amp;"")&lt;&gt;"Por decidir",TRIM('DATOS'!E12&amp;"")&lt;&gt;"Por comprobar"))),2,IF('DATOS'!M12="No",2,IF('DATOS'!M12="Sí",0,IF(OR('DATOS'!D12&lt;&gt;'DATOS'!E12,LEN('DATOS'!E12)&gt;300,RIGHT(TRIM('DATOS'!E12),3)="...",RIGHT(TRIM('DATOS'!E12),1)="…"),1,0))))),2)</f>
      </c>
      <c r="S12" s="29">
        <f>IFERROR(IF(N12=0,"",IF('REFERENCIAS'!$Q$8&lt;&gt;1,2,IF(NOT(Y12=1),1,IF(OR(ABS('DATOS'!G12-ROUND('DATOS'!G12,'REFERENCIAS'!$E$8))&gt;0.00000001,ABS('DATOS'!H12-ROUND('DATOS'!H12,'REFERENCIAS'!$H$8))&gt;0.00000001,ABS('DATOS'!J12-ROUND('DATOS'!J12,'REFERENCIAS'!$K$8))&gt;0.00000001,IF(ISNUMBER('DATOS'!I12),ABS('DATOS'!I12-ROUND('DATOS'!I12,'REFERENCIAS'!$H$8))&gt;0.00000001,FALSE)),1,0)))),2)</f>
      </c>
      <c r="T12" s="29">
        <f>IFERROR(IF(N12=0,"",IF(NOT(AND(LEN(TRIM('DATOS'!F12&amp;""))&gt;0,TRIM('DATOS'!F12&amp;"")&lt;&gt;"Pendiente",TRIM('DATOS'!F12&amp;"")&lt;&gt;"Por confirmar",TRIM('DATOS'!F12&amp;"")&lt;&gt;"No consta",TRIM('DATOS'!F12&amp;"")&lt;&gt;"Desconocido",TRIM('DATOS'!F12&amp;"")&lt;&gt;"Sin confirmar",TRIM('DATOS'!F12&amp;"")&lt;&gt;"Por decidir",TRIM('DATOS'!F12&amp;"")&lt;&gt;"Por comprobar")),2,IF(COUNTIFS('REFERENCIAS'!$T$15:$T$34,"ID:"&amp;SUBSTITUTE(SUBSTITUTE(SUBSTITUTE(SUBSTITUTE(UPPER(TRIM('DATOS'!F12&amp;"")),"!","!E"),"*","!A"),"?","!B"),"~","!C"),'REFERENCIAS'!$H$15:$H$34,"&lt;&gt;")&gt;0,0,1))),2)</f>
      </c>
      <c r="U12" s="29" t="str">
        <f>'DATOS'!R12</f>
        <v>ID:</v>
      </c>
      <c r="V12" s="29" t="str">
        <f>'DATOS'!S12</f>
        <v>ID:</v>
      </c>
      <c r="W12" s="29" t="n">
        <f>IF(N12=0,0,COUNTIFS('REFERENCIAS'!$R$15:$R$64,U12))</f>
        <v>0</v>
      </c>
      <c r="X12" s="29" t="n">
        <f>IF(N12=0,0,COUNTIFS('DATOS'!$R$10:$R$509,U12,'DATOS'!$S$10:$S$509,V12))</f>
        <v>0</v>
      </c>
      <c r="Y12" s="29" t="n">
        <f>IF(AND(ISNUMBER('DATOS'!G12),ISNUMBER('DATOS'!H12),ISNUMBER('DATOS'!J12)),1,0)</f>
        <v>0</v>
      </c>
    </row>
    <row r="13" ht="64" customHeight="1">
      <c r="B13" s="26">
        <f>IF(N13=1,4,"")</f>
      </c>
      <c r="C13" s="26">
        <f>IF(AND(N13=1,LEN(TRIM('DATOS'!B13&amp;""))&gt;0),'DATOS'!B13,"")</f>
      </c>
      <c r="D13" s="26">
        <f>IF(AND(N13=1,LEN(TRIM('DATOS'!C13&amp;""))&gt;0),'DATOS'!C13,"")</f>
      </c>
      <c r="E13" s="26">
        <f>IF(NOT(ISNUMBER(P13)),"",IF(P13=2,"ROJO",IF(P13=1,"ÁMBAR","VERDE")))</f>
      </c>
      <c r="F13" s="26">
        <f>IF(NOT(ISNUMBER(Q13)),"",IF(Q13=2,"ROJO",IF(Q13=1,"ÁMBAR","VERDE")))</f>
      </c>
      <c r="G13" s="26">
        <f>IF(NOT(ISNUMBER(R13)),"",IF(R13=2,"ROJO",IF(R13=1,"ÁMBAR","VERDE")))</f>
      </c>
      <c r="H13" s="26">
        <f>IF(NOT(ISNUMBER(S13)),"",IF(S13=2,"ROJO",IF(S13=1,"ÁMBAR","VERDE")))</f>
      </c>
      <c r="I13" s="26">
        <f>IF(NOT(ISNUMBER(T13)),"",IF(T13=2,"ROJO",IF(T13=1,"ÁMBAR","VERDE")))</f>
      </c>
      <c r="J13" s="26">
        <f>IF(NOT(ISNUMBER(O13)),"",IF(O13=2,"ROJO",IF(O13=1,"ÁMBAR","VERDE")))</f>
      </c>
      <c r="K13" s="26">
        <f>IFERROR(IF(AND(N13=1,LEN(TRIM('DATOS'!N13&amp;""))&gt;0),'DATOS'!N13,""),"Hay una entrada con error. Corregimos el dato antes de cerrar la comprobación.")</f>
      </c>
      <c r="L13" s="26">
        <f>IFERROR(IF(N13=0,"",IF(O13&gt;0,"Completamos datos, claves o motivo. ","")&amp;IF(P13&gt;0,"Cotejamos precios e importe. ","")&amp;IF(Q13&gt;0,"Aclaramos el cero. ","")&amp;IF(R13&gt;0,"Comprobamos el texto. ","")&amp;IF(S13&gt;0,"Revisamos decimales visibles. ","")&amp;IF(T13&gt;0,"Confirmamos la unidad.","")),"Hay una entrada con error. Corregimos el dato antes de cerrar la comprobación.")</f>
      </c>
      <c r="N13" s="29" t="n">
        <f>IF(COUNTA('DATOS'!B13:O13)&gt;0,1,0)</f>
        <v>0</v>
      </c>
      <c r="O13" s="29">
        <f>IFERROR(IF(N13=0,"",IF(OR(NOT(AND(LEN(TRIM('DATOS'!B13&amp;""))&gt;0,TRIM('DATOS'!B13&amp;"")&lt;&gt;"Pendiente",TRIM('DATOS'!B13&amp;"")&lt;&gt;"Por confirmar",TRIM('DATOS'!B13&amp;"")&lt;&gt;"No consta",TRIM('DATOS'!B13&amp;"")&lt;&gt;"Desconocido",TRIM('DATOS'!B13&amp;"")&lt;&gt;"Sin confirmar",TRIM('DATOS'!B13&amp;"")&lt;&gt;"Por decidir",TRIM('DATOS'!B13&amp;"")&lt;&gt;"Por comprobar")),NOT(AND(LEN(TRIM('DATOS'!C13&amp;""))&gt;0,TRIM('DATOS'!C13&amp;"")&lt;&gt;"Pendiente",TRIM('DATOS'!C13&amp;"")&lt;&gt;"Por confirmar",TRIM('DATOS'!C13&amp;"")&lt;&gt;"No consta",TRIM('DATOS'!C13&amp;"")&lt;&gt;"Desconocido",TRIM('DATOS'!C13&amp;"")&lt;&gt;"Sin confirmar",TRIM('DATOS'!C13&amp;"")&lt;&gt;"Por decidir",TRIM('DATOS'!C13&amp;"")&lt;&gt;"Por comprobar")),NOT(AND(LEN(TRIM('DATOS'!D13&amp;""))&gt;0,TRIM('DATOS'!D13&amp;"")&lt;&gt;"Pendiente",TRIM('DATOS'!D13&amp;"")&lt;&gt;"Por confirmar",TRIM('DATOS'!D13&amp;"")&lt;&gt;"No consta",TRIM('DATOS'!D13&amp;"")&lt;&gt;"Desconocido",TRIM('DATOS'!D13&amp;"")&lt;&gt;"Sin confirmar",TRIM('DATOS'!D13&amp;"")&lt;&gt;"Por decidir",TRIM('DATOS'!D13&amp;"")&lt;&gt;"Por comprobar")),NOT(AND(LEN(TRIM('DATOS'!E13&amp;""))&gt;0,TRIM('DATOS'!E13&amp;"")&lt;&gt;"Pendiente",TRIM('DATOS'!E13&amp;"")&lt;&gt;"Por confirmar",TRIM('DATOS'!E13&amp;"")&lt;&gt;"No consta",TRIM('DATOS'!E13&amp;"")&lt;&gt;"Desconocido",TRIM('DATOS'!E13&amp;"")&lt;&gt;"Sin confirmar",TRIM('DATOS'!E13&amp;"")&lt;&gt;"Por decidir",TRIM('DATOS'!E13&amp;"")&lt;&gt;"Por comprobar")),NOT(AND(LEN(TRIM('DATOS'!F13&amp;""))&gt;0,TRIM('DATOS'!F13&amp;"")&lt;&gt;"Pendiente",TRIM('DATOS'!F13&amp;"")&lt;&gt;"Por confirmar",TRIM('DATOS'!F13&amp;"")&lt;&gt;"No consta",TRIM('DATOS'!F13&amp;"")&lt;&gt;"Desconocido",TRIM('DATOS'!F13&amp;"")&lt;&gt;"Sin confirmar",TRIM('DATOS'!F13&amp;"")&lt;&gt;"Por decidir",TRIM('DATOS'!F13&amp;"")&lt;&gt;"Por comprobar")),NOT(AND(LEN(TRIM('DATOS'!N13&amp;""))&gt;0,TRIM('DATOS'!N13&amp;"")&lt;&gt;"Pendiente",TRIM('DATOS'!N13&amp;"")&lt;&gt;"Por confirmar",TRIM('DATOS'!N13&amp;"")&lt;&gt;"No consta",TRIM('DATOS'!N13&amp;"")&lt;&gt;"Desconocido",TRIM('DATOS'!N13&amp;"")&lt;&gt;"Sin confirmar",TRIM('DATOS'!N13&amp;"")&lt;&gt;"Por decidir",TRIM('DATOS'!N13&amp;"")&lt;&gt;"Por comprobar")),NOT(Y13=1),W13&lt;&gt;1,X13&gt;1,NOT(OR(LEN(TRIM('DATOS'!K13&amp;""))=0,'DATOS'!K13="Sin valorar",'DATOS'!K13="Sin coste documentado",'DATOS'!K13="Incluido en otra partida",'DATOS'!K13="Por confirmar")),NOT(OR(LEN(TRIM('DATOS'!M13&amp;""))=0,'DATOS'!M13="Sí",'DATOS'!M13="No",'DATOS'!M13="Por confirmar")),NOT(OR(LEN(TRIM('DATOS'!O13&amp;""))=0,'DATOS'!O13="Comparamos",'DATOS'!O13="No existe",'DATOS'!O13="Por confirmar"))),2,IF(AND(OR('DATOS'!G13&lt;0,'DATOS'!H13&lt;0,'DATOS'!J13&lt;0),NOT(AND(LEN(TRIM('DATOS'!L13&amp;""))&gt;0,TRIM('DATOS'!L13&amp;"")&lt;&gt;"Pendiente",TRIM('DATOS'!L13&amp;"")&lt;&gt;"Por confirmar",TRIM('DATOS'!L13&amp;"")&lt;&gt;"No consta",TRIM('DATOS'!L13&amp;"")&lt;&gt;"Desconocido",TRIM('DATOS'!L13&amp;"")&lt;&gt;"Sin confirmar",TRIM('DATOS'!L13&amp;"")&lt;&gt;"Por decidir",TRIM('DATOS'!L13&amp;"")&lt;&gt;"Por comprobar"))),1,0))),2)</f>
      </c>
      <c r="P13" s="29">
        <f>IFERROR(IF(N13=0,"",IF(NOT(Y13=1),1,IF('REFERENCIAS'!$Q$8&lt;&gt;1,2,IF(ABS('DATOS'!J13-ROUND('DATOS'!G13*'DATOS'!H13,'REFERENCIAS'!$K$8))&gt;0.00000001,2,IF('DATOS'!O13="No existe",IF(LEN(TRIM('DATOS'!I13&amp;""))=0,0,2),IF('DATOS'!O13="Comparamos",IF(LEN(TRIM('DATOS'!I13&amp;""))=0,1,IF(ISNUMBER('DATOS'!I13),IF(ABS('DATOS'!H13-'DATOS'!I13)&gt;0.00000001,2,0),2)),1)))))),2)</f>
      </c>
      <c r="Q13" s="29">
        <f>IFERROR(IF(N13=0,"",IF(NOT(Y13=1),1,IF('DATOS'!K13="Sin valorar",2,IF('DATOS'!G13=0,1,IF(OR('DATOS'!H13=0,'DATOS'!J13=0),IF(AND(OR('DATOS'!K13="Sin coste documentado",'DATOS'!K13="Incluido en otra partida"),AND(LEN(TRIM('DATOS'!L13&amp;""))&gt;0,TRIM('DATOS'!L13&amp;"")&lt;&gt;"Pendiente",TRIM('DATOS'!L13&amp;"")&lt;&gt;"Por confirmar",TRIM('DATOS'!L13&amp;"")&lt;&gt;"No consta",TRIM('DATOS'!L13&amp;"")&lt;&gt;"Desconocido",TRIM('DATOS'!L13&amp;"")&lt;&gt;"Sin confirmar",TRIM('DATOS'!L13&amp;"")&lt;&gt;"Por decidir",TRIM('DATOS'!L13&amp;"")&lt;&gt;"Por comprobar")),0,1),0))))),2)</f>
      </c>
      <c r="R13" s="29">
        <f>IFERROR(IF(N13=0,"",IF(OR(NOT(AND(LEN(TRIM('DATOS'!D13&amp;""))&gt;0,TRIM('DATOS'!D13&amp;"")&lt;&gt;"Pendiente",TRIM('DATOS'!D13&amp;"")&lt;&gt;"Por confirmar",TRIM('DATOS'!D13&amp;"")&lt;&gt;"No consta",TRIM('DATOS'!D13&amp;"")&lt;&gt;"Desconocido",TRIM('DATOS'!D13&amp;"")&lt;&gt;"Sin confirmar",TRIM('DATOS'!D13&amp;"")&lt;&gt;"Por decidir",TRIM('DATOS'!D13&amp;"")&lt;&gt;"Por comprobar")),NOT(AND(LEN(TRIM('DATOS'!E13&amp;""))&gt;0,TRIM('DATOS'!E13&amp;"")&lt;&gt;"Pendiente",TRIM('DATOS'!E13&amp;"")&lt;&gt;"Por confirmar",TRIM('DATOS'!E13&amp;"")&lt;&gt;"No consta",TRIM('DATOS'!E13&amp;"")&lt;&gt;"Desconocido",TRIM('DATOS'!E13&amp;"")&lt;&gt;"Sin confirmar",TRIM('DATOS'!E13&amp;"")&lt;&gt;"Por decidir",TRIM('DATOS'!E13&amp;"")&lt;&gt;"Por comprobar"))),2,IF('DATOS'!M13="No",2,IF('DATOS'!M13="Sí",0,IF(OR('DATOS'!D13&lt;&gt;'DATOS'!E13,LEN('DATOS'!E13)&gt;300,RIGHT(TRIM('DATOS'!E13),3)="...",RIGHT(TRIM('DATOS'!E13),1)="…"),1,0))))),2)</f>
      </c>
      <c r="S13" s="29">
        <f>IFERROR(IF(N13=0,"",IF('REFERENCIAS'!$Q$8&lt;&gt;1,2,IF(NOT(Y13=1),1,IF(OR(ABS('DATOS'!G13-ROUND('DATOS'!G13,'REFERENCIAS'!$E$8))&gt;0.00000001,ABS('DATOS'!H13-ROUND('DATOS'!H13,'REFERENCIAS'!$H$8))&gt;0.00000001,ABS('DATOS'!J13-ROUND('DATOS'!J13,'REFERENCIAS'!$K$8))&gt;0.00000001,IF(ISNUMBER('DATOS'!I13),ABS('DATOS'!I13-ROUND('DATOS'!I13,'REFERENCIAS'!$H$8))&gt;0.00000001,FALSE)),1,0)))),2)</f>
      </c>
      <c r="T13" s="29">
        <f>IFERROR(IF(N13=0,"",IF(NOT(AND(LEN(TRIM('DATOS'!F13&amp;""))&gt;0,TRIM('DATOS'!F13&amp;"")&lt;&gt;"Pendiente",TRIM('DATOS'!F13&amp;"")&lt;&gt;"Por confirmar",TRIM('DATOS'!F13&amp;"")&lt;&gt;"No consta",TRIM('DATOS'!F13&amp;"")&lt;&gt;"Desconocido",TRIM('DATOS'!F13&amp;"")&lt;&gt;"Sin confirmar",TRIM('DATOS'!F13&amp;"")&lt;&gt;"Por decidir",TRIM('DATOS'!F13&amp;"")&lt;&gt;"Por comprobar")),2,IF(COUNTIFS('REFERENCIAS'!$T$15:$T$34,"ID:"&amp;SUBSTITUTE(SUBSTITUTE(SUBSTITUTE(SUBSTITUTE(UPPER(TRIM('DATOS'!F13&amp;"")),"!","!E"),"*","!A"),"?","!B"),"~","!C"),'REFERENCIAS'!$H$15:$H$34,"&lt;&gt;")&gt;0,0,1))),2)</f>
      </c>
      <c r="U13" s="29" t="str">
        <f>'DATOS'!R13</f>
        <v>ID:</v>
      </c>
      <c r="V13" s="29" t="str">
        <f>'DATOS'!S13</f>
        <v>ID:</v>
      </c>
      <c r="W13" s="29" t="n">
        <f>IF(N13=0,0,COUNTIFS('REFERENCIAS'!$R$15:$R$64,U13))</f>
        <v>0</v>
      </c>
      <c r="X13" s="29" t="n">
        <f>IF(N13=0,0,COUNTIFS('DATOS'!$R$10:$R$509,U13,'DATOS'!$S$10:$S$509,V13))</f>
        <v>0</v>
      </c>
      <c r="Y13" s="29" t="n">
        <f>IF(AND(ISNUMBER('DATOS'!G13),ISNUMBER('DATOS'!H13),ISNUMBER('DATOS'!J13)),1,0)</f>
        <v>0</v>
      </c>
    </row>
    <row r="14" ht="64" customHeight="1">
      <c r="B14" s="26">
        <f>IF(N14=1,5,"")</f>
      </c>
      <c r="C14" s="26">
        <f>IF(AND(N14=1,LEN(TRIM('DATOS'!B14&amp;""))&gt;0),'DATOS'!B14,"")</f>
      </c>
      <c r="D14" s="26">
        <f>IF(AND(N14=1,LEN(TRIM('DATOS'!C14&amp;""))&gt;0),'DATOS'!C14,"")</f>
      </c>
      <c r="E14" s="26">
        <f>IF(NOT(ISNUMBER(P14)),"",IF(P14=2,"ROJO",IF(P14=1,"ÁMBAR","VERDE")))</f>
      </c>
      <c r="F14" s="26">
        <f>IF(NOT(ISNUMBER(Q14)),"",IF(Q14=2,"ROJO",IF(Q14=1,"ÁMBAR","VERDE")))</f>
      </c>
      <c r="G14" s="26">
        <f>IF(NOT(ISNUMBER(R14)),"",IF(R14=2,"ROJO",IF(R14=1,"ÁMBAR","VERDE")))</f>
      </c>
      <c r="H14" s="26">
        <f>IF(NOT(ISNUMBER(S14)),"",IF(S14=2,"ROJO",IF(S14=1,"ÁMBAR","VERDE")))</f>
      </c>
      <c r="I14" s="26">
        <f>IF(NOT(ISNUMBER(T14)),"",IF(T14=2,"ROJO",IF(T14=1,"ÁMBAR","VERDE")))</f>
      </c>
      <c r="J14" s="26">
        <f>IF(NOT(ISNUMBER(O14)),"",IF(O14=2,"ROJO",IF(O14=1,"ÁMBAR","VERDE")))</f>
      </c>
      <c r="K14" s="26">
        <f>IFERROR(IF(AND(N14=1,LEN(TRIM('DATOS'!N14&amp;""))&gt;0),'DATOS'!N14,""),"Hay una entrada con error. Corregimos el dato antes de cerrar la comprobación.")</f>
      </c>
      <c r="L14" s="26">
        <f>IFERROR(IF(N14=0,"",IF(O14&gt;0,"Completamos datos, claves o motivo. ","")&amp;IF(P14&gt;0,"Cotejamos precios e importe. ","")&amp;IF(Q14&gt;0,"Aclaramos el cero. ","")&amp;IF(R14&gt;0,"Comprobamos el texto. ","")&amp;IF(S14&gt;0,"Revisamos decimales visibles. ","")&amp;IF(T14&gt;0,"Confirmamos la unidad.","")),"Hay una entrada con error. Corregimos el dato antes de cerrar la comprobación.")</f>
      </c>
      <c r="N14" s="29" t="n">
        <f>IF(COUNTA('DATOS'!B14:O14)&gt;0,1,0)</f>
        <v>0</v>
      </c>
      <c r="O14" s="29">
        <f>IFERROR(IF(N14=0,"",IF(OR(NOT(AND(LEN(TRIM('DATOS'!B14&amp;""))&gt;0,TRIM('DATOS'!B14&amp;"")&lt;&gt;"Pendiente",TRIM('DATOS'!B14&amp;"")&lt;&gt;"Por confirmar",TRIM('DATOS'!B14&amp;"")&lt;&gt;"No consta",TRIM('DATOS'!B14&amp;"")&lt;&gt;"Desconocido",TRIM('DATOS'!B14&amp;"")&lt;&gt;"Sin confirmar",TRIM('DATOS'!B14&amp;"")&lt;&gt;"Por decidir",TRIM('DATOS'!B14&amp;"")&lt;&gt;"Por comprobar")),NOT(AND(LEN(TRIM('DATOS'!C14&amp;""))&gt;0,TRIM('DATOS'!C14&amp;"")&lt;&gt;"Pendiente",TRIM('DATOS'!C14&amp;"")&lt;&gt;"Por confirmar",TRIM('DATOS'!C14&amp;"")&lt;&gt;"No consta",TRIM('DATOS'!C14&amp;"")&lt;&gt;"Desconocido",TRIM('DATOS'!C14&amp;"")&lt;&gt;"Sin confirmar",TRIM('DATOS'!C14&amp;"")&lt;&gt;"Por decidir",TRIM('DATOS'!C14&amp;"")&lt;&gt;"Por comprobar")),NOT(AND(LEN(TRIM('DATOS'!D14&amp;""))&gt;0,TRIM('DATOS'!D14&amp;"")&lt;&gt;"Pendiente",TRIM('DATOS'!D14&amp;"")&lt;&gt;"Por confirmar",TRIM('DATOS'!D14&amp;"")&lt;&gt;"No consta",TRIM('DATOS'!D14&amp;"")&lt;&gt;"Desconocido",TRIM('DATOS'!D14&amp;"")&lt;&gt;"Sin confirmar",TRIM('DATOS'!D14&amp;"")&lt;&gt;"Por decidir",TRIM('DATOS'!D14&amp;"")&lt;&gt;"Por comprobar")),NOT(AND(LEN(TRIM('DATOS'!E14&amp;""))&gt;0,TRIM('DATOS'!E14&amp;"")&lt;&gt;"Pendiente",TRIM('DATOS'!E14&amp;"")&lt;&gt;"Por confirmar",TRIM('DATOS'!E14&amp;"")&lt;&gt;"No consta",TRIM('DATOS'!E14&amp;"")&lt;&gt;"Desconocido",TRIM('DATOS'!E14&amp;"")&lt;&gt;"Sin confirmar",TRIM('DATOS'!E14&amp;"")&lt;&gt;"Por decidir",TRIM('DATOS'!E14&amp;"")&lt;&gt;"Por comprobar")),NOT(AND(LEN(TRIM('DATOS'!F14&amp;""))&gt;0,TRIM('DATOS'!F14&amp;"")&lt;&gt;"Pendiente",TRIM('DATOS'!F14&amp;"")&lt;&gt;"Por confirmar",TRIM('DATOS'!F14&amp;"")&lt;&gt;"No consta",TRIM('DATOS'!F14&amp;"")&lt;&gt;"Desconocido",TRIM('DATOS'!F14&amp;"")&lt;&gt;"Sin confirmar",TRIM('DATOS'!F14&amp;"")&lt;&gt;"Por decidir",TRIM('DATOS'!F14&amp;"")&lt;&gt;"Por comprobar")),NOT(AND(LEN(TRIM('DATOS'!N14&amp;""))&gt;0,TRIM('DATOS'!N14&amp;"")&lt;&gt;"Pendiente",TRIM('DATOS'!N14&amp;"")&lt;&gt;"Por confirmar",TRIM('DATOS'!N14&amp;"")&lt;&gt;"No consta",TRIM('DATOS'!N14&amp;"")&lt;&gt;"Desconocido",TRIM('DATOS'!N14&amp;"")&lt;&gt;"Sin confirmar",TRIM('DATOS'!N14&amp;"")&lt;&gt;"Por decidir",TRIM('DATOS'!N14&amp;"")&lt;&gt;"Por comprobar")),NOT(Y14=1),W14&lt;&gt;1,X14&gt;1,NOT(OR(LEN(TRIM('DATOS'!K14&amp;""))=0,'DATOS'!K14="Sin valorar",'DATOS'!K14="Sin coste documentado",'DATOS'!K14="Incluido en otra partida",'DATOS'!K14="Por confirmar")),NOT(OR(LEN(TRIM('DATOS'!M14&amp;""))=0,'DATOS'!M14="Sí",'DATOS'!M14="No",'DATOS'!M14="Por confirmar")),NOT(OR(LEN(TRIM('DATOS'!O14&amp;""))=0,'DATOS'!O14="Comparamos",'DATOS'!O14="No existe",'DATOS'!O14="Por confirmar"))),2,IF(AND(OR('DATOS'!G14&lt;0,'DATOS'!H14&lt;0,'DATOS'!J14&lt;0),NOT(AND(LEN(TRIM('DATOS'!L14&amp;""))&gt;0,TRIM('DATOS'!L14&amp;"")&lt;&gt;"Pendiente",TRIM('DATOS'!L14&amp;"")&lt;&gt;"Por confirmar",TRIM('DATOS'!L14&amp;"")&lt;&gt;"No consta",TRIM('DATOS'!L14&amp;"")&lt;&gt;"Desconocido",TRIM('DATOS'!L14&amp;"")&lt;&gt;"Sin confirmar",TRIM('DATOS'!L14&amp;"")&lt;&gt;"Por decidir",TRIM('DATOS'!L14&amp;"")&lt;&gt;"Por comprobar"))),1,0))),2)</f>
      </c>
      <c r="P14" s="29">
        <f>IFERROR(IF(N14=0,"",IF(NOT(Y14=1),1,IF('REFERENCIAS'!$Q$8&lt;&gt;1,2,IF(ABS('DATOS'!J14-ROUND('DATOS'!G14*'DATOS'!H14,'REFERENCIAS'!$K$8))&gt;0.00000001,2,IF('DATOS'!O14="No existe",IF(LEN(TRIM('DATOS'!I14&amp;""))=0,0,2),IF('DATOS'!O14="Comparamos",IF(LEN(TRIM('DATOS'!I14&amp;""))=0,1,IF(ISNUMBER('DATOS'!I14),IF(ABS('DATOS'!H14-'DATOS'!I14)&gt;0.00000001,2,0),2)),1)))))),2)</f>
      </c>
      <c r="Q14" s="29">
        <f>IFERROR(IF(N14=0,"",IF(NOT(Y14=1),1,IF('DATOS'!K14="Sin valorar",2,IF('DATOS'!G14=0,1,IF(OR('DATOS'!H14=0,'DATOS'!J14=0),IF(AND(OR('DATOS'!K14="Sin coste documentado",'DATOS'!K14="Incluido en otra partida"),AND(LEN(TRIM('DATOS'!L14&amp;""))&gt;0,TRIM('DATOS'!L14&amp;"")&lt;&gt;"Pendiente",TRIM('DATOS'!L14&amp;"")&lt;&gt;"Por confirmar",TRIM('DATOS'!L14&amp;"")&lt;&gt;"No consta",TRIM('DATOS'!L14&amp;"")&lt;&gt;"Desconocido",TRIM('DATOS'!L14&amp;"")&lt;&gt;"Sin confirmar",TRIM('DATOS'!L14&amp;"")&lt;&gt;"Por decidir",TRIM('DATOS'!L14&amp;"")&lt;&gt;"Por comprobar")),0,1),0))))),2)</f>
      </c>
      <c r="R14" s="29">
        <f>IFERROR(IF(N14=0,"",IF(OR(NOT(AND(LEN(TRIM('DATOS'!D14&amp;""))&gt;0,TRIM('DATOS'!D14&amp;"")&lt;&gt;"Pendiente",TRIM('DATOS'!D14&amp;"")&lt;&gt;"Por confirmar",TRIM('DATOS'!D14&amp;"")&lt;&gt;"No consta",TRIM('DATOS'!D14&amp;"")&lt;&gt;"Desconocido",TRIM('DATOS'!D14&amp;"")&lt;&gt;"Sin confirmar",TRIM('DATOS'!D14&amp;"")&lt;&gt;"Por decidir",TRIM('DATOS'!D14&amp;"")&lt;&gt;"Por comprobar")),NOT(AND(LEN(TRIM('DATOS'!E14&amp;""))&gt;0,TRIM('DATOS'!E14&amp;"")&lt;&gt;"Pendiente",TRIM('DATOS'!E14&amp;"")&lt;&gt;"Por confirmar",TRIM('DATOS'!E14&amp;"")&lt;&gt;"No consta",TRIM('DATOS'!E14&amp;"")&lt;&gt;"Desconocido",TRIM('DATOS'!E14&amp;"")&lt;&gt;"Sin confirmar",TRIM('DATOS'!E14&amp;"")&lt;&gt;"Por decidir",TRIM('DATOS'!E14&amp;"")&lt;&gt;"Por comprobar"))),2,IF('DATOS'!M14="No",2,IF('DATOS'!M14="Sí",0,IF(OR('DATOS'!D14&lt;&gt;'DATOS'!E14,LEN('DATOS'!E14)&gt;300,RIGHT(TRIM('DATOS'!E14),3)="...",RIGHT(TRIM('DATOS'!E14),1)="…"),1,0))))),2)</f>
      </c>
      <c r="S14" s="29">
        <f>IFERROR(IF(N14=0,"",IF('REFERENCIAS'!$Q$8&lt;&gt;1,2,IF(NOT(Y14=1),1,IF(OR(ABS('DATOS'!G14-ROUND('DATOS'!G14,'REFERENCIAS'!$E$8))&gt;0.00000001,ABS('DATOS'!H14-ROUND('DATOS'!H14,'REFERENCIAS'!$H$8))&gt;0.00000001,ABS('DATOS'!J14-ROUND('DATOS'!J14,'REFERENCIAS'!$K$8))&gt;0.00000001,IF(ISNUMBER('DATOS'!I14),ABS('DATOS'!I14-ROUND('DATOS'!I14,'REFERENCIAS'!$H$8))&gt;0.00000001,FALSE)),1,0)))),2)</f>
      </c>
      <c r="T14" s="29">
        <f>IFERROR(IF(N14=0,"",IF(NOT(AND(LEN(TRIM('DATOS'!F14&amp;""))&gt;0,TRIM('DATOS'!F14&amp;"")&lt;&gt;"Pendiente",TRIM('DATOS'!F14&amp;"")&lt;&gt;"Por confirmar",TRIM('DATOS'!F14&amp;"")&lt;&gt;"No consta",TRIM('DATOS'!F14&amp;"")&lt;&gt;"Desconocido",TRIM('DATOS'!F14&amp;"")&lt;&gt;"Sin confirmar",TRIM('DATOS'!F14&amp;"")&lt;&gt;"Por decidir",TRIM('DATOS'!F14&amp;"")&lt;&gt;"Por comprobar")),2,IF(COUNTIFS('REFERENCIAS'!$T$15:$T$34,"ID:"&amp;SUBSTITUTE(SUBSTITUTE(SUBSTITUTE(SUBSTITUTE(UPPER(TRIM('DATOS'!F14&amp;"")),"!","!E"),"*","!A"),"?","!B"),"~","!C"),'REFERENCIAS'!$H$15:$H$34,"&lt;&gt;")&gt;0,0,1))),2)</f>
      </c>
      <c r="U14" s="29" t="str">
        <f>'DATOS'!R14</f>
        <v>ID:</v>
      </c>
      <c r="V14" s="29" t="str">
        <f>'DATOS'!S14</f>
        <v>ID:</v>
      </c>
      <c r="W14" s="29" t="n">
        <f>IF(N14=0,0,COUNTIFS('REFERENCIAS'!$R$15:$R$64,U14))</f>
        <v>0</v>
      </c>
      <c r="X14" s="29" t="n">
        <f>IF(N14=0,0,COUNTIFS('DATOS'!$R$10:$R$509,U14,'DATOS'!$S$10:$S$509,V14))</f>
        <v>0</v>
      </c>
      <c r="Y14" s="29" t="n">
        <f>IF(AND(ISNUMBER('DATOS'!G14),ISNUMBER('DATOS'!H14),ISNUMBER('DATOS'!J14)),1,0)</f>
        <v>0</v>
      </c>
    </row>
    <row r="15" ht="64" customHeight="1">
      <c r="B15" s="26">
        <f>IF(N15=1,6,"")</f>
      </c>
      <c r="C15" s="26">
        <f>IF(AND(N15=1,LEN(TRIM('DATOS'!B15&amp;""))&gt;0),'DATOS'!B15,"")</f>
      </c>
      <c r="D15" s="26">
        <f>IF(AND(N15=1,LEN(TRIM('DATOS'!C15&amp;""))&gt;0),'DATOS'!C15,"")</f>
      </c>
      <c r="E15" s="26">
        <f>IF(NOT(ISNUMBER(P15)),"",IF(P15=2,"ROJO",IF(P15=1,"ÁMBAR","VERDE")))</f>
      </c>
      <c r="F15" s="26">
        <f>IF(NOT(ISNUMBER(Q15)),"",IF(Q15=2,"ROJO",IF(Q15=1,"ÁMBAR","VERDE")))</f>
      </c>
      <c r="G15" s="26">
        <f>IF(NOT(ISNUMBER(R15)),"",IF(R15=2,"ROJO",IF(R15=1,"ÁMBAR","VERDE")))</f>
      </c>
      <c r="H15" s="26">
        <f>IF(NOT(ISNUMBER(S15)),"",IF(S15=2,"ROJO",IF(S15=1,"ÁMBAR","VERDE")))</f>
      </c>
      <c r="I15" s="26">
        <f>IF(NOT(ISNUMBER(T15)),"",IF(T15=2,"ROJO",IF(T15=1,"ÁMBAR","VERDE")))</f>
      </c>
      <c r="J15" s="26">
        <f>IF(NOT(ISNUMBER(O15)),"",IF(O15=2,"ROJO",IF(O15=1,"ÁMBAR","VERDE")))</f>
      </c>
      <c r="K15" s="26">
        <f>IFERROR(IF(AND(N15=1,LEN(TRIM('DATOS'!N15&amp;""))&gt;0),'DATOS'!N15,""),"Hay una entrada con error. Corregimos el dato antes de cerrar la comprobación.")</f>
      </c>
      <c r="L15" s="26">
        <f>IFERROR(IF(N15=0,"",IF(O15&gt;0,"Completamos datos, claves o motivo. ","")&amp;IF(P15&gt;0,"Cotejamos precios e importe. ","")&amp;IF(Q15&gt;0,"Aclaramos el cero. ","")&amp;IF(R15&gt;0,"Comprobamos el texto. ","")&amp;IF(S15&gt;0,"Revisamos decimales visibles. ","")&amp;IF(T15&gt;0,"Confirmamos la unidad.","")),"Hay una entrada con error. Corregimos el dato antes de cerrar la comprobación.")</f>
      </c>
      <c r="N15" s="29" t="n">
        <f>IF(COUNTA('DATOS'!B15:O15)&gt;0,1,0)</f>
        <v>0</v>
      </c>
      <c r="O15" s="29">
        <f>IFERROR(IF(N15=0,"",IF(OR(NOT(AND(LEN(TRIM('DATOS'!B15&amp;""))&gt;0,TRIM('DATOS'!B15&amp;"")&lt;&gt;"Pendiente",TRIM('DATOS'!B15&amp;"")&lt;&gt;"Por confirmar",TRIM('DATOS'!B15&amp;"")&lt;&gt;"No consta",TRIM('DATOS'!B15&amp;"")&lt;&gt;"Desconocido",TRIM('DATOS'!B15&amp;"")&lt;&gt;"Sin confirmar",TRIM('DATOS'!B15&amp;"")&lt;&gt;"Por decidir",TRIM('DATOS'!B15&amp;"")&lt;&gt;"Por comprobar")),NOT(AND(LEN(TRIM('DATOS'!C15&amp;""))&gt;0,TRIM('DATOS'!C15&amp;"")&lt;&gt;"Pendiente",TRIM('DATOS'!C15&amp;"")&lt;&gt;"Por confirmar",TRIM('DATOS'!C15&amp;"")&lt;&gt;"No consta",TRIM('DATOS'!C15&amp;"")&lt;&gt;"Desconocido",TRIM('DATOS'!C15&amp;"")&lt;&gt;"Sin confirmar",TRIM('DATOS'!C15&amp;"")&lt;&gt;"Por decidir",TRIM('DATOS'!C15&amp;"")&lt;&gt;"Por comprobar")),NOT(AND(LEN(TRIM('DATOS'!D15&amp;""))&gt;0,TRIM('DATOS'!D15&amp;"")&lt;&gt;"Pendiente",TRIM('DATOS'!D15&amp;"")&lt;&gt;"Por confirmar",TRIM('DATOS'!D15&amp;"")&lt;&gt;"No consta",TRIM('DATOS'!D15&amp;"")&lt;&gt;"Desconocido",TRIM('DATOS'!D15&amp;"")&lt;&gt;"Sin confirmar",TRIM('DATOS'!D15&amp;"")&lt;&gt;"Por decidir",TRIM('DATOS'!D15&amp;"")&lt;&gt;"Por comprobar")),NOT(AND(LEN(TRIM('DATOS'!E15&amp;""))&gt;0,TRIM('DATOS'!E15&amp;"")&lt;&gt;"Pendiente",TRIM('DATOS'!E15&amp;"")&lt;&gt;"Por confirmar",TRIM('DATOS'!E15&amp;"")&lt;&gt;"No consta",TRIM('DATOS'!E15&amp;"")&lt;&gt;"Desconocido",TRIM('DATOS'!E15&amp;"")&lt;&gt;"Sin confirmar",TRIM('DATOS'!E15&amp;"")&lt;&gt;"Por decidir",TRIM('DATOS'!E15&amp;"")&lt;&gt;"Por comprobar")),NOT(AND(LEN(TRIM('DATOS'!F15&amp;""))&gt;0,TRIM('DATOS'!F15&amp;"")&lt;&gt;"Pendiente",TRIM('DATOS'!F15&amp;"")&lt;&gt;"Por confirmar",TRIM('DATOS'!F15&amp;"")&lt;&gt;"No consta",TRIM('DATOS'!F15&amp;"")&lt;&gt;"Desconocido",TRIM('DATOS'!F15&amp;"")&lt;&gt;"Sin confirmar",TRIM('DATOS'!F15&amp;"")&lt;&gt;"Por decidir",TRIM('DATOS'!F15&amp;"")&lt;&gt;"Por comprobar")),NOT(AND(LEN(TRIM('DATOS'!N15&amp;""))&gt;0,TRIM('DATOS'!N15&amp;"")&lt;&gt;"Pendiente",TRIM('DATOS'!N15&amp;"")&lt;&gt;"Por confirmar",TRIM('DATOS'!N15&amp;"")&lt;&gt;"No consta",TRIM('DATOS'!N15&amp;"")&lt;&gt;"Desconocido",TRIM('DATOS'!N15&amp;"")&lt;&gt;"Sin confirmar",TRIM('DATOS'!N15&amp;"")&lt;&gt;"Por decidir",TRIM('DATOS'!N15&amp;"")&lt;&gt;"Por comprobar")),NOT(Y15=1),W15&lt;&gt;1,X15&gt;1,NOT(OR(LEN(TRIM('DATOS'!K15&amp;""))=0,'DATOS'!K15="Sin valorar",'DATOS'!K15="Sin coste documentado",'DATOS'!K15="Incluido en otra partida",'DATOS'!K15="Por confirmar")),NOT(OR(LEN(TRIM('DATOS'!M15&amp;""))=0,'DATOS'!M15="Sí",'DATOS'!M15="No",'DATOS'!M15="Por confirmar")),NOT(OR(LEN(TRIM('DATOS'!O15&amp;""))=0,'DATOS'!O15="Comparamos",'DATOS'!O15="No existe",'DATOS'!O15="Por confirmar"))),2,IF(AND(OR('DATOS'!G15&lt;0,'DATOS'!H15&lt;0,'DATOS'!J15&lt;0),NOT(AND(LEN(TRIM('DATOS'!L15&amp;""))&gt;0,TRIM('DATOS'!L15&amp;"")&lt;&gt;"Pendiente",TRIM('DATOS'!L15&amp;"")&lt;&gt;"Por confirmar",TRIM('DATOS'!L15&amp;"")&lt;&gt;"No consta",TRIM('DATOS'!L15&amp;"")&lt;&gt;"Desconocido",TRIM('DATOS'!L15&amp;"")&lt;&gt;"Sin confirmar",TRIM('DATOS'!L15&amp;"")&lt;&gt;"Por decidir",TRIM('DATOS'!L15&amp;"")&lt;&gt;"Por comprobar"))),1,0))),2)</f>
      </c>
      <c r="P15" s="29">
        <f>IFERROR(IF(N15=0,"",IF(NOT(Y15=1),1,IF('REFERENCIAS'!$Q$8&lt;&gt;1,2,IF(ABS('DATOS'!J15-ROUND('DATOS'!G15*'DATOS'!H15,'REFERENCIAS'!$K$8))&gt;0.00000001,2,IF('DATOS'!O15="No existe",IF(LEN(TRIM('DATOS'!I15&amp;""))=0,0,2),IF('DATOS'!O15="Comparamos",IF(LEN(TRIM('DATOS'!I15&amp;""))=0,1,IF(ISNUMBER('DATOS'!I15),IF(ABS('DATOS'!H15-'DATOS'!I15)&gt;0.00000001,2,0),2)),1)))))),2)</f>
      </c>
      <c r="Q15" s="29">
        <f>IFERROR(IF(N15=0,"",IF(NOT(Y15=1),1,IF('DATOS'!K15="Sin valorar",2,IF('DATOS'!G15=0,1,IF(OR('DATOS'!H15=0,'DATOS'!J15=0),IF(AND(OR('DATOS'!K15="Sin coste documentado",'DATOS'!K15="Incluido en otra partida"),AND(LEN(TRIM('DATOS'!L15&amp;""))&gt;0,TRIM('DATOS'!L15&amp;"")&lt;&gt;"Pendiente",TRIM('DATOS'!L15&amp;"")&lt;&gt;"Por confirmar",TRIM('DATOS'!L15&amp;"")&lt;&gt;"No consta",TRIM('DATOS'!L15&amp;"")&lt;&gt;"Desconocido",TRIM('DATOS'!L15&amp;"")&lt;&gt;"Sin confirmar",TRIM('DATOS'!L15&amp;"")&lt;&gt;"Por decidir",TRIM('DATOS'!L15&amp;"")&lt;&gt;"Por comprobar")),0,1),0))))),2)</f>
      </c>
      <c r="R15" s="29">
        <f>IFERROR(IF(N15=0,"",IF(OR(NOT(AND(LEN(TRIM('DATOS'!D15&amp;""))&gt;0,TRIM('DATOS'!D15&amp;"")&lt;&gt;"Pendiente",TRIM('DATOS'!D15&amp;"")&lt;&gt;"Por confirmar",TRIM('DATOS'!D15&amp;"")&lt;&gt;"No consta",TRIM('DATOS'!D15&amp;"")&lt;&gt;"Desconocido",TRIM('DATOS'!D15&amp;"")&lt;&gt;"Sin confirmar",TRIM('DATOS'!D15&amp;"")&lt;&gt;"Por decidir",TRIM('DATOS'!D15&amp;"")&lt;&gt;"Por comprobar")),NOT(AND(LEN(TRIM('DATOS'!E15&amp;""))&gt;0,TRIM('DATOS'!E15&amp;"")&lt;&gt;"Pendiente",TRIM('DATOS'!E15&amp;"")&lt;&gt;"Por confirmar",TRIM('DATOS'!E15&amp;"")&lt;&gt;"No consta",TRIM('DATOS'!E15&amp;"")&lt;&gt;"Desconocido",TRIM('DATOS'!E15&amp;"")&lt;&gt;"Sin confirmar",TRIM('DATOS'!E15&amp;"")&lt;&gt;"Por decidir",TRIM('DATOS'!E15&amp;"")&lt;&gt;"Por comprobar"))),2,IF('DATOS'!M15="No",2,IF('DATOS'!M15="Sí",0,IF(OR('DATOS'!D15&lt;&gt;'DATOS'!E15,LEN('DATOS'!E15)&gt;300,RIGHT(TRIM('DATOS'!E15),3)="...",RIGHT(TRIM('DATOS'!E15),1)="…"),1,0))))),2)</f>
      </c>
      <c r="S15" s="29">
        <f>IFERROR(IF(N15=0,"",IF('REFERENCIAS'!$Q$8&lt;&gt;1,2,IF(NOT(Y15=1),1,IF(OR(ABS('DATOS'!G15-ROUND('DATOS'!G15,'REFERENCIAS'!$E$8))&gt;0.00000001,ABS('DATOS'!H15-ROUND('DATOS'!H15,'REFERENCIAS'!$H$8))&gt;0.00000001,ABS('DATOS'!J15-ROUND('DATOS'!J15,'REFERENCIAS'!$K$8))&gt;0.00000001,IF(ISNUMBER('DATOS'!I15),ABS('DATOS'!I15-ROUND('DATOS'!I15,'REFERENCIAS'!$H$8))&gt;0.00000001,FALSE)),1,0)))),2)</f>
      </c>
      <c r="T15" s="29">
        <f>IFERROR(IF(N15=0,"",IF(NOT(AND(LEN(TRIM('DATOS'!F15&amp;""))&gt;0,TRIM('DATOS'!F15&amp;"")&lt;&gt;"Pendiente",TRIM('DATOS'!F15&amp;"")&lt;&gt;"Por confirmar",TRIM('DATOS'!F15&amp;"")&lt;&gt;"No consta",TRIM('DATOS'!F15&amp;"")&lt;&gt;"Desconocido",TRIM('DATOS'!F15&amp;"")&lt;&gt;"Sin confirmar",TRIM('DATOS'!F15&amp;"")&lt;&gt;"Por decidir",TRIM('DATOS'!F15&amp;"")&lt;&gt;"Por comprobar")),2,IF(COUNTIFS('REFERENCIAS'!$T$15:$T$34,"ID:"&amp;SUBSTITUTE(SUBSTITUTE(SUBSTITUTE(SUBSTITUTE(UPPER(TRIM('DATOS'!F15&amp;"")),"!","!E"),"*","!A"),"?","!B"),"~","!C"),'REFERENCIAS'!$H$15:$H$34,"&lt;&gt;")&gt;0,0,1))),2)</f>
      </c>
      <c r="U15" s="29" t="str">
        <f>'DATOS'!R15</f>
        <v>ID:</v>
      </c>
      <c r="V15" s="29" t="str">
        <f>'DATOS'!S15</f>
        <v>ID:</v>
      </c>
      <c r="W15" s="29" t="n">
        <f>IF(N15=0,0,COUNTIFS('REFERENCIAS'!$R$15:$R$64,U15))</f>
        <v>0</v>
      </c>
      <c r="X15" s="29" t="n">
        <f>IF(N15=0,0,COUNTIFS('DATOS'!$R$10:$R$509,U15,'DATOS'!$S$10:$S$509,V15))</f>
        <v>0</v>
      </c>
      <c r="Y15" s="29" t="n">
        <f>IF(AND(ISNUMBER('DATOS'!G15),ISNUMBER('DATOS'!H15),ISNUMBER('DATOS'!J15)),1,0)</f>
        <v>0</v>
      </c>
    </row>
    <row r="16" ht="64" customHeight="1">
      <c r="B16" s="26">
        <f>IF(N16=1,7,"")</f>
      </c>
      <c r="C16" s="26">
        <f>IF(AND(N16=1,LEN(TRIM('DATOS'!B16&amp;""))&gt;0),'DATOS'!B16,"")</f>
      </c>
      <c r="D16" s="26">
        <f>IF(AND(N16=1,LEN(TRIM('DATOS'!C16&amp;""))&gt;0),'DATOS'!C16,"")</f>
      </c>
      <c r="E16" s="26">
        <f>IF(NOT(ISNUMBER(P16)),"",IF(P16=2,"ROJO",IF(P16=1,"ÁMBAR","VERDE")))</f>
      </c>
      <c r="F16" s="26">
        <f>IF(NOT(ISNUMBER(Q16)),"",IF(Q16=2,"ROJO",IF(Q16=1,"ÁMBAR","VERDE")))</f>
      </c>
      <c r="G16" s="26">
        <f>IF(NOT(ISNUMBER(R16)),"",IF(R16=2,"ROJO",IF(R16=1,"ÁMBAR","VERDE")))</f>
      </c>
      <c r="H16" s="26">
        <f>IF(NOT(ISNUMBER(S16)),"",IF(S16=2,"ROJO",IF(S16=1,"ÁMBAR","VERDE")))</f>
      </c>
      <c r="I16" s="26">
        <f>IF(NOT(ISNUMBER(T16)),"",IF(T16=2,"ROJO",IF(T16=1,"ÁMBAR","VERDE")))</f>
      </c>
      <c r="J16" s="26">
        <f>IF(NOT(ISNUMBER(O16)),"",IF(O16=2,"ROJO",IF(O16=1,"ÁMBAR","VERDE")))</f>
      </c>
      <c r="K16" s="26">
        <f>IFERROR(IF(AND(N16=1,LEN(TRIM('DATOS'!N16&amp;""))&gt;0),'DATOS'!N16,""),"Hay una entrada con error. Corregimos el dato antes de cerrar la comprobación.")</f>
      </c>
      <c r="L16" s="26">
        <f>IFERROR(IF(N16=0,"",IF(O16&gt;0,"Completamos datos, claves o motivo. ","")&amp;IF(P16&gt;0,"Cotejamos precios e importe. ","")&amp;IF(Q16&gt;0,"Aclaramos el cero. ","")&amp;IF(R16&gt;0,"Comprobamos el texto. ","")&amp;IF(S16&gt;0,"Revisamos decimales visibles. ","")&amp;IF(T16&gt;0,"Confirmamos la unidad.","")),"Hay una entrada con error. Corregimos el dato antes de cerrar la comprobación.")</f>
      </c>
      <c r="N16" s="29" t="n">
        <f>IF(COUNTA('DATOS'!B16:O16)&gt;0,1,0)</f>
        <v>0</v>
      </c>
      <c r="O16" s="29">
        <f>IFERROR(IF(N16=0,"",IF(OR(NOT(AND(LEN(TRIM('DATOS'!B16&amp;""))&gt;0,TRIM('DATOS'!B16&amp;"")&lt;&gt;"Pendiente",TRIM('DATOS'!B16&amp;"")&lt;&gt;"Por confirmar",TRIM('DATOS'!B16&amp;"")&lt;&gt;"No consta",TRIM('DATOS'!B16&amp;"")&lt;&gt;"Desconocido",TRIM('DATOS'!B16&amp;"")&lt;&gt;"Sin confirmar",TRIM('DATOS'!B16&amp;"")&lt;&gt;"Por decidir",TRIM('DATOS'!B16&amp;"")&lt;&gt;"Por comprobar")),NOT(AND(LEN(TRIM('DATOS'!C16&amp;""))&gt;0,TRIM('DATOS'!C16&amp;"")&lt;&gt;"Pendiente",TRIM('DATOS'!C16&amp;"")&lt;&gt;"Por confirmar",TRIM('DATOS'!C16&amp;"")&lt;&gt;"No consta",TRIM('DATOS'!C16&amp;"")&lt;&gt;"Desconocido",TRIM('DATOS'!C16&amp;"")&lt;&gt;"Sin confirmar",TRIM('DATOS'!C16&amp;"")&lt;&gt;"Por decidir",TRIM('DATOS'!C16&amp;"")&lt;&gt;"Por comprobar")),NOT(AND(LEN(TRIM('DATOS'!D16&amp;""))&gt;0,TRIM('DATOS'!D16&amp;"")&lt;&gt;"Pendiente",TRIM('DATOS'!D16&amp;"")&lt;&gt;"Por confirmar",TRIM('DATOS'!D16&amp;"")&lt;&gt;"No consta",TRIM('DATOS'!D16&amp;"")&lt;&gt;"Desconocido",TRIM('DATOS'!D16&amp;"")&lt;&gt;"Sin confirmar",TRIM('DATOS'!D16&amp;"")&lt;&gt;"Por decidir",TRIM('DATOS'!D16&amp;"")&lt;&gt;"Por comprobar")),NOT(AND(LEN(TRIM('DATOS'!E16&amp;""))&gt;0,TRIM('DATOS'!E16&amp;"")&lt;&gt;"Pendiente",TRIM('DATOS'!E16&amp;"")&lt;&gt;"Por confirmar",TRIM('DATOS'!E16&amp;"")&lt;&gt;"No consta",TRIM('DATOS'!E16&amp;"")&lt;&gt;"Desconocido",TRIM('DATOS'!E16&amp;"")&lt;&gt;"Sin confirmar",TRIM('DATOS'!E16&amp;"")&lt;&gt;"Por decidir",TRIM('DATOS'!E16&amp;"")&lt;&gt;"Por comprobar")),NOT(AND(LEN(TRIM('DATOS'!F16&amp;""))&gt;0,TRIM('DATOS'!F16&amp;"")&lt;&gt;"Pendiente",TRIM('DATOS'!F16&amp;"")&lt;&gt;"Por confirmar",TRIM('DATOS'!F16&amp;"")&lt;&gt;"No consta",TRIM('DATOS'!F16&amp;"")&lt;&gt;"Desconocido",TRIM('DATOS'!F16&amp;"")&lt;&gt;"Sin confirmar",TRIM('DATOS'!F16&amp;"")&lt;&gt;"Por decidir",TRIM('DATOS'!F16&amp;"")&lt;&gt;"Por comprobar")),NOT(AND(LEN(TRIM('DATOS'!N16&amp;""))&gt;0,TRIM('DATOS'!N16&amp;"")&lt;&gt;"Pendiente",TRIM('DATOS'!N16&amp;"")&lt;&gt;"Por confirmar",TRIM('DATOS'!N16&amp;"")&lt;&gt;"No consta",TRIM('DATOS'!N16&amp;"")&lt;&gt;"Desconocido",TRIM('DATOS'!N16&amp;"")&lt;&gt;"Sin confirmar",TRIM('DATOS'!N16&amp;"")&lt;&gt;"Por decidir",TRIM('DATOS'!N16&amp;"")&lt;&gt;"Por comprobar")),NOT(Y16=1),W16&lt;&gt;1,X16&gt;1,NOT(OR(LEN(TRIM('DATOS'!K16&amp;""))=0,'DATOS'!K16="Sin valorar",'DATOS'!K16="Sin coste documentado",'DATOS'!K16="Incluido en otra partida",'DATOS'!K16="Por confirmar")),NOT(OR(LEN(TRIM('DATOS'!M16&amp;""))=0,'DATOS'!M16="Sí",'DATOS'!M16="No",'DATOS'!M16="Por confirmar")),NOT(OR(LEN(TRIM('DATOS'!O16&amp;""))=0,'DATOS'!O16="Comparamos",'DATOS'!O16="No existe",'DATOS'!O16="Por confirmar"))),2,IF(AND(OR('DATOS'!G16&lt;0,'DATOS'!H16&lt;0,'DATOS'!J16&lt;0),NOT(AND(LEN(TRIM('DATOS'!L16&amp;""))&gt;0,TRIM('DATOS'!L16&amp;"")&lt;&gt;"Pendiente",TRIM('DATOS'!L16&amp;"")&lt;&gt;"Por confirmar",TRIM('DATOS'!L16&amp;"")&lt;&gt;"No consta",TRIM('DATOS'!L16&amp;"")&lt;&gt;"Desconocido",TRIM('DATOS'!L16&amp;"")&lt;&gt;"Sin confirmar",TRIM('DATOS'!L16&amp;"")&lt;&gt;"Por decidir",TRIM('DATOS'!L16&amp;"")&lt;&gt;"Por comprobar"))),1,0))),2)</f>
      </c>
      <c r="P16" s="29">
        <f>IFERROR(IF(N16=0,"",IF(NOT(Y16=1),1,IF('REFERENCIAS'!$Q$8&lt;&gt;1,2,IF(ABS('DATOS'!J16-ROUND('DATOS'!G16*'DATOS'!H16,'REFERENCIAS'!$K$8))&gt;0.00000001,2,IF('DATOS'!O16="No existe",IF(LEN(TRIM('DATOS'!I16&amp;""))=0,0,2),IF('DATOS'!O16="Comparamos",IF(LEN(TRIM('DATOS'!I16&amp;""))=0,1,IF(ISNUMBER('DATOS'!I16),IF(ABS('DATOS'!H16-'DATOS'!I16)&gt;0.00000001,2,0),2)),1)))))),2)</f>
      </c>
      <c r="Q16" s="29">
        <f>IFERROR(IF(N16=0,"",IF(NOT(Y16=1),1,IF('DATOS'!K16="Sin valorar",2,IF('DATOS'!G16=0,1,IF(OR('DATOS'!H16=0,'DATOS'!J16=0),IF(AND(OR('DATOS'!K16="Sin coste documentado",'DATOS'!K16="Incluido en otra partida"),AND(LEN(TRIM('DATOS'!L16&amp;""))&gt;0,TRIM('DATOS'!L16&amp;"")&lt;&gt;"Pendiente",TRIM('DATOS'!L16&amp;"")&lt;&gt;"Por confirmar",TRIM('DATOS'!L16&amp;"")&lt;&gt;"No consta",TRIM('DATOS'!L16&amp;"")&lt;&gt;"Desconocido",TRIM('DATOS'!L16&amp;"")&lt;&gt;"Sin confirmar",TRIM('DATOS'!L16&amp;"")&lt;&gt;"Por decidir",TRIM('DATOS'!L16&amp;"")&lt;&gt;"Por comprobar")),0,1),0))))),2)</f>
      </c>
      <c r="R16" s="29">
        <f>IFERROR(IF(N16=0,"",IF(OR(NOT(AND(LEN(TRIM('DATOS'!D16&amp;""))&gt;0,TRIM('DATOS'!D16&amp;"")&lt;&gt;"Pendiente",TRIM('DATOS'!D16&amp;"")&lt;&gt;"Por confirmar",TRIM('DATOS'!D16&amp;"")&lt;&gt;"No consta",TRIM('DATOS'!D16&amp;"")&lt;&gt;"Desconocido",TRIM('DATOS'!D16&amp;"")&lt;&gt;"Sin confirmar",TRIM('DATOS'!D16&amp;"")&lt;&gt;"Por decidir",TRIM('DATOS'!D16&amp;"")&lt;&gt;"Por comprobar")),NOT(AND(LEN(TRIM('DATOS'!E16&amp;""))&gt;0,TRIM('DATOS'!E16&amp;"")&lt;&gt;"Pendiente",TRIM('DATOS'!E16&amp;"")&lt;&gt;"Por confirmar",TRIM('DATOS'!E16&amp;"")&lt;&gt;"No consta",TRIM('DATOS'!E16&amp;"")&lt;&gt;"Desconocido",TRIM('DATOS'!E16&amp;"")&lt;&gt;"Sin confirmar",TRIM('DATOS'!E16&amp;"")&lt;&gt;"Por decidir",TRIM('DATOS'!E16&amp;"")&lt;&gt;"Por comprobar"))),2,IF('DATOS'!M16="No",2,IF('DATOS'!M16="Sí",0,IF(OR('DATOS'!D16&lt;&gt;'DATOS'!E16,LEN('DATOS'!E16)&gt;300,RIGHT(TRIM('DATOS'!E16),3)="...",RIGHT(TRIM('DATOS'!E16),1)="…"),1,0))))),2)</f>
      </c>
      <c r="S16" s="29">
        <f>IFERROR(IF(N16=0,"",IF('REFERENCIAS'!$Q$8&lt;&gt;1,2,IF(NOT(Y16=1),1,IF(OR(ABS('DATOS'!G16-ROUND('DATOS'!G16,'REFERENCIAS'!$E$8))&gt;0.00000001,ABS('DATOS'!H16-ROUND('DATOS'!H16,'REFERENCIAS'!$H$8))&gt;0.00000001,ABS('DATOS'!J16-ROUND('DATOS'!J16,'REFERENCIAS'!$K$8))&gt;0.00000001,IF(ISNUMBER('DATOS'!I16),ABS('DATOS'!I16-ROUND('DATOS'!I16,'REFERENCIAS'!$H$8))&gt;0.00000001,FALSE)),1,0)))),2)</f>
      </c>
      <c r="T16" s="29">
        <f>IFERROR(IF(N16=0,"",IF(NOT(AND(LEN(TRIM('DATOS'!F16&amp;""))&gt;0,TRIM('DATOS'!F16&amp;"")&lt;&gt;"Pendiente",TRIM('DATOS'!F16&amp;"")&lt;&gt;"Por confirmar",TRIM('DATOS'!F16&amp;"")&lt;&gt;"No consta",TRIM('DATOS'!F16&amp;"")&lt;&gt;"Desconocido",TRIM('DATOS'!F16&amp;"")&lt;&gt;"Sin confirmar",TRIM('DATOS'!F16&amp;"")&lt;&gt;"Por decidir",TRIM('DATOS'!F16&amp;"")&lt;&gt;"Por comprobar")),2,IF(COUNTIFS('REFERENCIAS'!$T$15:$T$34,"ID:"&amp;SUBSTITUTE(SUBSTITUTE(SUBSTITUTE(SUBSTITUTE(UPPER(TRIM('DATOS'!F16&amp;"")),"!","!E"),"*","!A"),"?","!B"),"~","!C"),'REFERENCIAS'!$H$15:$H$34,"&lt;&gt;")&gt;0,0,1))),2)</f>
      </c>
      <c r="U16" s="29" t="str">
        <f>'DATOS'!R16</f>
        <v>ID:</v>
      </c>
      <c r="V16" s="29" t="str">
        <f>'DATOS'!S16</f>
        <v>ID:</v>
      </c>
      <c r="W16" s="29" t="n">
        <f>IF(N16=0,0,COUNTIFS('REFERENCIAS'!$R$15:$R$64,U16))</f>
        <v>0</v>
      </c>
      <c r="X16" s="29" t="n">
        <f>IF(N16=0,0,COUNTIFS('DATOS'!$R$10:$R$509,U16,'DATOS'!$S$10:$S$509,V16))</f>
        <v>0</v>
      </c>
      <c r="Y16" s="29" t="n">
        <f>IF(AND(ISNUMBER('DATOS'!G16),ISNUMBER('DATOS'!H16),ISNUMBER('DATOS'!J16)),1,0)</f>
        <v>0</v>
      </c>
    </row>
    <row r="17" ht="64" customHeight="1">
      <c r="B17" s="26">
        <f>IF(N17=1,8,"")</f>
      </c>
      <c r="C17" s="26">
        <f>IF(AND(N17=1,LEN(TRIM('DATOS'!B17&amp;""))&gt;0),'DATOS'!B17,"")</f>
      </c>
      <c r="D17" s="26">
        <f>IF(AND(N17=1,LEN(TRIM('DATOS'!C17&amp;""))&gt;0),'DATOS'!C17,"")</f>
      </c>
      <c r="E17" s="26">
        <f>IF(NOT(ISNUMBER(P17)),"",IF(P17=2,"ROJO",IF(P17=1,"ÁMBAR","VERDE")))</f>
      </c>
      <c r="F17" s="26">
        <f>IF(NOT(ISNUMBER(Q17)),"",IF(Q17=2,"ROJO",IF(Q17=1,"ÁMBAR","VERDE")))</f>
      </c>
      <c r="G17" s="26">
        <f>IF(NOT(ISNUMBER(R17)),"",IF(R17=2,"ROJO",IF(R17=1,"ÁMBAR","VERDE")))</f>
      </c>
      <c r="H17" s="26">
        <f>IF(NOT(ISNUMBER(S17)),"",IF(S17=2,"ROJO",IF(S17=1,"ÁMBAR","VERDE")))</f>
      </c>
      <c r="I17" s="26">
        <f>IF(NOT(ISNUMBER(T17)),"",IF(T17=2,"ROJO",IF(T17=1,"ÁMBAR","VERDE")))</f>
      </c>
      <c r="J17" s="26">
        <f>IF(NOT(ISNUMBER(O17)),"",IF(O17=2,"ROJO",IF(O17=1,"ÁMBAR","VERDE")))</f>
      </c>
      <c r="K17" s="26">
        <f>IFERROR(IF(AND(N17=1,LEN(TRIM('DATOS'!N17&amp;""))&gt;0),'DATOS'!N17,""),"Hay una entrada con error. Corregimos el dato antes de cerrar la comprobación.")</f>
      </c>
      <c r="L17" s="26">
        <f>IFERROR(IF(N17=0,"",IF(O17&gt;0,"Completamos datos, claves o motivo. ","")&amp;IF(P17&gt;0,"Cotejamos precios e importe. ","")&amp;IF(Q17&gt;0,"Aclaramos el cero. ","")&amp;IF(R17&gt;0,"Comprobamos el texto. ","")&amp;IF(S17&gt;0,"Revisamos decimales visibles. ","")&amp;IF(T17&gt;0,"Confirmamos la unidad.","")),"Hay una entrada con error. Corregimos el dato antes de cerrar la comprobación.")</f>
      </c>
      <c r="N17" s="29" t="n">
        <f>IF(COUNTA('DATOS'!B17:O17)&gt;0,1,0)</f>
        <v>0</v>
      </c>
      <c r="O17" s="29">
        <f>IFERROR(IF(N17=0,"",IF(OR(NOT(AND(LEN(TRIM('DATOS'!B17&amp;""))&gt;0,TRIM('DATOS'!B17&amp;"")&lt;&gt;"Pendiente",TRIM('DATOS'!B17&amp;"")&lt;&gt;"Por confirmar",TRIM('DATOS'!B17&amp;"")&lt;&gt;"No consta",TRIM('DATOS'!B17&amp;"")&lt;&gt;"Desconocido",TRIM('DATOS'!B17&amp;"")&lt;&gt;"Sin confirmar",TRIM('DATOS'!B17&amp;"")&lt;&gt;"Por decidir",TRIM('DATOS'!B17&amp;"")&lt;&gt;"Por comprobar")),NOT(AND(LEN(TRIM('DATOS'!C17&amp;""))&gt;0,TRIM('DATOS'!C17&amp;"")&lt;&gt;"Pendiente",TRIM('DATOS'!C17&amp;"")&lt;&gt;"Por confirmar",TRIM('DATOS'!C17&amp;"")&lt;&gt;"No consta",TRIM('DATOS'!C17&amp;"")&lt;&gt;"Desconocido",TRIM('DATOS'!C17&amp;"")&lt;&gt;"Sin confirmar",TRIM('DATOS'!C17&amp;"")&lt;&gt;"Por decidir",TRIM('DATOS'!C17&amp;"")&lt;&gt;"Por comprobar")),NOT(AND(LEN(TRIM('DATOS'!D17&amp;""))&gt;0,TRIM('DATOS'!D17&amp;"")&lt;&gt;"Pendiente",TRIM('DATOS'!D17&amp;"")&lt;&gt;"Por confirmar",TRIM('DATOS'!D17&amp;"")&lt;&gt;"No consta",TRIM('DATOS'!D17&amp;"")&lt;&gt;"Desconocido",TRIM('DATOS'!D17&amp;"")&lt;&gt;"Sin confirmar",TRIM('DATOS'!D17&amp;"")&lt;&gt;"Por decidir",TRIM('DATOS'!D17&amp;"")&lt;&gt;"Por comprobar")),NOT(AND(LEN(TRIM('DATOS'!E17&amp;""))&gt;0,TRIM('DATOS'!E17&amp;"")&lt;&gt;"Pendiente",TRIM('DATOS'!E17&amp;"")&lt;&gt;"Por confirmar",TRIM('DATOS'!E17&amp;"")&lt;&gt;"No consta",TRIM('DATOS'!E17&amp;"")&lt;&gt;"Desconocido",TRIM('DATOS'!E17&amp;"")&lt;&gt;"Sin confirmar",TRIM('DATOS'!E17&amp;"")&lt;&gt;"Por decidir",TRIM('DATOS'!E17&amp;"")&lt;&gt;"Por comprobar")),NOT(AND(LEN(TRIM('DATOS'!F17&amp;""))&gt;0,TRIM('DATOS'!F17&amp;"")&lt;&gt;"Pendiente",TRIM('DATOS'!F17&amp;"")&lt;&gt;"Por confirmar",TRIM('DATOS'!F17&amp;"")&lt;&gt;"No consta",TRIM('DATOS'!F17&amp;"")&lt;&gt;"Desconocido",TRIM('DATOS'!F17&amp;"")&lt;&gt;"Sin confirmar",TRIM('DATOS'!F17&amp;"")&lt;&gt;"Por decidir",TRIM('DATOS'!F17&amp;"")&lt;&gt;"Por comprobar")),NOT(AND(LEN(TRIM('DATOS'!N17&amp;""))&gt;0,TRIM('DATOS'!N17&amp;"")&lt;&gt;"Pendiente",TRIM('DATOS'!N17&amp;"")&lt;&gt;"Por confirmar",TRIM('DATOS'!N17&amp;"")&lt;&gt;"No consta",TRIM('DATOS'!N17&amp;"")&lt;&gt;"Desconocido",TRIM('DATOS'!N17&amp;"")&lt;&gt;"Sin confirmar",TRIM('DATOS'!N17&amp;"")&lt;&gt;"Por decidir",TRIM('DATOS'!N17&amp;"")&lt;&gt;"Por comprobar")),NOT(Y17=1),W17&lt;&gt;1,X17&gt;1,NOT(OR(LEN(TRIM('DATOS'!K17&amp;""))=0,'DATOS'!K17="Sin valorar",'DATOS'!K17="Sin coste documentado",'DATOS'!K17="Incluido en otra partida",'DATOS'!K17="Por confirmar")),NOT(OR(LEN(TRIM('DATOS'!M17&amp;""))=0,'DATOS'!M17="Sí",'DATOS'!M17="No",'DATOS'!M17="Por confirmar")),NOT(OR(LEN(TRIM('DATOS'!O17&amp;""))=0,'DATOS'!O17="Comparamos",'DATOS'!O17="No existe",'DATOS'!O17="Por confirmar"))),2,IF(AND(OR('DATOS'!G17&lt;0,'DATOS'!H17&lt;0,'DATOS'!J17&lt;0),NOT(AND(LEN(TRIM('DATOS'!L17&amp;""))&gt;0,TRIM('DATOS'!L17&amp;"")&lt;&gt;"Pendiente",TRIM('DATOS'!L17&amp;"")&lt;&gt;"Por confirmar",TRIM('DATOS'!L17&amp;"")&lt;&gt;"No consta",TRIM('DATOS'!L17&amp;"")&lt;&gt;"Desconocido",TRIM('DATOS'!L17&amp;"")&lt;&gt;"Sin confirmar",TRIM('DATOS'!L17&amp;"")&lt;&gt;"Por decidir",TRIM('DATOS'!L17&amp;"")&lt;&gt;"Por comprobar"))),1,0))),2)</f>
      </c>
      <c r="P17" s="29">
        <f>IFERROR(IF(N17=0,"",IF(NOT(Y17=1),1,IF('REFERENCIAS'!$Q$8&lt;&gt;1,2,IF(ABS('DATOS'!J17-ROUND('DATOS'!G17*'DATOS'!H17,'REFERENCIAS'!$K$8))&gt;0.00000001,2,IF('DATOS'!O17="No existe",IF(LEN(TRIM('DATOS'!I17&amp;""))=0,0,2),IF('DATOS'!O17="Comparamos",IF(LEN(TRIM('DATOS'!I17&amp;""))=0,1,IF(ISNUMBER('DATOS'!I17),IF(ABS('DATOS'!H17-'DATOS'!I17)&gt;0.00000001,2,0),2)),1)))))),2)</f>
      </c>
      <c r="Q17" s="29">
        <f>IFERROR(IF(N17=0,"",IF(NOT(Y17=1),1,IF('DATOS'!K17="Sin valorar",2,IF('DATOS'!G17=0,1,IF(OR('DATOS'!H17=0,'DATOS'!J17=0),IF(AND(OR('DATOS'!K17="Sin coste documentado",'DATOS'!K17="Incluido en otra partida"),AND(LEN(TRIM('DATOS'!L17&amp;""))&gt;0,TRIM('DATOS'!L17&amp;"")&lt;&gt;"Pendiente",TRIM('DATOS'!L17&amp;"")&lt;&gt;"Por confirmar",TRIM('DATOS'!L17&amp;"")&lt;&gt;"No consta",TRIM('DATOS'!L17&amp;"")&lt;&gt;"Desconocido",TRIM('DATOS'!L17&amp;"")&lt;&gt;"Sin confirmar",TRIM('DATOS'!L17&amp;"")&lt;&gt;"Por decidir",TRIM('DATOS'!L17&amp;"")&lt;&gt;"Por comprobar")),0,1),0))))),2)</f>
      </c>
      <c r="R17" s="29">
        <f>IFERROR(IF(N17=0,"",IF(OR(NOT(AND(LEN(TRIM('DATOS'!D17&amp;""))&gt;0,TRIM('DATOS'!D17&amp;"")&lt;&gt;"Pendiente",TRIM('DATOS'!D17&amp;"")&lt;&gt;"Por confirmar",TRIM('DATOS'!D17&amp;"")&lt;&gt;"No consta",TRIM('DATOS'!D17&amp;"")&lt;&gt;"Desconocido",TRIM('DATOS'!D17&amp;"")&lt;&gt;"Sin confirmar",TRIM('DATOS'!D17&amp;"")&lt;&gt;"Por decidir",TRIM('DATOS'!D17&amp;"")&lt;&gt;"Por comprobar")),NOT(AND(LEN(TRIM('DATOS'!E17&amp;""))&gt;0,TRIM('DATOS'!E17&amp;"")&lt;&gt;"Pendiente",TRIM('DATOS'!E17&amp;"")&lt;&gt;"Por confirmar",TRIM('DATOS'!E17&amp;"")&lt;&gt;"No consta",TRIM('DATOS'!E17&amp;"")&lt;&gt;"Desconocido",TRIM('DATOS'!E17&amp;"")&lt;&gt;"Sin confirmar",TRIM('DATOS'!E17&amp;"")&lt;&gt;"Por decidir",TRIM('DATOS'!E17&amp;"")&lt;&gt;"Por comprobar"))),2,IF('DATOS'!M17="No",2,IF('DATOS'!M17="Sí",0,IF(OR('DATOS'!D17&lt;&gt;'DATOS'!E17,LEN('DATOS'!E17)&gt;300,RIGHT(TRIM('DATOS'!E17),3)="...",RIGHT(TRIM('DATOS'!E17),1)="…"),1,0))))),2)</f>
      </c>
      <c r="S17" s="29">
        <f>IFERROR(IF(N17=0,"",IF('REFERENCIAS'!$Q$8&lt;&gt;1,2,IF(NOT(Y17=1),1,IF(OR(ABS('DATOS'!G17-ROUND('DATOS'!G17,'REFERENCIAS'!$E$8))&gt;0.00000001,ABS('DATOS'!H17-ROUND('DATOS'!H17,'REFERENCIAS'!$H$8))&gt;0.00000001,ABS('DATOS'!J17-ROUND('DATOS'!J17,'REFERENCIAS'!$K$8))&gt;0.00000001,IF(ISNUMBER('DATOS'!I17),ABS('DATOS'!I17-ROUND('DATOS'!I17,'REFERENCIAS'!$H$8))&gt;0.00000001,FALSE)),1,0)))),2)</f>
      </c>
      <c r="T17" s="29">
        <f>IFERROR(IF(N17=0,"",IF(NOT(AND(LEN(TRIM('DATOS'!F17&amp;""))&gt;0,TRIM('DATOS'!F17&amp;"")&lt;&gt;"Pendiente",TRIM('DATOS'!F17&amp;"")&lt;&gt;"Por confirmar",TRIM('DATOS'!F17&amp;"")&lt;&gt;"No consta",TRIM('DATOS'!F17&amp;"")&lt;&gt;"Desconocido",TRIM('DATOS'!F17&amp;"")&lt;&gt;"Sin confirmar",TRIM('DATOS'!F17&amp;"")&lt;&gt;"Por decidir",TRIM('DATOS'!F17&amp;"")&lt;&gt;"Por comprobar")),2,IF(COUNTIFS('REFERENCIAS'!$T$15:$T$34,"ID:"&amp;SUBSTITUTE(SUBSTITUTE(SUBSTITUTE(SUBSTITUTE(UPPER(TRIM('DATOS'!F17&amp;"")),"!","!E"),"*","!A"),"?","!B"),"~","!C"),'REFERENCIAS'!$H$15:$H$34,"&lt;&gt;")&gt;0,0,1))),2)</f>
      </c>
      <c r="U17" s="29" t="str">
        <f>'DATOS'!R17</f>
        <v>ID:</v>
      </c>
      <c r="V17" s="29" t="str">
        <f>'DATOS'!S17</f>
        <v>ID:</v>
      </c>
      <c r="W17" s="29" t="n">
        <f>IF(N17=0,0,COUNTIFS('REFERENCIAS'!$R$15:$R$64,U17))</f>
        <v>0</v>
      </c>
      <c r="X17" s="29" t="n">
        <f>IF(N17=0,0,COUNTIFS('DATOS'!$R$10:$R$509,U17,'DATOS'!$S$10:$S$509,V17))</f>
        <v>0</v>
      </c>
      <c r="Y17" s="29" t="n">
        <f>IF(AND(ISNUMBER('DATOS'!G17),ISNUMBER('DATOS'!H17),ISNUMBER('DATOS'!J17)),1,0)</f>
        <v>0</v>
      </c>
    </row>
    <row r="18" ht="64" customHeight="1">
      <c r="B18" s="26">
        <f>IF(N18=1,9,"")</f>
      </c>
      <c r="C18" s="26">
        <f>IF(AND(N18=1,LEN(TRIM('DATOS'!B18&amp;""))&gt;0),'DATOS'!B18,"")</f>
      </c>
      <c r="D18" s="26">
        <f>IF(AND(N18=1,LEN(TRIM('DATOS'!C18&amp;""))&gt;0),'DATOS'!C18,"")</f>
      </c>
      <c r="E18" s="26">
        <f>IF(NOT(ISNUMBER(P18)),"",IF(P18=2,"ROJO",IF(P18=1,"ÁMBAR","VERDE")))</f>
      </c>
      <c r="F18" s="26">
        <f>IF(NOT(ISNUMBER(Q18)),"",IF(Q18=2,"ROJO",IF(Q18=1,"ÁMBAR","VERDE")))</f>
      </c>
      <c r="G18" s="26">
        <f>IF(NOT(ISNUMBER(R18)),"",IF(R18=2,"ROJO",IF(R18=1,"ÁMBAR","VERDE")))</f>
      </c>
      <c r="H18" s="26">
        <f>IF(NOT(ISNUMBER(S18)),"",IF(S18=2,"ROJO",IF(S18=1,"ÁMBAR","VERDE")))</f>
      </c>
      <c r="I18" s="26">
        <f>IF(NOT(ISNUMBER(T18)),"",IF(T18=2,"ROJO",IF(T18=1,"ÁMBAR","VERDE")))</f>
      </c>
      <c r="J18" s="26">
        <f>IF(NOT(ISNUMBER(O18)),"",IF(O18=2,"ROJO",IF(O18=1,"ÁMBAR","VERDE")))</f>
      </c>
      <c r="K18" s="26">
        <f>IFERROR(IF(AND(N18=1,LEN(TRIM('DATOS'!N18&amp;""))&gt;0),'DATOS'!N18,""),"Hay una entrada con error. Corregimos el dato antes de cerrar la comprobación.")</f>
      </c>
      <c r="L18" s="26">
        <f>IFERROR(IF(N18=0,"",IF(O18&gt;0,"Completamos datos, claves o motivo. ","")&amp;IF(P18&gt;0,"Cotejamos precios e importe. ","")&amp;IF(Q18&gt;0,"Aclaramos el cero. ","")&amp;IF(R18&gt;0,"Comprobamos el texto. ","")&amp;IF(S18&gt;0,"Revisamos decimales visibles. ","")&amp;IF(T18&gt;0,"Confirmamos la unidad.","")),"Hay una entrada con error. Corregimos el dato antes de cerrar la comprobación.")</f>
      </c>
      <c r="N18" s="29" t="n">
        <f>IF(COUNTA('DATOS'!B18:O18)&gt;0,1,0)</f>
        <v>0</v>
      </c>
      <c r="O18" s="29">
        <f>IFERROR(IF(N18=0,"",IF(OR(NOT(AND(LEN(TRIM('DATOS'!B18&amp;""))&gt;0,TRIM('DATOS'!B18&amp;"")&lt;&gt;"Pendiente",TRIM('DATOS'!B18&amp;"")&lt;&gt;"Por confirmar",TRIM('DATOS'!B18&amp;"")&lt;&gt;"No consta",TRIM('DATOS'!B18&amp;"")&lt;&gt;"Desconocido",TRIM('DATOS'!B18&amp;"")&lt;&gt;"Sin confirmar",TRIM('DATOS'!B18&amp;"")&lt;&gt;"Por decidir",TRIM('DATOS'!B18&amp;"")&lt;&gt;"Por comprobar")),NOT(AND(LEN(TRIM('DATOS'!C18&amp;""))&gt;0,TRIM('DATOS'!C18&amp;"")&lt;&gt;"Pendiente",TRIM('DATOS'!C18&amp;"")&lt;&gt;"Por confirmar",TRIM('DATOS'!C18&amp;"")&lt;&gt;"No consta",TRIM('DATOS'!C18&amp;"")&lt;&gt;"Desconocido",TRIM('DATOS'!C18&amp;"")&lt;&gt;"Sin confirmar",TRIM('DATOS'!C18&amp;"")&lt;&gt;"Por decidir",TRIM('DATOS'!C18&amp;"")&lt;&gt;"Por comprobar")),NOT(AND(LEN(TRIM('DATOS'!D18&amp;""))&gt;0,TRIM('DATOS'!D18&amp;"")&lt;&gt;"Pendiente",TRIM('DATOS'!D18&amp;"")&lt;&gt;"Por confirmar",TRIM('DATOS'!D18&amp;"")&lt;&gt;"No consta",TRIM('DATOS'!D18&amp;"")&lt;&gt;"Desconocido",TRIM('DATOS'!D18&amp;"")&lt;&gt;"Sin confirmar",TRIM('DATOS'!D18&amp;"")&lt;&gt;"Por decidir",TRIM('DATOS'!D18&amp;"")&lt;&gt;"Por comprobar")),NOT(AND(LEN(TRIM('DATOS'!E18&amp;""))&gt;0,TRIM('DATOS'!E18&amp;"")&lt;&gt;"Pendiente",TRIM('DATOS'!E18&amp;"")&lt;&gt;"Por confirmar",TRIM('DATOS'!E18&amp;"")&lt;&gt;"No consta",TRIM('DATOS'!E18&amp;"")&lt;&gt;"Desconocido",TRIM('DATOS'!E18&amp;"")&lt;&gt;"Sin confirmar",TRIM('DATOS'!E18&amp;"")&lt;&gt;"Por decidir",TRIM('DATOS'!E18&amp;"")&lt;&gt;"Por comprobar")),NOT(AND(LEN(TRIM('DATOS'!F18&amp;""))&gt;0,TRIM('DATOS'!F18&amp;"")&lt;&gt;"Pendiente",TRIM('DATOS'!F18&amp;"")&lt;&gt;"Por confirmar",TRIM('DATOS'!F18&amp;"")&lt;&gt;"No consta",TRIM('DATOS'!F18&amp;"")&lt;&gt;"Desconocido",TRIM('DATOS'!F18&amp;"")&lt;&gt;"Sin confirmar",TRIM('DATOS'!F18&amp;"")&lt;&gt;"Por decidir",TRIM('DATOS'!F18&amp;"")&lt;&gt;"Por comprobar")),NOT(AND(LEN(TRIM('DATOS'!N18&amp;""))&gt;0,TRIM('DATOS'!N18&amp;"")&lt;&gt;"Pendiente",TRIM('DATOS'!N18&amp;"")&lt;&gt;"Por confirmar",TRIM('DATOS'!N18&amp;"")&lt;&gt;"No consta",TRIM('DATOS'!N18&amp;"")&lt;&gt;"Desconocido",TRIM('DATOS'!N18&amp;"")&lt;&gt;"Sin confirmar",TRIM('DATOS'!N18&amp;"")&lt;&gt;"Por decidir",TRIM('DATOS'!N18&amp;"")&lt;&gt;"Por comprobar")),NOT(Y18=1),W18&lt;&gt;1,X18&gt;1,NOT(OR(LEN(TRIM('DATOS'!K18&amp;""))=0,'DATOS'!K18="Sin valorar",'DATOS'!K18="Sin coste documentado",'DATOS'!K18="Incluido en otra partida",'DATOS'!K18="Por confirmar")),NOT(OR(LEN(TRIM('DATOS'!M18&amp;""))=0,'DATOS'!M18="Sí",'DATOS'!M18="No",'DATOS'!M18="Por confirmar")),NOT(OR(LEN(TRIM('DATOS'!O18&amp;""))=0,'DATOS'!O18="Comparamos",'DATOS'!O18="No existe",'DATOS'!O18="Por confirmar"))),2,IF(AND(OR('DATOS'!G18&lt;0,'DATOS'!H18&lt;0,'DATOS'!J18&lt;0),NOT(AND(LEN(TRIM('DATOS'!L18&amp;""))&gt;0,TRIM('DATOS'!L18&amp;"")&lt;&gt;"Pendiente",TRIM('DATOS'!L18&amp;"")&lt;&gt;"Por confirmar",TRIM('DATOS'!L18&amp;"")&lt;&gt;"No consta",TRIM('DATOS'!L18&amp;"")&lt;&gt;"Desconocido",TRIM('DATOS'!L18&amp;"")&lt;&gt;"Sin confirmar",TRIM('DATOS'!L18&amp;"")&lt;&gt;"Por decidir",TRIM('DATOS'!L18&amp;"")&lt;&gt;"Por comprobar"))),1,0))),2)</f>
      </c>
      <c r="P18" s="29">
        <f>IFERROR(IF(N18=0,"",IF(NOT(Y18=1),1,IF('REFERENCIAS'!$Q$8&lt;&gt;1,2,IF(ABS('DATOS'!J18-ROUND('DATOS'!G18*'DATOS'!H18,'REFERENCIAS'!$K$8))&gt;0.00000001,2,IF('DATOS'!O18="No existe",IF(LEN(TRIM('DATOS'!I18&amp;""))=0,0,2),IF('DATOS'!O18="Comparamos",IF(LEN(TRIM('DATOS'!I18&amp;""))=0,1,IF(ISNUMBER('DATOS'!I18),IF(ABS('DATOS'!H18-'DATOS'!I18)&gt;0.00000001,2,0),2)),1)))))),2)</f>
      </c>
      <c r="Q18" s="29">
        <f>IFERROR(IF(N18=0,"",IF(NOT(Y18=1),1,IF('DATOS'!K18="Sin valorar",2,IF('DATOS'!G18=0,1,IF(OR('DATOS'!H18=0,'DATOS'!J18=0),IF(AND(OR('DATOS'!K18="Sin coste documentado",'DATOS'!K18="Incluido en otra partida"),AND(LEN(TRIM('DATOS'!L18&amp;""))&gt;0,TRIM('DATOS'!L18&amp;"")&lt;&gt;"Pendiente",TRIM('DATOS'!L18&amp;"")&lt;&gt;"Por confirmar",TRIM('DATOS'!L18&amp;"")&lt;&gt;"No consta",TRIM('DATOS'!L18&amp;"")&lt;&gt;"Desconocido",TRIM('DATOS'!L18&amp;"")&lt;&gt;"Sin confirmar",TRIM('DATOS'!L18&amp;"")&lt;&gt;"Por decidir",TRIM('DATOS'!L18&amp;"")&lt;&gt;"Por comprobar")),0,1),0))))),2)</f>
      </c>
      <c r="R18" s="29">
        <f>IFERROR(IF(N18=0,"",IF(OR(NOT(AND(LEN(TRIM('DATOS'!D18&amp;""))&gt;0,TRIM('DATOS'!D18&amp;"")&lt;&gt;"Pendiente",TRIM('DATOS'!D18&amp;"")&lt;&gt;"Por confirmar",TRIM('DATOS'!D18&amp;"")&lt;&gt;"No consta",TRIM('DATOS'!D18&amp;"")&lt;&gt;"Desconocido",TRIM('DATOS'!D18&amp;"")&lt;&gt;"Sin confirmar",TRIM('DATOS'!D18&amp;"")&lt;&gt;"Por decidir",TRIM('DATOS'!D18&amp;"")&lt;&gt;"Por comprobar")),NOT(AND(LEN(TRIM('DATOS'!E18&amp;""))&gt;0,TRIM('DATOS'!E18&amp;"")&lt;&gt;"Pendiente",TRIM('DATOS'!E18&amp;"")&lt;&gt;"Por confirmar",TRIM('DATOS'!E18&amp;"")&lt;&gt;"No consta",TRIM('DATOS'!E18&amp;"")&lt;&gt;"Desconocido",TRIM('DATOS'!E18&amp;"")&lt;&gt;"Sin confirmar",TRIM('DATOS'!E18&amp;"")&lt;&gt;"Por decidir",TRIM('DATOS'!E18&amp;"")&lt;&gt;"Por comprobar"))),2,IF('DATOS'!M18="No",2,IF('DATOS'!M18="Sí",0,IF(OR('DATOS'!D18&lt;&gt;'DATOS'!E18,LEN('DATOS'!E18)&gt;300,RIGHT(TRIM('DATOS'!E18),3)="...",RIGHT(TRIM('DATOS'!E18),1)="…"),1,0))))),2)</f>
      </c>
      <c r="S18" s="29">
        <f>IFERROR(IF(N18=0,"",IF('REFERENCIAS'!$Q$8&lt;&gt;1,2,IF(NOT(Y18=1),1,IF(OR(ABS('DATOS'!G18-ROUND('DATOS'!G18,'REFERENCIAS'!$E$8))&gt;0.00000001,ABS('DATOS'!H18-ROUND('DATOS'!H18,'REFERENCIAS'!$H$8))&gt;0.00000001,ABS('DATOS'!J18-ROUND('DATOS'!J18,'REFERENCIAS'!$K$8))&gt;0.00000001,IF(ISNUMBER('DATOS'!I18),ABS('DATOS'!I18-ROUND('DATOS'!I18,'REFERENCIAS'!$H$8))&gt;0.00000001,FALSE)),1,0)))),2)</f>
      </c>
      <c r="T18" s="29">
        <f>IFERROR(IF(N18=0,"",IF(NOT(AND(LEN(TRIM('DATOS'!F18&amp;""))&gt;0,TRIM('DATOS'!F18&amp;"")&lt;&gt;"Pendiente",TRIM('DATOS'!F18&amp;"")&lt;&gt;"Por confirmar",TRIM('DATOS'!F18&amp;"")&lt;&gt;"No consta",TRIM('DATOS'!F18&amp;"")&lt;&gt;"Desconocido",TRIM('DATOS'!F18&amp;"")&lt;&gt;"Sin confirmar",TRIM('DATOS'!F18&amp;"")&lt;&gt;"Por decidir",TRIM('DATOS'!F18&amp;"")&lt;&gt;"Por comprobar")),2,IF(COUNTIFS('REFERENCIAS'!$T$15:$T$34,"ID:"&amp;SUBSTITUTE(SUBSTITUTE(SUBSTITUTE(SUBSTITUTE(UPPER(TRIM('DATOS'!F18&amp;"")),"!","!E"),"*","!A"),"?","!B"),"~","!C"),'REFERENCIAS'!$H$15:$H$34,"&lt;&gt;")&gt;0,0,1))),2)</f>
      </c>
      <c r="U18" s="29" t="str">
        <f>'DATOS'!R18</f>
        <v>ID:</v>
      </c>
      <c r="V18" s="29" t="str">
        <f>'DATOS'!S18</f>
        <v>ID:</v>
      </c>
      <c r="W18" s="29" t="n">
        <f>IF(N18=0,0,COUNTIFS('REFERENCIAS'!$R$15:$R$64,U18))</f>
        <v>0</v>
      </c>
      <c r="X18" s="29" t="n">
        <f>IF(N18=0,0,COUNTIFS('DATOS'!$R$10:$R$509,U18,'DATOS'!$S$10:$S$509,V18))</f>
        <v>0</v>
      </c>
      <c r="Y18" s="29" t="n">
        <f>IF(AND(ISNUMBER('DATOS'!G18),ISNUMBER('DATOS'!H18),ISNUMBER('DATOS'!J18)),1,0)</f>
        <v>0</v>
      </c>
    </row>
    <row r="19" ht="64" customHeight="1">
      <c r="B19" s="26">
        <f>IF(N19=1,10,"")</f>
      </c>
      <c r="C19" s="26">
        <f>IF(AND(N19=1,LEN(TRIM('DATOS'!B19&amp;""))&gt;0),'DATOS'!B19,"")</f>
      </c>
      <c r="D19" s="26">
        <f>IF(AND(N19=1,LEN(TRIM('DATOS'!C19&amp;""))&gt;0),'DATOS'!C19,"")</f>
      </c>
      <c r="E19" s="26">
        <f>IF(NOT(ISNUMBER(P19)),"",IF(P19=2,"ROJO",IF(P19=1,"ÁMBAR","VERDE")))</f>
      </c>
      <c r="F19" s="26">
        <f>IF(NOT(ISNUMBER(Q19)),"",IF(Q19=2,"ROJO",IF(Q19=1,"ÁMBAR","VERDE")))</f>
      </c>
      <c r="G19" s="26">
        <f>IF(NOT(ISNUMBER(R19)),"",IF(R19=2,"ROJO",IF(R19=1,"ÁMBAR","VERDE")))</f>
      </c>
      <c r="H19" s="26">
        <f>IF(NOT(ISNUMBER(S19)),"",IF(S19=2,"ROJO",IF(S19=1,"ÁMBAR","VERDE")))</f>
      </c>
      <c r="I19" s="26">
        <f>IF(NOT(ISNUMBER(T19)),"",IF(T19=2,"ROJO",IF(T19=1,"ÁMBAR","VERDE")))</f>
      </c>
      <c r="J19" s="26">
        <f>IF(NOT(ISNUMBER(O19)),"",IF(O19=2,"ROJO",IF(O19=1,"ÁMBAR","VERDE")))</f>
      </c>
      <c r="K19" s="26">
        <f>IFERROR(IF(AND(N19=1,LEN(TRIM('DATOS'!N19&amp;""))&gt;0),'DATOS'!N19,""),"Hay una entrada con error. Corregimos el dato antes de cerrar la comprobación.")</f>
      </c>
      <c r="L19" s="26">
        <f>IFERROR(IF(N19=0,"",IF(O19&gt;0,"Completamos datos, claves o motivo. ","")&amp;IF(P19&gt;0,"Cotejamos precios e importe. ","")&amp;IF(Q19&gt;0,"Aclaramos el cero. ","")&amp;IF(R19&gt;0,"Comprobamos el texto. ","")&amp;IF(S19&gt;0,"Revisamos decimales visibles. ","")&amp;IF(T19&gt;0,"Confirmamos la unidad.","")),"Hay una entrada con error. Corregimos el dato antes de cerrar la comprobación.")</f>
      </c>
      <c r="N19" s="29" t="n">
        <f>IF(COUNTA('DATOS'!B19:O19)&gt;0,1,0)</f>
        <v>0</v>
      </c>
      <c r="O19" s="29">
        <f>IFERROR(IF(N19=0,"",IF(OR(NOT(AND(LEN(TRIM('DATOS'!B19&amp;""))&gt;0,TRIM('DATOS'!B19&amp;"")&lt;&gt;"Pendiente",TRIM('DATOS'!B19&amp;"")&lt;&gt;"Por confirmar",TRIM('DATOS'!B19&amp;"")&lt;&gt;"No consta",TRIM('DATOS'!B19&amp;"")&lt;&gt;"Desconocido",TRIM('DATOS'!B19&amp;"")&lt;&gt;"Sin confirmar",TRIM('DATOS'!B19&amp;"")&lt;&gt;"Por decidir",TRIM('DATOS'!B19&amp;"")&lt;&gt;"Por comprobar")),NOT(AND(LEN(TRIM('DATOS'!C19&amp;""))&gt;0,TRIM('DATOS'!C19&amp;"")&lt;&gt;"Pendiente",TRIM('DATOS'!C19&amp;"")&lt;&gt;"Por confirmar",TRIM('DATOS'!C19&amp;"")&lt;&gt;"No consta",TRIM('DATOS'!C19&amp;"")&lt;&gt;"Desconocido",TRIM('DATOS'!C19&amp;"")&lt;&gt;"Sin confirmar",TRIM('DATOS'!C19&amp;"")&lt;&gt;"Por decidir",TRIM('DATOS'!C19&amp;"")&lt;&gt;"Por comprobar")),NOT(AND(LEN(TRIM('DATOS'!D19&amp;""))&gt;0,TRIM('DATOS'!D19&amp;"")&lt;&gt;"Pendiente",TRIM('DATOS'!D19&amp;"")&lt;&gt;"Por confirmar",TRIM('DATOS'!D19&amp;"")&lt;&gt;"No consta",TRIM('DATOS'!D19&amp;"")&lt;&gt;"Desconocido",TRIM('DATOS'!D19&amp;"")&lt;&gt;"Sin confirmar",TRIM('DATOS'!D19&amp;"")&lt;&gt;"Por decidir",TRIM('DATOS'!D19&amp;"")&lt;&gt;"Por comprobar")),NOT(AND(LEN(TRIM('DATOS'!E19&amp;""))&gt;0,TRIM('DATOS'!E19&amp;"")&lt;&gt;"Pendiente",TRIM('DATOS'!E19&amp;"")&lt;&gt;"Por confirmar",TRIM('DATOS'!E19&amp;"")&lt;&gt;"No consta",TRIM('DATOS'!E19&amp;"")&lt;&gt;"Desconocido",TRIM('DATOS'!E19&amp;"")&lt;&gt;"Sin confirmar",TRIM('DATOS'!E19&amp;"")&lt;&gt;"Por decidir",TRIM('DATOS'!E19&amp;"")&lt;&gt;"Por comprobar")),NOT(AND(LEN(TRIM('DATOS'!F19&amp;""))&gt;0,TRIM('DATOS'!F19&amp;"")&lt;&gt;"Pendiente",TRIM('DATOS'!F19&amp;"")&lt;&gt;"Por confirmar",TRIM('DATOS'!F19&amp;"")&lt;&gt;"No consta",TRIM('DATOS'!F19&amp;"")&lt;&gt;"Desconocido",TRIM('DATOS'!F19&amp;"")&lt;&gt;"Sin confirmar",TRIM('DATOS'!F19&amp;"")&lt;&gt;"Por decidir",TRIM('DATOS'!F19&amp;"")&lt;&gt;"Por comprobar")),NOT(AND(LEN(TRIM('DATOS'!N19&amp;""))&gt;0,TRIM('DATOS'!N19&amp;"")&lt;&gt;"Pendiente",TRIM('DATOS'!N19&amp;"")&lt;&gt;"Por confirmar",TRIM('DATOS'!N19&amp;"")&lt;&gt;"No consta",TRIM('DATOS'!N19&amp;"")&lt;&gt;"Desconocido",TRIM('DATOS'!N19&amp;"")&lt;&gt;"Sin confirmar",TRIM('DATOS'!N19&amp;"")&lt;&gt;"Por decidir",TRIM('DATOS'!N19&amp;"")&lt;&gt;"Por comprobar")),NOT(Y19=1),W19&lt;&gt;1,X19&gt;1,NOT(OR(LEN(TRIM('DATOS'!K19&amp;""))=0,'DATOS'!K19="Sin valorar",'DATOS'!K19="Sin coste documentado",'DATOS'!K19="Incluido en otra partida",'DATOS'!K19="Por confirmar")),NOT(OR(LEN(TRIM('DATOS'!M19&amp;""))=0,'DATOS'!M19="Sí",'DATOS'!M19="No",'DATOS'!M19="Por confirmar")),NOT(OR(LEN(TRIM('DATOS'!O19&amp;""))=0,'DATOS'!O19="Comparamos",'DATOS'!O19="No existe",'DATOS'!O19="Por confirmar"))),2,IF(AND(OR('DATOS'!G19&lt;0,'DATOS'!H19&lt;0,'DATOS'!J19&lt;0),NOT(AND(LEN(TRIM('DATOS'!L19&amp;""))&gt;0,TRIM('DATOS'!L19&amp;"")&lt;&gt;"Pendiente",TRIM('DATOS'!L19&amp;"")&lt;&gt;"Por confirmar",TRIM('DATOS'!L19&amp;"")&lt;&gt;"No consta",TRIM('DATOS'!L19&amp;"")&lt;&gt;"Desconocido",TRIM('DATOS'!L19&amp;"")&lt;&gt;"Sin confirmar",TRIM('DATOS'!L19&amp;"")&lt;&gt;"Por decidir",TRIM('DATOS'!L19&amp;"")&lt;&gt;"Por comprobar"))),1,0))),2)</f>
      </c>
      <c r="P19" s="29">
        <f>IFERROR(IF(N19=0,"",IF(NOT(Y19=1),1,IF('REFERENCIAS'!$Q$8&lt;&gt;1,2,IF(ABS('DATOS'!J19-ROUND('DATOS'!G19*'DATOS'!H19,'REFERENCIAS'!$K$8))&gt;0.00000001,2,IF('DATOS'!O19="No existe",IF(LEN(TRIM('DATOS'!I19&amp;""))=0,0,2),IF('DATOS'!O19="Comparamos",IF(LEN(TRIM('DATOS'!I19&amp;""))=0,1,IF(ISNUMBER('DATOS'!I19),IF(ABS('DATOS'!H19-'DATOS'!I19)&gt;0.00000001,2,0),2)),1)))))),2)</f>
      </c>
      <c r="Q19" s="29">
        <f>IFERROR(IF(N19=0,"",IF(NOT(Y19=1),1,IF('DATOS'!K19="Sin valorar",2,IF('DATOS'!G19=0,1,IF(OR('DATOS'!H19=0,'DATOS'!J19=0),IF(AND(OR('DATOS'!K19="Sin coste documentado",'DATOS'!K19="Incluido en otra partida"),AND(LEN(TRIM('DATOS'!L19&amp;""))&gt;0,TRIM('DATOS'!L19&amp;"")&lt;&gt;"Pendiente",TRIM('DATOS'!L19&amp;"")&lt;&gt;"Por confirmar",TRIM('DATOS'!L19&amp;"")&lt;&gt;"No consta",TRIM('DATOS'!L19&amp;"")&lt;&gt;"Desconocido",TRIM('DATOS'!L19&amp;"")&lt;&gt;"Sin confirmar",TRIM('DATOS'!L19&amp;"")&lt;&gt;"Por decidir",TRIM('DATOS'!L19&amp;"")&lt;&gt;"Por comprobar")),0,1),0))))),2)</f>
      </c>
      <c r="R19" s="29">
        <f>IFERROR(IF(N19=0,"",IF(OR(NOT(AND(LEN(TRIM('DATOS'!D19&amp;""))&gt;0,TRIM('DATOS'!D19&amp;"")&lt;&gt;"Pendiente",TRIM('DATOS'!D19&amp;"")&lt;&gt;"Por confirmar",TRIM('DATOS'!D19&amp;"")&lt;&gt;"No consta",TRIM('DATOS'!D19&amp;"")&lt;&gt;"Desconocido",TRIM('DATOS'!D19&amp;"")&lt;&gt;"Sin confirmar",TRIM('DATOS'!D19&amp;"")&lt;&gt;"Por decidir",TRIM('DATOS'!D19&amp;"")&lt;&gt;"Por comprobar")),NOT(AND(LEN(TRIM('DATOS'!E19&amp;""))&gt;0,TRIM('DATOS'!E19&amp;"")&lt;&gt;"Pendiente",TRIM('DATOS'!E19&amp;"")&lt;&gt;"Por confirmar",TRIM('DATOS'!E19&amp;"")&lt;&gt;"No consta",TRIM('DATOS'!E19&amp;"")&lt;&gt;"Desconocido",TRIM('DATOS'!E19&amp;"")&lt;&gt;"Sin confirmar",TRIM('DATOS'!E19&amp;"")&lt;&gt;"Por decidir",TRIM('DATOS'!E19&amp;"")&lt;&gt;"Por comprobar"))),2,IF('DATOS'!M19="No",2,IF('DATOS'!M19="Sí",0,IF(OR('DATOS'!D19&lt;&gt;'DATOS'!E19,LEN('DATOS'!E19)&gt;300,RIGHT(TRIM('DATOS'!E19),3)="...",RIGHT(TRIM('DATOS'!E19),1)="…"),1,0))))),2)</f>
      </c>
      <c r="S19" s="29">
        <f>IFERROR(IF(N19=0,"",IF('REFERENCIAS'!$Q$8&lt;&gt;1,2,IF(NOT(Y19=1),1,IF(OR(ABS('DATOS'!G19-ROUND('DATOS'!G19,'REFERENCIAS'!$E$8))&gt;0.00000001,ABS('DATOS'!H19-ROUND('DATOS'!H19,'REFERENCIAS'!$H$8))&gt;0.00000001,ABS('DATOS'!J19-ROUND('DATOS'!J19,'REFERENCIAS'!$K$8))&gt;0.00000001,IF(ISNUMBER('DATOS'!I19),ABS('DATOS'!I19-ROUND('DATOS'!I19,'REFERENCIAS'!$H$8))&gt;0.00000001,FALSE)),1,0)))),2)</f>
      </c>
      <c r="T19" s="29">
        <f>IFERROR(IF(N19=0,"",IF(NOT(AND(LEN(TRIM('DATOS'!F19&amp;""))&gt;0,TRIM('DATOS'!F19&amp;"")&lt;&gt;"Pendiente",TRIM('DATOS'!F19&amp;"")&lt;&gt;"Por confirmar",TRIM('DATOS'!F19&amp;"")&lt;&gt;"No consta",TRIM('DATOS'!F19&amp;"")&lt;&gt;"Desconocido",TRIM('DATOS'!F19&amp;"")&lt;&gt;"Sin confirmar",TRIM('DATOS'!F19&amp;"")&lt;&gt;"Por decidir",TRIM('DATOS'!F19&amp;"")&lt;&gt;"Por comprobar")),2,IF(COUNTIFS('REFERENCIAS'!$T$15:$T$34,"ID:"&amp;SUBSTITUTE(SUBSTITUTE(SUBSTITUTE(SUBSTITUTE(UPPER(TRIM('DATOS'!F19&amp;"")),"!","!E"),"*","!A"),"?","!B"),"~","!C"),'REFERENCIAS'!$H$15:$H$34,"&lt;&gt;")&gt;0,0,1))),2)</f>
      </c>
      <c r="U19" s="29" t="str">
        <f>'DATOS'!R19</f>
        <v>ID:</v>
      </c>
      <c r="V19" s="29" t="str">
        <f>'DATOS'!S19</f>
        <v>ID:</v>
      </c>
      <c r="W19" s="29" t="n">
        <f>IF(N19=0,0,COUNTIFS('REFERENCIAS'!$R$15:$R$64,U19))</f>
        <v>0</v>
      </c>
      <c r="X19" s="29" t="n">
        <f>IF(N19=0,0,COUNTIFS('DATOS'!$R$10:$R$509,U19,'DATOS'!$S$10:$S$509,V19))</f>
        <v>0</v>
      </c>
      <c r="Y19" s="29" t="n">
        <f>IF(AND(ISNUMBER('DATOS'!G19),ISNUMBER('DATOS'!H19),ISNUMBER('DATOS'!J19)),1,0)</f>
        <v>0</v>
      </c>
    </row>
    <row r="20" ht="64" customHeight="1">
      <c r="B20" s="26">
        <f>IF(N20=1,11,"")</f>
      </c>
      <c r="C20" s="26">
        <f>IF(AND(N20=1,LEN(TRIM('DATOS'!B20&amp;""))&gt;0),'DATOS'!B20,"")</f>
      </c>
      <c r="D20" s="26">
        <f>IF(AND(N20=1,LEN(TRIM('DATOS'!C20&amp;""))&gt;0),'DATOS'!C20,"")</f>
      </c>
      <c r="E20" s="26">
        <f>IF(NOT(ISNUMBER(P20)),"",IF(P20=2,"ROJO",IF(P20=1,"ÁMBAR","VERDE")))</f>
      </c>
      <c r="F20" s="26">
        <f>IF(NOT(ISNUMBER(Q20)),"",IF(Q20=2,"ROJO",IF(Q20=1,"ÁMBAR","VERDE")))</f>
      </c>
      <c r="G20" s="26">
        <f>IF(NOT(ISNUMBER(R20)),"",IF(R20=2,"ROJO",IF(R20=1,"ÁMBAR","VERDE")))</f>
      </c>
      <c r="H20" s="26">
        <f>IF(NOT(ISNUMBER(S20)),"",IF(S20=2,"ROJO",IF(S20=1,"ÁMBAR","VERDE")))</f>
      </c>
      <c r="I20" s="26">
        <f>IF(NOT(ISNUMBER(T20)),"",IF(T20=2,"ROJO",IF(T20=1,"ÁMBAR","VERDE")))</f>
      </c>
      <c r="J20" s="26">
        <f>IF(NOT(ISNUMBER(O20)),"",IF(O20=2,"ROJO",IF(O20=1,"ÁMBAR","VERDE")))</f>
      </c>
      <c r="K20" s="26">
        <f>IFERROR(IF(AND(N20=1,LEN(TRIM('DATOS'!N20&amp;""))&gt;0),'DATOS'!N20,""),"Hay una entrada con error. Corregimos el dato antes de cerrar la comprobación.")</f>
      </c>
      <c r="L20" s="26">
        <f>IFERROR(IF(N20=0,"",IF(O20&gt;0,"Completamos datos, claves o motivo. ","")&amp;IF(P20&gt;0,"Cotejamos precios e importe. ","")&amp;IF(Q20&gt;0,"Aclaramos el cero. ","")&amp;IF(R20&gt;0,"Comprobamos el texto. ","")&amp;IF(S20&gt;0,"Revisamos decimales visibles. ","")&amp;IF(T20&gt;0,"Confirmamos la unidad.","")),"Hay una entrada con error. Corregimos el dato antes de cerrar la comprobación.")</f>
      </c>
      <c r="N20" s="29" t="n">
        <f>IF(COUNTA('DATOS'!B20:O20)&gt;0,1,0)</f>
        <v>0</v>
      </c>
      <c r="O20" s="29">
        <f>IFERROR(IF(N20=0,"",IF(OR(NOT(AND(LEN(TRIM('DATOS'!B20&amp;""))&gt;0,TRIM('DATOS'!B20&amp;"")&lt;&gt;"Pendiente",TRIM('DATOS'!B20&amp;"")&lt;&gt;"Por confirmar",TRIM('DATOS'!B20&amp;"")&lt;&gt;"No consta",TRIM('DATOS'!B20&amp;"")&lt;&gt;"Desconocido",TRIM('DATOS'!B20&amp;"")&lt;&gt;"Sin confirmar",TRIM('DATOS'!B20&amp;"")&lt;&gt;"Por decidir",TRIM('DATOS'!B20&amp;"")&lt;&gt;"Por comprobar")),NOT(AND(LEN(TRIM('DATOS'!C20&amp;""))&gt;0,TRIM('DATOS'!C20&amp;"")&lt;&gt;"Pendiente",TRIM('DATOS'!C20&amp;"")&lt;&gt;"Por confirmar",TRIM('DATOS'!C20&amp;"")&lt;&gt;"No consta",TRIM('DATOS'!C20&amp;"")&lt;&gt;"Desconocido",TRIM('DATOS'!C20&amp;"")&lt;&gt;"Sin confirmar",TRIM('DATOS'!C20&amp;"")&lt;&gt;"Por decidir",TRIM('DATOS'!C20&amp;"")&lt;&gt;"Por comprobar")),NOT(AND(LEN(TRIM('DATOS'!D20&amp;""))&gt;0,TRIM('DATOS'!D20&amp;"")&lt;&gt;"Pendiente",TRIM('DATOS'!D20&amp;"")&lt;&gt;"Por confirmar",TRIM('DATOS'!D20&amp;"")&lt;&gt;"No consta",TRIM('DATOS'!D20&amp;"")&lt;&gt;"Desconocido",TRIM('DATOS'!D20&amp;"")&lt;&gt;"Sin confirmar",TRIM('DATOS'!D20&amp;"")&lt;&gt;"Por decidir",TRIM('DATOS'!D20&amp;"")&lt;&gt;"Por comprobar")),NOT(AND(LEN(TRIM('DATOS'!E20&amp;""))&gt;0,TRIM('DATOS'!E20&amp;"")&lt;&gt;"Pendiente",TRIM('DATOS'!E20&amp;"")&lt;&gt;"Por confirmar",TRIM('DATOS'!E20&amp;"")&lt;&gt;"No consta",TRIM('DATOS'!E20&amp;"")&lt;&gt;"Desconocido",TRIM('DATOS'!E20&amp;"")&lt;&gt;"Sin confirmar",TRIM('DATOS'!E20&amp;"")&lt;&gt;"Por decidir",TRIM('DATOS'!E20&amp;"")&lt;&gt;"Por comprobar")),NOT(AND(LEN(TRIM('DATOS'!F20&amp;""))&gt;0,TRIM('DATOS'!F20&amp;"")&lt;&gt;"Pendiente",TRIM('DATOS'!F20&amp;"")&lt;&gt;"Por confirmar",TRIM('DATOS'!F20&amp;"")&lt;&gt;"No consta",TRIM('DATOS'!F20&amp;"")&lt;&gt;"Desconocido",TRIM('DATOS'!F20&amp;"")&lt;&gt;"Sin confirmar",TRIM('DATOS'!F20&amp;"")&lt;&gt;"Por decidir",TRIM('DATOS'!F20&amp;"")&lt;&gt;"Por comprobar")),NOT(AND(LEN(TRIM('DATOS'!N20&amp;""))&gt;0,TRIM('DATOS'!N20&amp;"")&lt;&gt;"Pendiente",TRIM('DATOS'!N20&amp;"")&lt;&gt;"Por confirmar",TRIM('DATOS'!N20&amp;"")&lt;&gt;"No consta",TRIM('DATOS'!N20&amp;"")&lt;&gt;"Desconocido",TRIM('DATOS'!N20&amp;"")&lt;&gt;"Sin confirmar",TRIM('DATOS'!N20&amp;"")&lt;&gt;"Por decidir",TRIM('DATOS'!N20&amp;"")&lt;&gt;"Por comprobar")),NOT(Y20=1),W20&lt;&gt;1,X20&gt;1,NOT(OR(LEN(TRIM('DATOS'!K20&amp;""))=0,'DATOS'!K20="Sin valorar",'DATOS'!K20="Sin coste documentado",'DATOS'!K20="Incluido en otra partida",'DATOS'!K20="Por confirmar")),NOT(OR(LEN(TRIM('DATOS'!M20&amp;""))=0,'DATOS'!M20="Sí",'DATOS'!M20="No",'DATOS'!M20="Por confirmar")),NOT(OR(LEN(TRIM('DATOS'!O20&amp;""))=0,'DATOS'!O20="Comparamos",'DATOS'!O20="No existe",'DATOS'!O20="Por confirmar"))),2,IF(AND(OR('DATOS'!G20&lt;0,'DATOS'!H20&lt;0,'DATOS'!J20&lt;0),NOT(AND(LEN(TRIM('DATOS'!L20&amp;""))&gt;0,TRIM('DATOS'!L20&amp;"")&lt;&gt;"Pendiente",TRIM('DATOS'!L20&amp;"")&lt;&gt;"Por confirmar",TRIM('DATOS'!L20&amp;"")&lt;&gt;"No consta",TRIM('DATOS'!L20&amp;"")&lt;&gt;"Desconocido",TRIM('DATOS'!L20&amp;"")&lt;&gt;"Sin confirmar",TRIM('DATOS'!L20&amp;"")&lt;&gt;"Por decidir",TRIM('DATOS'!L20&amp;"")&lt;&gt;"Por comprobar"))),1,0))),2)</f>
      </c>
      <c r="P20" s="29">
        <f>IFERROR(IF(N20=0,"",IF(NOT(Y20=1),1,IF('REFERENCIAS'!$Q$8&lt;&gt;1,2,IF(ABS('DATOS'!J20-ROUND('DATOS'!G20*'DATOS'!H20,'REFERENCIAS'!$K$8))&gt;0.00000001,2,IF('DATOS'!O20="No existe",IF(LEN(TRIM('DATOS'!I20&amp;""))=0,0,2),IF('DATOS'!O20="Comparamos",IF(LEN(TRIM('DATOS'!I20&amp;""))=0,1,IF(ISNUMBER('DATOS'!I20),IF(ABS('DATOS'!H20-'DATOS'!I20)&gt;0.00000001,2,0),2)),1)))))),2)</f>
      </c>
      <c r="Q20" s="29">
        <f>IFERROR(IF(N20=0,"",IF(NOT(Y20=1),1,IF('DATOS'!K20="Sin valorar",2,IF('DATOS'!G20=0,1,IF(OR('DATOS'!H20=0,'DATOS'!J20=0),IF(AND(OR('DATOS'!K20="Sin coste documentado",'DATOS'!K20="Incluido en otra partida"),AND(LEN(TRIM('DATOS'!L20&amp;""))&gt;0,TRIM('DATOS'!L20&amp;"")&lt;&gt;"Pendiente",TRIM('DATOS'!L20&amp;"")&lt;&gt;"Por confirmar",TRIM('DATOS'!L20&amp;"")&lt;&gt;"No consta",TRIM('DATOS'!L20&amp;"")&lt;&gt;"Desconocido",TRIM('DATOS'!L20&amp;"")&lt;&gt;"Sin confirmar",TRIM('DATOS'!L20&amp;"")&lt;&gt;"Por decidir",TRIM('DATOS'!L20&amp;"")&lt;&gt;"Por comprobar")),0,1),0))))),2)</f>
      </c>
      <c r="R20" s="29">
        <f>IFERROR(IF(N20=0,"",IF(OR(NOT(AND(LEN(TRIM('DATOS'!D20&amp;""))&gt;0,TRIM('DATOS'!D20&amp;"")&lt;&gt;"Pendiente",TRIM('DATOS'!D20&amp;"")&lt;&gt;"Por confirmar",TRIM('DATOS'!D20&amp;"")&lt;&gt;"No consta",TRIM('DATOS'!D20&amp;"")&lt;&gt;"Desconocido",TRIM('DATOS'!D20&amp;"")&lt;&gt;"Sin confirmar",TRIM('DATOS'!D20&amp;"")&lt;&gt;"Por decidir",TRIM('DATOS'!D20&amp;"")&lt;&gt;"Por comprobar")),NOT(AND(LEN(TRIM('DATOS'!E20&amp;""))&gt;0,TRIM('DATOS'!E20&amp;"")&lt;&gt;"Pendiente",TRIM('DATOS'!E20&amp;"")&lt;&gt;"Por confirmar",TRIM('DATOS'!E20&amp;"")&lt;&gt;"No consta",TRIM('DATOS'!E20&amp;"")&lt;&gt;"Desconocido",TRIM('DATOS'!E20&amp;"")&lt;&gt;"Sin confirmar",TRIM('DATOS'!E20&amp;"")&lt;&gt;"Por decidir",TRIM('DATOS'!E20&amp;"")&lt;&gt;"Por comprobar"))),2,IF('DATOS'!M20="No",2,IF('DATOS'!M20="Sí",0,IF(OR('DATOS'!D20&lt;&gt;'DATOS'!E20,LEN('DATOS'!E20)&gt;300,RIGHT(TRIM('DATOS'!E20),3)="...",RIGHT(TRIM('DATOS'!E20),1)="…"),1,0))))),2)</f>
      </c>
      <c r="S20" s="29">
        <f>IFERROR(IF(N20=0,"",IF('REFERENCIAS'!$Q$8&lt;&gt;1,2,IF(NOT(Y20=1),1,IF(OR(ABS('DATOS'!G20-ROUND('DATOS'!G20,'REFERENCIAS'!$E$8))&gt;0.00000001,ABS('DATOS'!H20-ROUND('DATOS'!H20,'REFERENCIAS'!$H$8))&gt;0.00000001,ABS('DATOS'!J20-ROUND('DATOS'!J20,'REFERENCIAS'!$K$8))&gt;0.00000001,IF(ISNUMBER('DATOS'!I20),ABS('DATOS'!I20-ROUND('DATOS'!I20,'REFERENCIAS'!$H$8))&gt;0.00000001,FALSE)),1,0)))),2)</f>
      </c>
      <c r="T20" s="29">
        <f>IFERROR(IF(N20=0,"",IF(NOT(AND(LEN(TRIM('DATOS'!F20&amp;""))&gt;0,TRIM('DATOS'!F20&amp;"")&lt;&gt;"Pendiente",TRIM('DATOS'!F20&amp;"")&lt;&gt;"Por confirmar",TRIM('DATOS'!F20&amp;"")&lt;&gt;"No consta",TRIM('DATOS'!F20&amp;"")&lt;&gt;"Desconocido",TRIM('DATOS'!F20&amp;"")&lt;&gt;"Sin confirmar",TRIM('DATOS'!F20&amp;"")&lt;&gt;"Por decidir",TRIM('DATOS'!F20&amp;"")&lt;&gt;"Por comprobar")),2,IF(COUNTIFS('REFERENCIAS'!$T$15:$T$34,"ID:"&amp;SUBSTITUTE(SUBSTITUTE(SUBSTITUTE(SUBSTITUTE(UPPER(TRIM('DATOS'!F20&amp;"")),"!","!E"),"*","!A"),"?","!B"),"~","!C"),'REFERENCIAS'!$H$15:$H$34,"&lt;&gt;")&gt;0,0,1))),2)</f>
      </c>
      <c r="U20" s="29" t="str">
        <f>'DATOS'!R20</f>
        <v>ID:</v>
      </c>
      <c r="V20" s="29" t="str">
        <f>'DATOS'!S20</f>
        <v>ID:</v>
      </c>
      <c r="W20" s="29" t="n">
        <f>IF(N20=0,0,COUNTIFS('REFERENCIAS'!$R$15:$R$64,U20))</f>
        <v>0</v>
      </c>
      <c r="X20" s="29" t="n">
        <f>IF(N20=0,0,COUNTIFS('DATOS'!$R$10:$R$509,U20,'DATOS'!$S$10:$S$509,V20))</f>
        <v>0</v>
      </c>
      <c r="Y20" s="29" t="n">
        <f>IF(AND(ISNUMBER('DATOS'!G20),ISNUMBER('DATOS'!H20),ISNUMBER('DATOS'!J20)),1,0)</f>
        <v>0</v>
      </c>
    </row>
    <row r="21" ht="64" customHeight="1">
      <c r="B21" s="26">
        <f>IF(N21=1,12,"")</f>
      </c>
      <c r="C21" s="26">
        <f>IF(AND(N21=1,LEN(TRIM('DATOS'!B21&amp;""))&gt;0),'DATOS'!B21,"")</f>
      </c>
      <c r="D21" s="26">
        <f>IF(AND(N21=1,LEN(TRIM('DATOS'!C21&amp;""))&gt;0),'DATOS'!C21,"")</f>
      </c>
      <c r="E21" s="26">
        <f>IF(NOT(ISNUMBER(P21)),"",IF(P21=2,"ROJO",IF(P21=1,"ÁMBAR","VERDE")))</f>
      </c>
      <c r="F21" s="26">
        <f>IF(NOT(ISNUMBER(Q21)),"",IF(Q21=2,"ROJO",IF(Q21=1,"ÁMBAR","VERDE")))</f>
      </c>
      <c r="G21" s="26">
        <f>IF(NOT(ISNUMBER(R21)),"",IF(R21=2,"ROJO",IF(R21=1,"ÁMBAR","VERDE")))</f>
      </c>
      <c r="H21" s="26">
        <f>IF(NOT(ISNUMBER(S21)),"",IF(S21=2,"ROJO",IF(S21=1,"ÁMBAR","VERDE")))</f>
      </c>
      <c r="I21" s="26">
        <f>IF(NOT(ISNUMBER(T21)),"",IF(T21=2,"ROJO",IF(T21=1,"ÁMBAR","VERDE")))</f>
      </c>
      <c r="J21" s="26">
        <f>IF(NOT(ISNUMBER(O21)),"",IF(O21=2,"ROJO",IF(O21=1,"ÁMBAR","VERDE")))</f>
      </c>
      <c r="K21" s="26">
        <f>IFERROR(IF(AND(N21=1,LEN(TRIM('DATOS'!N21&amp;""))&gt;0),'DATOS'!N21,""),"Hay una entrada con error. Corregimos el dato antes de cerrar la comprobación.")</f>
      </c>
      <c r="L21" s="26">
        <f>IFERROR(IF(N21=0,"",IF(O21&gt;0,"Completamos datos, claves o motivo. ","")&amp;IF(P21&gt;0,"Cotejamos precios e importe. ","")&amp;IF(Q21&gt;0,"Aclaramos el cero. ","")&amp;IF(R21&gt;0,"Comprobamos el texto. ","")&amp;IF(S21&gt;0,"Revisamos decimales visibles. ","")&amp;IF(T21&gt;0,"Confirmamos la unidad.","")),"Hay una entrada con error. Corregimos el dato antes de cerrar la comprobación.")</f>
      </c>
      <c r="N21" s="29" t="n">
        <f>IF(COUNTA('DATOS'!B21:O21)&gt;0,1,0)</f>
        <v>0</v>
      </c>
      <c r="O21" s="29">
        <f>IFERROR(IF(N21=0,"",IF(OR(NOT(AND(LEN(TRIM('DATOS'!B21&amp;""))&gt;0,TRIM('DATOS'!B21&amp;"")&lt;&gt;"Pendiente",TRIM('DATOS'!B21&amp;"")&lt;&gt;"Por confirmar",TRIM('DATOS'!B21&amp;"")&lt;&gt;"No consta",TRIM('DATOS'!B21&amp;"")&lt;&gt;"Desconocido",TRIM('DATOS'!B21&amp;"")&lt;&gt;"Sin confirmar",TRIM('DATOS'!B21&amp;"")&lt;&gt;"Por decidir",TRIM('DATOS'!B21&amp;"")&lt;&gt;"Por comprobar")),NOT(AND(LEN(TRIM('DATOS'!C21&amp;""))&gt;0,TRIM('DATOS'!C21&amp;"")&lt;&gt;"Pendiente",TRIM('DATOS'!C21&amp;"")&lt;&gt;"Por confirmar",TRIM('DATOS'!C21&amp;"")&lt;&gt;"No consta",TRIM('DATOS'!C21&amp;"")&lt;&gt;"Desconocido",TRIM('DATOS'!C21&amp;"")&lt;&gt;"Sin confirmar",TRIM('DATOS'!C21&amp;"")&lt;&gt;"Por decidir",TRIM('DATOS'!C21&amp;"")&lt;&gt;"Por comprobar")),NOT(AND(LEN(TRIM('DATOS'!D21&amp;""))&gt;0,TRIM('DATOS'!D21&amp;"")&lt;&gt;"Pendiente",TRIM('DATOS'!D21&amp;"")&lt;&gt;"Por confirmar",TRIM('DATOS'!D21&amp;"")&lt;&gt;"No consta",TRIM('DATOS'!D21&amp;"")&lt;&gt;"Desconocido",TRIM('DATOS'!D21&amp;"")&lt;&gt;"Sin confirmar",TRIM('DATOS'!D21&amp;"")&lt;&gt;"Por decidir",TRIM('DATOS'!D21&amp;"")&lt;&gt;"Por comprobar")),NOT(AND(LEN(TRIM('DATOS'!E21&amp;""))&gt;0,TRIM('DATOS'!E21&amp;"")&lt;&gt;"Pendiente",TRIM('DATOS'!E21&amp;"")&lt;&gt;"Por confirmar",TRIM('DATOS'!E21&amp;"")&lt;&gt;"No consta",TRIM('DATOS'!E21&amp;"")&lt;&gt;"Desconocido",TRIM('DATOS'!E21&amp;"")&lt;&gt;"Sin confirmar",TRIM('DATOS'!E21&amp;"")&lt;&gt;"Por decidir",TRIM('DATOS'!E21&amp;"")&lt;&gt;"Por comprobar")),NOT(AND(LEN(TRIM('DATOS'!F21&amp;""))&gt;0,TRIM('DATOS'!F21&amp;"")&lt;&gt;"Pendiente",TRIM('DATOS'!F21&amp;"")&lt;&gt;"Por confirmar",TRIM('DATOS'!F21&amp;"")&lt;&gt;"No consta",TRIM('DATOS'!F21&amp;"")&lt;&gt;"Desconocido",TRIM('DATOS'!F21&amp;"")&lt;&gt;"Sin confirmar",TRIM('DATOS'!F21&amp;"")&lt;&gt;"Por decidir",TRIM('DATOS'!F21&amp;"")&lt;&gt;"Por comprobar")),NOT(AND(LEN(TRIM('DATOS'!N21&amp;""))&gt;0,TRIM('DATOS'!N21&amp;"")&lt;&gt;"Pendiente",TRIM('DATOS'!N21&amp;"")&lt;&gt;"Por confirmar",TRIM('DATOS'!N21&amp;"")&lt;&gt;"No consta",TRIM('DATOS'!N21&amp;"")&lt;&gt;"Desconocido",TRIM('DATOS'!N21&amp;"")&lt;&gt;"Sin confirmar",TRIM('DATOS'!N21&amp;"")&lt;&gt;"Por decidir",TRIM('DATOS'!N21&amp;"")&lt;&gt;"Por comprobar")),NOT(Y21=1),W21&lt;&gt;1,X21&gt;1,NOT(OR(LEN(TRIM('DATOS'!K21&amp;""))=0,'DATOS'!K21="Sin valorar",'DATOS'!K21="Sin coste documentado",'DATOS'!K21="Incluido en otra partida",'DATOS'!K21="Por confirmar")),NOT(OR(LEN(TRIM('DATOS'!M21&amp;""))=0,'DATOS'!M21="Sí",'DATOS'!M21="No",'DATOS'!M21="Por confirmar")),NOT(OR(LEN(TRIM('DATOS'!O21&amp;""))=0,'DATOS'!O21="Comparamos",'DATOS'!O21="No existe",'DATOS'!O21="Por confirmar"))),2,IF(AND(OR('DATOS'!G21&lt;0,'DATOS'!H21&lt;0,'DATOS'!J21&lt;0),NOT(AND(LEN(TRIM('DATOS'!L21&amp;""))&gt;0,TRIM('DATOS'!L21&amp;"")&lt;&gt;"Pendiente",TRIM('DATOS'!L21&amp;"")&lt;&gt;"Por confirmar",TRIM('DATOS'!L21&amp;"")&lt;&gt;"No consta",TRIM('DATOS'!L21&amp;"")&lt;&gt;"Desconocido",TRIM('DATOS'!L21&amp;"")&lt;&gt;"Sin confirmar",TRIM('DATOS'!L21&amp;"")&lt;&gt;"Por decidir",TRIM('DATOS'!L21&amp;"")&lt;&gt;"Por comprobar"))),1,0))),2)</f>
      </c>
      <c r="P21" s="29">
        <f>IFERROR(IF(N21=0,"",IF(NOT(Y21=1),1,IF('REFERENCIAS'!$Q$8&lt;&gt;1,2,IF(ABS('DATOS'!J21-ROUND('DATOS'!G21*'DATOS'!H21,'REFERENCIAS'!$K$8))&gt;0.00000001,2,IF('DATOS'!O21="No existe",IF(LEN(TRIM('DATOS'!I21&amp;""))=0,0,2),IF('DATOS'!O21="Comparamos",IF(LEN(TRIM('DATOS'!I21&amp;""))=0,1,IF(ISNUMBER('DATOS'!I21),IF(ABS('DATOS'!H21-'DATOS'!I21)&gt;0.00000001,2,0),2)),1)))))),2)</f>
      </c>
      <c r="Q21" s="29">
        <f>IFERROR(IF(N21=0,"",IF(NOT(Y21=1),1,IF('DATOS'!K21="Sin valorar",2,IF('DATOS'!G21=0,1,IF(OR('DATOS'!H21=0,'DATOS'!J21=0),IF(AND(OR('DATOS'!K21="Sin coste documentado",'DATOS'!K21="Incluido en otra partida"),AND(LEN(TRIM('DATOS'!L21&amp;""))&gt;0,TRIM('DATOS'!L21&amp;"")&lt;&gt;"Pendiente",TRIM('DATOS'!L21&amp;"")&lt;&gt;"Por confirmar",TRIM('DATOS'!L21&amp;"")&lt;&gt;"No consta",TRIM('DATOS'!L21&amp;"")&lt;&gt;"Desconocido",TRIM('DATOS'!L21&amp;"")&lt;&gt;"Sin confirmar",TRIM('DATOS'!L21&amp;"")&lt;&gt;"Por decidir",TRIM('DATOS'!L21&amp;"")&lt;&gt;"Por comprobar")),0,1),0))))),2)</f>
      </c>
      <c r="R21" s="29">
        <f>IFERROR(IF(N21=0,"",IF(OR(NOT(AND(LEN(TRIM('DATOS'!D21&amp;""))&gt;0,TRIM('DATOS'!D21&amp;"")&lt;&gt;"Pendiente",TRIM('DATOS'!D21&amp;"")&lt;&gt;"Por confirmar",TRIM('DATOS'!D21&amp;"")&lt;&gt;"No consta",TRIM('DATOS'!D21&amp;"")&lt;&gt;"Desconocido",TRIM('DATOS'!D21&amp;"")&lt;&gt;"Sin confirmar",TRIM('DATOS'!D21&amp;"")&lt;&gt;"Por decidir",TRIM('DATOS'!D21&amp;"")&lt;&gt;"Por comprobar")),NOT(AND(LEN(TRIM('DATOS'!E21&amp;""))&gt;0,TRIM('DATOS'!E21&amp;"")&lt;&gt;"Pendiente",TRIM('DATOS'!E21&amp;"")&lt;&gt;"Por confirmar",TRIM('DATOS'!E21&amp;"")&lt;&gt;"No consta",TRIM('DATOS'!E21&amp;"")&lt;&gt;"Desconocido",TRIM('DATOS'!E21&amp;"")&lt;&gt;"Sin confirmar",TRIM('DATOS'!E21&amp;"")&lt;&gt;"Por decidir",TRIM('DATOS'!E21&amp;"")&lt;&gt;"Por comprobar"))),2,IF('DATOS'!M21="No",2,IF('DATOS'!M21="Sí",0,IF(OR('DATOS'!D21&lt;&gt;'DATOS'!E21,LEN('DATOS'!E21)&gt;300,RIGHT(TRIM('DATOS'!E21),3)="...",RIGHT(TRIM('DATOS'!E21),1)="…"),1,0))))),2)</f>
      </c>
      <c r="S21" s="29">
        <f>IFERROR(IF(N21=0,"",IF('REFERENCIAS'!$Q$8&lt;&gt;1,2,IF(NOT(Y21=1),1,IF(OR(ABS('DATOS'!G21-ROUND('DATOS'!G21,'REFERENCIAS'!$E$8))&gt;0.00000001,ABS('DATOS'!H21-ROUND('DATOS'!H21,'REFERENCIAS'!$H$8))&gt;0.00000001,ABS('DATOS'!J21-ROUND('DATOS'!J21,'REFERENCIAS'!$K$8))&gt;0.00000001,IF(ISNUMBER('DATOS'!I21),ABS('DATOS'!I21-ROUND('DATOS'!I21,'REFERENCIAS'!$H$8))&gt;0.00000001,FALSE)),1,0)))),2)</f>
      </c>
      <c r="T21" s="29">
        <f>IFERROR(IF(N21=0,"",IF(NOT(AND(LEN(TRIM('DATOS'!F21&amp;""))&gt;0,TRIM('DATOS'!F21&amp;"")&lt;&gt;"Pendiente",TRIM('DATOS'!F21&amp;"")&lt;&gt;"Por confirmar",TRIM('DATOS'!F21&amp;"")&lt;&gt;"No consta",TRIM('DATOS'!F21&amp;"")&lt;&gt;"Desconocido",TRIM('DATOS'!F21&amp;"")&lt;&gt;"Sin confirmar",TRIM('DATOS'!F21&amp;"")&lt;&gt;"Por decidir",TRIM('DATOS'!F21&amp;"")&lt;&gt;"Por comprobar")),2,IF(COUNTIFS('REFERENCIAS'!$T$15:$T$34,"ID:"&amp;SUBSTITUTE(SUBSTITUTE(SUBSTITUTE(SUBSTITUTE(UPPER(TRIM('DATOS'!F21&amp;"")),"!","!E"),"*","!A"),"?","!B"),"~","!C"),'REFERENCIAS'!$H$15:$H$34,"&lt;&gt;")&gt;0,0,1))),2)</f>
      </c>
      <c r="U21" s="29" t="str">
        <f>'DATOS'!R21</f>
        <v>ID:</v>
      </c>
      <c r="V21" s="29" t="str">
        <f>'DATOS'!S21</f>
        <v>ID:</v>
      </c>
      <c r="W21" s="29" t="n">
        <f>IF(N21=0,0,COUNTIFS('REFERENCIAS'!$R$15:$R$64,U21))</f>
        <v>0</v>
      </c>
      <c r="X21" s="29" t="n">
        <f>IF(N21=0,0,COUNTIFS('DATOS'!$R$10:$R$509,U21,'DATOS'!$S$10:$S$509,V21))</f>
        <v>0</v>
      </c>
      <c r="Y21" s="29" t="n">
        <f>IF(AND(ISNUMBER('DATOS'!G21),ISNUMBER('DATOS'!H21),ISNUMBER('DATOS'!J21)),1,0)</f>
        <v>0</v>
      </c>
    </row>
    <row r="22" ht="64" customHeight="1">
      <c r="B22" s="26">
        <f>IF(N22=1,13,"")</f>
      </c>
      <c r="C22" s="26">
        <f>IF(AND(N22=1,LEN(TRIM('DATOS'!B22&amp;""))&gt;0),'DATOS'!B22,"")</f>
      </c>
      <c r="D22" s="26">
        <f>IF(AND(N22=1,LEN(TRIM('DATOS'!C22&amp;""))&gt;0),'DATOS'!C22,"")</f>
      </c>
      <c r="E22" s="26">
        <f>IF(NOT(ISNUMBER(P22)),"",IF(P22=2,"ROJO",IF(P22=1,"ÁMBAR","VERDE")))</f>
      </c>
      <c r="F22" s="26">
        <f>IF(NOT(ISNUMBER(Q22)),"",IF(Q22=2,"ROJO",IF(Q22=1,"ÁMBAR","VERDE")))</f>
      </c>
      <c r="G22" s="26">
        <f>IF(NOT(ISNUMBER(R22)),"",IF(R22=2,"ROJO",IF(R22=1,"ÁMBAR","VERDE")))</f>
      </c>
      <c r="H22" s="26">
        <f>IF(NOT(ISNUMBER(S22)),"",IF(S22=2,"ROJO",IF(S22=1,"ÁMBAR","VERDE")))</f>
      </c>
      <c r="I22" s="26">
        <f>IF(NOT(ISNUMBER(T22)),"",IF(T22=2,"ROJO",IF(T22=1,"ÁMBAR","VERDE")))</f>
      </c>
      <c r="J22" s="26">
        <f>IF(NOT(ISNUMBER(O22)),"",IF(O22=2,"ROJO",IF(O22=1,"ÁMBAR","VERDE")))</f>
      </c>
      <c r="K22" s="26">
        <f>IFERROR(IF(AND(N22=1,LEN(TRIM('DATOS'!N22&amp;""))&gt;0),'DATOS'!N22,""),"Hay una entrada con error. Corregimos el dato antes de cerrar la comprobación.")</f>
      </c>
      <c r="L22" s="26">
        <f>IFERROR(IF(N22=0,"",IF(O22&gt;0,"Completamos datos, claves o motivo. ","")&amp;IF(P22&gt;0,"Cotejamos precios e importe. ","")&amp;IF(Q22&gt;0,"Aclaramos el cero. ","")&amp;IF(R22&gt;0,"Comprobamos el texto. ","")&amp;IF(S22&gt;0,"Revisamos decimales visibles. ","")&amp;IF(T22&gt;0,"Confirmamos la unidad.","")),"Hay una entrada con error. Corregimos el dato antes de cerrar la comprobación.")</f>
      </c>
      <c r="N22" s="29" t="n">
        <f>IF(COUNTA('DATOS'!B22:O22)&gt;0,1,0)</f>
        <v>0</v>
      </c>
      <c r="O22" s="29">
        <f>IFERROR(IF(N22=0,"",IF(OR(NOT(AND(LEN(TRIM('DATOS'!B22&amp;""))&gt;0,TRIM('DATOS'!B22&amp;"")&lt;&gt;"Pendiente",TRIM('DATOS'!B22&amp;"")&lt;&gt;"Por confirmar",TRIM('DATOS'!B22&amp;"")&lt;&gt;"No consta",TRIM('DATOS'!B22&amp;"")&lt;&gt;"Desconocido",TRIM('DATOS'!B22&amp;"")&lt;&gt;"Sin confirmar",TRIM('DATOS'!B22&amp;"")&lt;&gt;"Por decidir",TRIM('DATOS'!B22&amp;"")&lt;&gt;"Por comprobar")),NOT(AND(LEN(TRIM('DATOS'!C22&amp;""))&gt;0,TRIM('DATOS'!C22&amp;"")&lt;&gt;"Pendiente",TRIM('DATOS'!C22&amp;"")&lt;&gt;"Por confirmar",TRIM('DATOS'!C22&amp;"")&lt;&gt;"No consta",TRIM('DATOS'!C22&amp;"")&lt;&gt;"Desconocido",TRIM('DATOS'!C22&amp;"")&lt;&gt;"Sin confirmar",TRIM('DATOS'!C22&amp;"")&lt;&gt;"Por decidir",TRIM('DATOS'!C22&amp;"")&lt;&gt;"Por comprobar")),NOT(AND(LEN(TRIM('DATOS'!D22&amp;""))&gt;0,TRIM('DATOS'!D22&amp;"")&lt;&gt;"Pendiente",TRIM('DATOS'!D22&amp;"")&lt;&gt;"Por confirmar",TRIM('DATOS'!D22&amp;"")&lt;&gt;"No consta",TRIM('DATOS'!D22&amp;"")&lt;&gt;"Desconocido",TRIM('DATOS'!D22&amp;"")&lt;&gt;"Sin confirmar",TRIM('DATOS'!D22&amp;"")&lt;&gt;"Por decidir",TRIM('DATOS'!D22&amp;"")&lt;&gt;"Por comprobar")),NOT(AND(LEN(TRIM('DATOS'!E22&amp;""))&gt;0,TRIM('DATOS'!E22&amp;"")&lt;&gt;"Pendiente",TRIM('DATOS'!E22&amp;"")&lt;&gt;"Por confirmar",TRIM('DATOS'!E22&amp;"")&lt;&gt;"No consta",TRIM('DATOS'!E22&amp;"")&lt;&gt;"Desconocido",TRIM('DATOS'!E22&amp;"")&lt;&gt;"Sin confirmar",TRIM('DATOS'!E22&amp;"")&lt;&gt;"Por decidir",TRIM('DATOS'!E22&amp;"")&lt;&gt;"Por comprobar")),NOT(AND(LEN(TRIM('DATOS'!F22&amp;""))&gt;0,TRIM('DATOS'!F22&amp;"")&lt;&gt;"Pendiente",TRIM('DATOS'!F22&amp;"")&lt;&gt;"Por confirmar",TRIM('DATOS'!F22&amp;"")&lt;&gt;"No consta",TRIM('DATOS'!F22&amp;"")&lt;&gt;"Desconocido",TRIM('DATOS'!F22&amp;"")&lt;&gt;"Sin confirmar",TRIM('DATOS'!F22&amp;"")&lt;&gt;"Por decidir",TRIM('DATOS'!F22&amp;"")&lt;&gt;"Por comprobar")),NOT(AND(LEN(TRIM('DATOS'!N22&amp;""))&gt;0,TRIM('DATOS'!N22&amp;"")&lt;&gt;"Pendiente",TRIM('DATOS'!N22&amp;"")&lt;&gt;"Por confirmar",TRIM('DATOS'!N22&amp;"")&lt;&gt;"No consta",TRIM('DATOS'!N22&amp;"")&lt;&gt;"Desconocido",TRIM('DATOS'!N22&amp;"")&lt;&gt;"Sin confirmar",TRIM('DATOS'!N22&amp;"")&lt;&gt;"Por decidir",TRIM('DATOS'!N22&amp;"")&lt;&gt;"Por comprobar")),NOT(Y22=1),W22&lt;&gt;1,X22&gt;1,NOT(OR(LEN(TRIM('DATOS'!K22&amp;""))=0,'DATOS'!K22="Sin valorar",'DATOS'!K22="Sin coste documentado",'DATOS'!K22="Incluido en otra partida",'DATOS'!K22="Por confirmar")),NOT(OR(LEN(TRIM('DATOS'!M22&amp;""))=0,'DATOS'!M22="Sí",'DATOS'!M22="No",'DATOS'!M22="Por confirmar")),NOT(OR(LEN(TRIM('DATOS'!O22&amp;""))=0,'DATOS'!O22="Comparamos",'DATOS'!O22="No existe",'DATOS'!O22="Por confirmar"))),2,IF(AND(OR('DATOS'!G22&lt;0,'DATOS'!H22&lt;0,'DATOS'!J22&lt;0),NOT(AND(LEN(TRIM('DATOS'!L22&amp;""))&gt;0,TRIM('DATOS'!L22&amp;"")&lt;&gt;"Pendiente",TRIM('DATOS'!L22&amp;"")&lt;&gt;"Por confirmar",TRIM('DATOS'!L22&amp;"")&lt;&gt;"No consta",TRIM('DATOS'!L22&amp;"")&lt;&gt;"Desconocido",TRIM('DATOS'!L22&amp;"")&lt;&gt;"Sin confirmar",TRIM('DATOS'!L22&amp;"")&lt;&gt;"Por decidir",TRIM('DATOS'!L22&amp;"")&lt;&gt;"Por comprobar"))),1,0))),2)</f>
      </c>
      <c r="P22" s="29">
        <f>IFERROR(IF(N22=0,"",IF(NOT(Y22=1),1,IF('REFERENCIAS'!$Q$8&lt;&gt;1,2,IF(ABS('DATOS'!J22-ROUND('DATOS'!G22*'DATOS'!H22,'REFERENCIAS'!$K$8))&gt;0.00000001,2,IF('DATOS'!O22="No existe",IF(LEN(TRIM('DATOS'!I22&amp;""))=0,0,2),IF('DATOS'!O22="Comparamos",IF(LEN(TRIM('DATOS'!I22&amp;""))=0,1,IF(ISNUMBER('DATOS'!I22),IF(ABS('DATOS'!H22-'DATOS'!I22)&gt;0.00000001,2,0),2)),1)))))),2)</f>
      </c>
      <c r="Q22" s="29">
        <f>IFERROR(IF(N22=0,"",IF(NOT(Y22=1),1,IF('DATOS'!K22="Sin valorar",2,IF('DATOS'!G22=0,1,IF(OR('DATOS'!H22=0,'DATOS'!J22=0),IF(AND(OR('DATOS'!K22="Sin coste documentado",'DATOS'!K22="Incluido en otra partida"),AND(LEN(TRIM('DATOS'!L22&amp;""))&gt;0,TRIM('DATOS'!L22&amp;"")&lt;&gt;"Pendiente",TRIM('DATOS'!L22&amp;"")&lt;&gt;"Por confirmar",TRIM('DATOS'!L22&amp;"")&lt;&gt;"No consta",TRIM('DATOS'!L22&amp;"")&lt;&gt;"Desconocido",TRIM('DATOS'!L22&amp;"")&lt;&gt;"Sin confirmar",TRIM('DATOS'!L22&amp;"")&lt;&gt;"Por decidir",TRIM('DATOS'!L22&amp;"")&lt;&gt;"Por comprobar")),0,1),0))))),2)</f>
      </c>
      <c r="R22" s="29">
        <f>IFERROR(IF(N22=0,"",IF(OR(NOT(AND(LEN(TRIM('DATOS'!D22&amp;""))&gt;0,TRIM('DATOS'!D22&amp;"")&lt;&gt;"Pendiente",TRIM('DATOS'!D22&amp;"")&lt;&gt;"Por confirmar",TRIM('DATOS'!D22&amp;"")&lt;&gt;"No consta",TRIM('DATOS'!D22&amp;"")&lt;&gt;"Desconocido",TRIM('DATOS'!D22&amp;"")&lt;&gt;"Sin confirmar",TRIM('DATOS'!D22&amp;"")&lt;&gt;"Por decidir",TRIM('DATOS'!D22&amp;"")&lt;&gt;"Por comprobar")),NOT(AND(LEN(TRIM('DATOS'!E22&amp;""))&gt;0,TRIM('DATOS'!E22&amp;"")&lt;&gt;"Pendiente",TRIM('DATOS'!E22&amp;"")&lt;&gt;"Por confirmar",TRIM('DATOS'!E22&amp;"")&lt;&gt;"No consta",TRIM('DATOS'!E22&amp;"")&lt;&gt;"Desconocido",TRIM('DATOS'!E22&amp;"")&lt;&gt;"Sin confirmar",TRIM('DATOS'!E22&amp;"")&lt;&gt;"Por decidir",TRIM('DATOS'!E22&amp;"")&lt;&gt;"Por comprobar"))),2,IF('DATOS'!M22="No",2,IF('DATOS'!M22="Sí",0,IF(OR('DATOS'!D22&lt;&gt;'DATOS'!E22,LEN('DATOS'!E22)&gt;300,RIGHT(TRIM('DATOS'!E22),3)="...",RIGHT(TRIM('DATOS'!E22),1)="…"),1,0))))),2)</f>
      </c>
      <c r="S22" s="29">
        <f>IFERROR(IF(N22=0,"",IF('REFERENCIAS'!$Q$8&lt;&gt;1,2,IF(NOT(Y22=1),1,IF(OR(ABS('DATOS'!G22-ROUND('DATOS'!G22,'REFERENCIAS'!$E$8))&gt;0.00000001,ABS('DATOS'!H22-ROUND('DATOS'!H22,'REFERENCIAS'!$H$8))&gt;0.00000001,ABS('DATOS'!J22-ROUND('DATOS'!J22,'REFERENCIAS'!$K$8))&gt;0.00000001,IF(ISNUMBER('DATOS'!I22),ABS('DATOS'!I22-ROUND('DATOS'!I22,'REFERENCIAS'!$H$8))&gt;0.00000001,FALSE)),1,0)))),2)</f>
      </c>
      <c r="T22" s="29">
        <f>IFERROR(IF(N22=0,"",IF(NOT(AND(LEN(TRIM('DATOS'!F22&amp;""))&gt;0,TRIM('DATOS'!F22&amp;"")&lt;&gt;"Pendiente",TRIM('DATOS'!F22&amp;"")&lt;&gt;"Por confirmar",TRIM('DATOS'!F22&amp;"")&lt;&gt;"No consta",TRIM('DATOS'!F22&amp;"")&lt;&gt;"Desconocido",TRIM('DATOS'!F22&amp;"")&lt;&gt;"Sin confirmar",TRIM('DATOS'!F22&amp;"")&lt;&gt;"Por decidir",TRIM('DATOS'!F22&amp;"")&lt;&gt;"Por comprobar")),2,IF(COUNTIFS('REFERENCIAS'!$T$15:$T$34,"ID:"&amp;SUBSTITUTE(SUBSTITUTE(SUBSTITUTE(SUBSTITUTE(UPPER(TRIM('DATOS'!F22&amp;"")),"!","!E"),"*","!A"),"?","!B"),"~","!C"),'REFERENCIAS'!$H$15:$H$34,"&lt;&gt;")&gt;0,0,1))),2)</f>
      </c>
      <c r="U22" s="29" t="str">
        <f>'DATOS'!R22</f>
        <v>ID:</v>
      </c>
      <c r="V22" s="29" t="str">
        <f>'DATOS'!S22</f>
        <v>ID:</v>
      </c>
      <c r="W22" s="29" t="n">
        <f>IF(N22=0,0,COUNTIFS('REFERENCIAS'!$R$15:$R$64,U22))</f>
        <v>0</v>
      </c>
      <c r="X22" s="29" t="n">
        <f>IF(N22=0,0,COUNTIFS('DATOS'!$R$10:$R$509,U22,'DATOS'!$S$10:$S$509,V22))</f>
        <v>0</v>
      </c>
      <c r="Y22" s="29" t="n">
        <f>IF(AND(ISNUMBER('DATOS'!G22),ISNUMBER('DATOS'!H22),ISNUMBER('DATOS'!J22)),1,0)</f>
        <v>0</v>
      </c>
    </row>
    <row r="23" ht="64" customHeight="1">
      <c r="B23" s="26">
        <f>IF(N23=1,14,"")</f>
      </c>
      <c r="C23" s="26">
        <f>IF(AND(N23=1,LEN(TRIM('DATOS'!B23&amp;""))&gt;0),'DATOS'!B23,"")</f>
      </c>
      <c r="D23" s="26">
        <f>IF(AND(N23=1,LEN(TRIM('DATOS'!C23&amp;""))&gt;0),'DATOS'!C23,"")</f>
      </c>
      <c r="E23" s="26">
        <f>IF(NOT(ISNUMBER(P23)),"",IF(P23=2,"ROJO",IF(P23=1,"ÁMBAR","VERDE")))</f>
      </c>
      <c r="F23" s="26">
        <f>IF(NOT(ISNUMBER(Q23)),"",IF(Q23=2,"ROJO",IF(Q23=1,"ÁMBAR","VERDE")))</f>
      </c>
      <c r="G23" s="26">
        <f>IF(NOT(ISNUMBER(R23)),"",IF(R23=2,"ROJO",IF(R23=1,"ÁMBAR","VERDE")))</f>
      </c>
      <c r="H23" s="26">
        <f>IF(NOT(ISNUMBER(S23)),"",IF(S23=2,"ROJO",IF(S23=1,"ÁMBAR","VERDE")))</f>
      </c>
      <c r="I23" s="26">
        <f>IF(NOT(ISNUMBER(T23)),"",IF(T23=2,"ROJO",IF(T23=1,"ÁMBAR","VERDE")))</f>
      </c>
      <c r="J23" s="26">
        <f>IF(NOT(ISNUMBER(O23)),"",IF(O23=2,"ROJO",IF(O23=1,"ÁMBAR","VERDE")))</f>
      </c>
      <c r="K23" s="26">
        <f>IFERROR(IF(AND(N23=1,LEN(TRIM('DATOS'!N23&amp;""))&gt;0),'DATOS'!N23,""),"Hay una entrada con error. Corregimos el dato antes de cerrar la comprobación.")</f>
      </c>
      <c r="L23" s="26">
        <f>IFERROR(IF(N23=0,"",IF(O23&gt;0,"Completamos datos, claves o motivo. ","")&amp;IF(P23&gt;0,"Cotejamos precios e importe. ","")&amp;IF(Q23&gt;0,"Aclaramos el cero. ","")&amp;IF(R23&gt;0,"Comprobamos el texto. ","")&amp;IF(S23&gt;0,"Revisamos decimales visibles. ","")&amp;IF(T23&gt;0,"Confirmamos la unidad.","")),"Hay una entrada con error. Corregimos el dato antes de cerrar la comprobación.")</f>
      </c>
      <c r="N23" s="29" t="n">
        <f>IF(COUNTA('DATOS'!B23:O23)&gt;0,1,0)</f>
        <v>0</v>
      </c>
      <c r="O23" s="29">
        <f>IFERROR(IF(N23=0,"",IF(OR(NOT(AND(LEN(TRIM('DATOS'!B23&amp;""))&gt;0,TRIM('DATOS'!B23&amp;"")&lt;&gt;"Pendiente",TRIM('DATOS'!B23&amp;"")&lt;&gt;"Por confirmar",TRIM('DATOS'!B23&amp;"")&lt;&gt;"No consta",TRIM('DATOS'!B23&amp;"")&lt;&gt;"Desconocido",TRIM('DATOS'!B23&amp;"")&lt;&gt;"Sin confirmar",TRIM('DATOS'!B23&amp;"")&lt;&gt;"Por decidir",TRIM('DATOS'!B23&amp;"")&lt;&gt;"Por comprobar")),NOT(AND(LEN(TRIM('DATOS'!C23&amp;""))&gt;0,TRIM('DATOS'!C23&amp;"")&lt;&gt;"Pendiente",TRIM('DATOS'!C23&amp;"")&lt;&gt;"Por confirmar",TRIM('DATOS'!C23&amp;"")&lt;&gt;"No consta",TRIM('DATOS'!C23&amp;"")&lt;&gt;"Desconocido",TRIM('DATOS'!C23&amp;"")&lt;&gt;"Sin confirmar",TRIM('DATOS'!C23&amp;"")&lt;&gt;"Por decidir",TRIM('DATOS'!C23&amp;"")&lt;&gt;"Por comprobar")),NOT(AND(LEN(TRIM('DATOS'!D23&amp;""))&gt;0,TRIM('DATOS'!D23&amp;"")&lt;&gt;"Pendiente",TRIM('DATOS'!D23&amp;"")&lt;&gt;"Por confirmar",TRIM('DATOS'!D23&amp;"")&lt;&gt;"No consta",TRIM('DATOS'!D23&amp;"")&lt;&gt;"Desconocido",TRIM('DATOS'!D23&amp;"")&lt;&gt;"Sin confirmar",TRIM('DATOS'!D23&amp;"")&lt;&gt;"Por decidir",TRIM('DATOS'!D23&amp;"")&lt;&gt;"Por comprobar")),NOT(AND(LEN(TRIM('DATOS'!E23&amp;""))&gt;0,TRIM('DATOS'!E23&amp;"")&lt;&gt;"Pendiente",TRIM('DATOS'!E23&amp;"")&lt;&gt;"Por confirmar",TRIM('DATOS'!E23&amp;"")&lt;&gt;"No consta",TRIM('DATOS'!E23&amp;"")&lt;&gt;"Desconocido",TRIM('DATOS'!E23&amp;"")&lt;&gt;"Sin confirmar",TRIM('DATOS'!E23&amp;"")&lt;&gt;"Por decidir",TRIM('DATOS'!E23&amp;"")&lt;&gt;"Por comprobar")),NOT(AND(LEN(TRIM('DATOS'!F23&amp;""))&gt;0,TRIM('DATOS'!F23&amp;"")&lt;&gt;"Pendiente",TRIM('DATOS'!F23&amp;"")&lt;&gt;"Por confirmar",TRIM('DATOS'!F23&amp;"")&lt;&gt;"No consta",TRIM('DATOS'!F23&amp;"")&lt;&gt;"Desconocido",TRIM('DATOS'!F23&amp;"")&lt;&gt;"Sin confirmar",TRIM('DATOS'!F23&amp;"")&lt;&gt;"Por decidir",TRIM('DATOS'!F23&amp;"")&lt;&gt;"Por comprobar")),NOT(AND(LEN(TRIM('DATOS'!N23&amp;""))&gt;0,TRIM('DATOS'!N23&amp;"")&lt;&gt;"Pendiente",TRIM('DATOS'!N23&amp;"")&lt;&gt;"Por confirmar",TRIM('DATOS'!N23&amp;"")&lt;&gt;"No consta",TRIM('DATOS'!N23&amp;"")&lt;&gt;"Desconocido",TRIM('DATOS'!N23&amp;"")&lt;&gt;"Sin confirmar",TRIM('DATOS'!N23&amp;"")&lt;&gt;"Por decidir",TRIM('DATOS'!N23&amp;"")&lt;&gt;"Por comprobar")),NOT(Y23=1),W23&lt;&gt;1,X23&gt;1,NOT(OR(LEN(TRIM('DATOS'!K23&amp;""))=0,'DATOS'!K23="Sin valorar",'DATOS'!K23="Sin coste documentado",'DATOS'!K23="Incluido en otra partida",'DATOS'!K23="Por confirmar")),NOT(OR(LEN(TRIM('DATOS'!M23&amp;""))=0,'DATOS'!M23="Sí",'DATOS'!M23="No",'DATOS'!M23="Por confirmar")),NOT(OR(LEN(TRIM('DATOS'!O23&amp;""))=0,'DATOS'!O23="Comparamos",'DATOS'!O23="No existe",'DATOS'!O23="Por confirmar"))),2,IF(AND(OR('DATOS'!G23&lt;0,'DATOS'!H23&lt;0,'DATOS'!J23&lt;0),NOT(AND(LEN(TRIM('DATOS'!L23&amp;""))&gt;0,TRIM('DATOS'!L23&amp;"")&lt;&gt;"Pendiente",TRIM('DATOS'!L23&amp;"")&lt;&gt;"Por confirmar",TRIM('DATOS'!L23&amp;"")&lt;&gt;"No consta",TRIM('DATOS'!L23&amp;"")&lt;&gt;"Desconocido",TRIM('DATOS'!L23&amp;"")&lt;&gt;"Sin confirmar",TRIM('DATOS'!L23&amp;"")&lt;&gt;"Por decidir",TRIM('DATOS'!L23&amp;"")&lt;&gt;"Por comprobar"))),1,0))),2)</f>
      </c>
      <c r="P23" s="29">
        <f>IFERROR(IF(N23=0,"",IF(NOT(Y23=1),1,IF('REFERENCIAS'!$Q$8&lt;&gt;1,2,IF(ABS('DATOS'!J23-ROUND('DATOS'!G23*'DATOS'!H23,'REFERENCIAS'!$K$8))&gt;0.00000001,2,IF('DATOS'!O23="No existe",IF(LEN(TRIM('DATOS'!I23&amp;""))=0,0,2),IF('DATOS'!O23="Comparamos",IF(LEN(TRIM('DATOS'!I23&amp;""))=0,1,IF(ISNUMBER('DATOS'!I23),IF(ABS('DATOS'!H23-'DATOS'!I23)&gt;0.00000001,2,0),2)),1)))))),2)</f>
      </c>
      <c r="Q23" s="29">
        <f>IFERROR(IF(N23=0,"",IF(NOT(Y23=1),1,IF('DATOS'!K23="Sin valorar",2,IF('DATOS'!G23=0,1,IF(OR('DATOS'!H23=0,'DATOS'!J23=0),IF(AND(OR('DATOS'!K23="Sin coste documentado",'DATOS'!K23="Incluido en otra partida"),AND(LEN(TRIM('DATOS'!L23&amp;""))&gt;0,TRIM('DATOS'!L23&amp;"")&lt;&gt;"Pendiente",TRIM('DATOS'!L23&amp;"")&lt;&gt;"Por confirmar",TRIM('DATOS'!L23&amp;"")&lt;&gt;"No consta",TRIM('DATOS'!L23&amp;"")&lt;&gt;"Desconocido",TRIM('DATOS'!L23&amp;"")&lt;&gt;"Sin confirmar",TRIM('DATOS'!L23&amp;"")&lt;&gt;"Por decidir",TRIM('DATOS'!L23&amp;"")&lt;&gt;"Por comprobar")),0,1),0))))),2)</f>
      </c>
      <c r="R23" s="29">
        <f>IFERROR(IF(N23=0,"",IF(OR(NOT(AND(LEN(TRIM('DATOS'!D23&amp;""))&gt;0,TRIM('DATOS'!D23&amp;"")&lt;&gt;"Pendiente",TRIM('DATOS'!D23&amp;"")&lt;&gt;"Por confirmar",TRIM('DATOS'!D23&amp;"")&lt;&gt;"No consta",TRIM('DATOS'!D23&amp;"")&lt;&gt;"Desconocido",TRIM('DATOS'!D23&amp;"")&lt;&gt;"Sin confirmar",TRIM('DATOS'!D23&amp;"")&lt;&gt;"Por decidir",TRIM('DATOS'!D23&amp;"")&lt;&gt;"Por comprobar")),NOT(AND(LEN(TRIM('DATOS'!E23&amp;""))&gt;0,TRIM('DATOS'!E23&amp;"")&lt;&gt;"Pendiente",TRIM('DATOS'!E23&amp;"")&lt;&gt;"Por confirmar",TRIM('DATOS'!E23&amp;"")&lt;&gt;"No consta",TRIM('DATOS'!E23&amp;"")&lt;&gt;"Desconocido",TRIM('DATOS'!E23&amp;"")&lt;&gt;"Sin confirmar",TRIM('DATOS'!E23&amp;"")&lt;&gt;"Por decidir",TRIM('DATOS'!E23&amp;"")&lt;&gt;"Por comprobar"))),2,IF('DATOS'!M23="No",2,IF('DATOS'!M23="Sí",0,IF(OR('DATOS'!D23&lt;&gt;'DATOS'!E23,LEN('DATOS'!E23)&gt;300,RIGHT(TRIM('DATOS'!E23),3)="...",RIGHT(TRIM('DATOS'!E23),1)="…"),1,0))))),2)</f>
      </c>
      <c r="S23" s="29">
        <f>IFERROR(IF(N23=0,"",IF('REFERENCIAS'!$Q$8&lt;&gt;1,2,IF(NOT(Y23=1),1,IF(OR(ABS('DATOS'!G23-ROUND('DATOS'!G23,'REFERENCIAS'!$E$8))&gt;0.00000001,ABS('DATOS'!H23-ROUND('DATOS'!H23,'REFERENCIAS'!$H$8))&gt;0.00000001,ABS('DATOS'!J23-ROUND('DATOS'!J23,'REFERENCIAS'!$K$8))&gt;0.00000001,IF(ISNUMBER('DATOS'!I23),ABS('DATOS'!I23-ROUND('DATOS'!I23,'REFERENCIAS'!$H$8))&gt;0.00000001,FALSE)),1,0)))),2)</f>
      </c>
      <c r="T23" s="29">
        <f>IFERROR(IF(N23=0,"",IF(NOT(AND(LEN(TRIM('DATOS'!F23&amp;""))&gt;0,TRIM('DATOS'!F23&amp;"")&lt;&gt;"Pendiente",TRIM('DATOS'!F23&amp;"")&lt;&gt;"Por confirmar",TRIM('DATOS'!F23&amp;"")&lt;&gt;"No consta",TRIM('DATOS'!F23&amp;"")&lt;&gt;"Desconocido",TRIM('DATOS'!F23&amp;"")&lt;&gt;"Sin confirmar",TRIM('DATOS'!F23&amp;"")&lt;&gt;"Por decidir",TRIM('DATOS'!F23&amp;"")&lt;&gt;"Por comprobar")),2,IF(COUNTIFS('REFERENCIAS'!$T$15:$T$34,"ID:"&amp;SUBSTITUTE(SUBSTITUTE(SUBSTITUTE(SUBSTITUTE(UPPER(TRIM('DATOS'!F23&amp;"")),"!","!E"),"*","!A"),"?","!B"),"~","!C"),'REFERENCIAS'!$H$15:$H$34,"&lt;&gt;")&gt;0,0,1))),2)</f>
      </c>
      <c r="U23" s="29" t="str">
        <f>'DATOS'!R23</f>
        <v>ID:</v>
      </c>
      <c r="V23" s="29" t="str">
        <f>'DATOS'!S23</f>
        <v>ID:</v>
      </c>
      <c r="W23" s="29" t="n">
        <f>IF(N23=0,0,COUNTIFS('REFERENCIAS'!$R$15:$R$64,U23))</f>
        <v>0</v>
      </c>
      <c r="X23" s="29" t="n">
        <f>IF(N23=0,0,COUNTIFS('DATOS'!$R$10:$R$509,U23,'DATOS'!$S$10:$S$509,V23))</f>
        <v>0</v>
      </c>
      <c r="Y23" s="29" t="n">
        <f>IF(AND(ISNUMBER('DATOS'!G23),ISNUMBER('DATOS'!H23),ISNUMBER('DATOS'!J23)),1,0)</f>
        <v>0</v>
      </c>
    </row>
    <row r="24" ht="64" customHeight="1">
      <c r="B24" s="26">
        <f>IF(N24=1,15,"")</f>
      </c>
      <c r="C24" s="26">
        <f>IF(AND(N24=1,LEN(TRIM('DATOS'!B24&amp;""))&gt;0),'DATOS'!B24,"")</f>
      </c>
      <c r="D24" s="26">
        <f>IF(AND(N24=1,LEN(TRIM('DATOS'!C24&amp;""))&gt;0),'DATOS'!C24,"")</f>
      </c>
      <c r="E24" s="26">
        <f>IF(NOT(ISNUMBER(P24)),"",IF(P24=2,"ROJO",IF(P24=1,"ÁMBAR","VERDE")))</f>
      </c>
      <c r="F24" s="26">
        <f>IF(NOT(ISNUMBER(Q24)),"",IF(Q24=2,"ROJO",IF(Q24=1,"ÁMBAR","VERDE")))</f>
      </c>
      <c r="G24" s="26">
        <f>IF(NOT(ISNUMBER(R24)),"",IF(R24=2,"ROJO",IF(R24=1,"ÁMBAR","VERDE")))</f>
      </c>
      <c r="H24" s="26">
        <f>IF(NOT(ISNUMBER(S24)),"",IF(S24=2,"ROJO",IF(S24=1,"ÁMBAR","VERDE")))</f>
      </c>
      <c r="I24" s="26">
        <f>IF(NOT(ISNUMBER(T24)),"",IF(T24=2,"ROJO",IF(T24=1,"ÁMBAR","VERDE")))</f>
      </c>
      <c r="J24" s="26">
        <f>IF(NOT(ISNUMBER(O24)),"",IF(O24=2,"ROJO",IF(O24=1,"ÁMBAR","VERDE")))</f>
      </c>
      <c r="K24" s="26">
        <f>IFERROR(IF(AND(N24=1,LEN(TRIM('DATOS'!N24&amp;""))&gt;0),'DATOS'!N24,""),"Hay una entrada con error. Corregimos el dato antes de cerrar la comprobación.")</f>
      </c>
      <c r="L24" s="26">
        <f>IFERROR(IF(N24=0,"",IF(O24&gt;0,"Completamos datos, claves o motivo. ","")&amp;IF(P24&gt;0,"Cotejamos precios e importe. ","")&amp;IF(Q24&gt;0,"Aclaramos el cero. ","")&amp;IF(R24&gt;0,"Comprobamos el texto. ","")&amp;IF(S24&gt;0,"Revisamos decimales visibles. ","")&amp;IF(T24&gt;0,"Confirmamos la unidad.","")),"Hay una entrada con error. Corregimos el dato antes de cerrar la comprobación.")</f>
      </c>
      <c r="N24" s="29" t="n">
        <f>IF(COUNTA('DATOS'!B24:O24)&gt;0,1,0)</f>
        <v>0</v>
      </c>
      <c r="O24" s="29">
        <f>IFERROR(IF(N24=0,"",IF(OR(NOT(AND(LEN(TRIM('DATOS'!B24&amp;""))&gt;0,TRIM('DATOS'!B24&amp;"")&lt;&gt;"Pendiente",TRIM('DATOS'!B24&amp;"")&lt;&gt;"Por confirmar",TRIM('DATOS'!B24&amp;"")&lt;&gt;"No consta",TRIM('DATOS'!B24&amp;"")&lt;&gt;"Desconocido",TRIM('DATOS'!B24&amp;"")&lt;&gt;"Sin confirmar",TRIM('DATOS'!B24&amp;"")&lt;&gt;"Por decidir",TRIM('DATOS'!B24&amp;"")&lt;&gt;"Por comprobar")),NOT(AND(LEN(TRIM('DATOS'!C24&amp;""))&gt;0,TRIM('DATOS'!C24&amp;"")&lt;&gt;"Pendiente",TRIM('DATOS'!C24&amp;"")&lt;&gt;"Por confirmar",TRIM('DATOS'!C24&amp;"")&lt;&gt;"No consta",TRIM('DATOS'!C24&amp;"")&lt;&gt;"Desconocido",TRIM('DATOS'!C24&amp;"")&lt;&gt;"Sin confirmar",TRIM('DATOS'!C24&amp;"")&lt;&gt;"Por decidir",TRIM('DATOS'!C24&amp;"")&lt;&gt;"Por comprobar")),NOT(AND(LEN(TRIM('DATOS'!D24&amp;""))&gt;0,TRIM('DATOS'!D24&amp;"")&lt;&gt;"Pendiente",TRIM('DATOS'!D24&amp;"")&lt;&gt;"Por confirmar",TRIM('DATOS'!D24&amp;"")&lt;&gt;"No consta",TRIM('DATOS'!D24&amp;"")&lt;&gt;"Desconocido",TRIM('DATOS'!D24&amp;"")&lt;&gt;"Sin confirmar",TRIM('DATOS'!D24&amp;"")&lt;&gt;"Por decidir",TRIM('DATOS'!D24&amp;"")&lt;&gt;"Por comprobar")),NOT(AND(LEN(TRIM('DATOS'!E24&amp;""))&gt;0,TRIM('DATOS'!E24&amp;"")&lt;&gt;"Pendiente",TRIM('DATOS'!E24&amp;"")&lt;&gt;"Por confirmar",TRIM('DATOS'!E24&amp;"")&lt;&gt;"No consta",TRIM('DATOS'!E24&amp;"")&lt;&gt;"Desconocido",TRIM('DATOS'!E24&amp;"")&lt;&gt;"Sin confirmar",TRIM('DATOS'!E24&amp;"")&lt;&gt;"Por decidir",TRIM('DATOS'!E24&amp;"")&lt;&gt;"Por comprobar")),NOT(AND(LEN(TRIM('DATOS'!F24&amp;""))&gt;0,TRIM('DATOS'!F24&amp;"")&lt;&gt;"Pendiente",TRIM('DATOS'!F24&amp;"")&lt;&gt;"Por confirmar",TRIM('DATOS'!F24&amp;"")&lt;&gt;"No consta",TRIM('DATOS'!F24&amp;"")&lt;&gt;"Desconocido",TRIM('DATOS'!F24&amp;"")&lt;&gt;"Sin confirmar",TRIM('DATOS'!F24&amp;"")&lt;&gt;"Por decidir",TRIM('DATOS'!F24&amp;"")&lt;&gt;"Por comprobar")),NOT(AND(LEN(TRIM('DATOS'!N24&amp;""))&gt;0,TRIM('DATOS'!N24&amp;"")&lt;&gt;"Pendiente",TRIM('DATOS'!N24&amp;"")&lt;&gt;"Por confirmar",TRIM('DATOS'!N24&amp;"")&lt;&gt;"No consta",TRIM('DATOS'!N24&amp;"")&lt;&gt;"Desconocido",TRIM('DATOS'!N24&amp;"")&lt;&gt;"Sin confirmar",TRIM('DATOS'!N24&amp;"")&lt;&gt;"Por decidir",TRIM('DATOS'!N24&amp;"")&lt;&gt;"Por comprobar")),NOT(Y24=1),W24&lt;&gt;1,X24&gt;1,NOT(OR(LEN(TRIM('DATOS'!K24&amp;""))=0,'DATOS'!K24="Sin valorar",'DATOS'!K24="Sin coste documentado",'DATOS'!K24="Incluido en otra partida",'DATOS'!K24="Por confirmar")),NOT(OR(LEN(TRIM('DATOS'!M24&amp;""))=0,'DATOS'!M24="Sí",'DATOS'!M24="No",'DATOS'!M24="Por confirmar")),NOT(OR(LEN(TRIM('DATOS'!O24&amp;""))=0,'DATOS'!O24="Comparamos",'DATOS'!O24="No existe",'DATOS'!O24="Por confirmar"))),2,IF(AND(OR('DATOS'!G24&lt;0,'DATOS'!H24&lt;0,'DATOS'!J24&lt;0),NOT(AND(LEN(TRIM('DATOS'!L24&amp;""))&gt;0,TRIM('DATOS'!L24&amp;"")&lt;&gt;"Pendiente",TRIM('DATOS'!L24&amp;"")&lt;&gt;"Por confirmar",TRIM('DATOS'!L24&amp;"")&lt;&gt;"No consta",TRIM('DATOS'!L24&amp;"")&lt;&gt;"Desconocido",TRIM('DATOS'!L24&amp;"")&lt;&gt;"Sin confirmar",TRIM('DATOS'!L24&amp;"")&lt;&gt;"Por decidir",TRIM('DATOS'!L24&amp;"")&lt;&gt;"Por comprobar"))),1,0))),2)</f>
      </c>
      <c r="P24" s="29">
        <f>IFERROR(IF(N24=0,"",IF(NOT(Y24=1),1,IF('REFERENCIAS'!$Q$8&lt;&gt;1,2,IF(ABS('DATOS'!J24-ROUND('DATOS'!G24*'DATOS'!H24,'REFERENCIAS'!$K$8))&gt;0.00000001,2,IF('DATOS'!O24="No existe",IF(LEN(TRIM('DATOS'!I24&amp;""))=0,0,2),IF('DATOS'!O24="Comparamos",IF(LEN(TRIM('DATOS'!I24&amp;""))=0,1,IF(ISNUMBER('DATOS'!I24),IF(ABS('DATOS'!H24-'DATOS'!I24)&gt;0.00000001,2,0),2)),1)))))),2)</f>
      </c>
      <c r="Q24" s="29">
        <f>IFERROR(IF(N24=0,"",IF(NOT(Y24=1),1,IF('DATOS'!K24="Sin valorar",2,IF('DATOS'!G24=0,1,IF(OR('DATOS'!H24=0,'DATOS'!J24=0),IF(AND(OR('DATOS'!K24="Sin coste documentado",'DATOS'!K24="Incluido en otra partida"),AND(LEN(TRIM('DATOS'!L24&amp;""))&gt;0,TRIM('DATOS'!L24&amp;"")&lt;&gt;"Pendiente",TRIM('DATOS'!L24&amp;"")&lt;&gt;"Por confirmar",TRIM('DATOS'!L24&amp;"")&lt;&gt;"No consta",TRIM('DATOS'!L24&amp;"")&lt;&gt;"Desconocido",TRIM('DATOS'!L24&amp;"")&lt;&gt;"Sin confirmar",TRIM('DATOS'!L24&amp;"")&lt;&gt;"Por decidir",TRIM('DATOS'!L24&amp;"")&lt;&gt;"Por comprobar")),0,1),0))))),2)</f>
      </c>
      <c r="R24" s="29">
        <f>IFERROR(IF(N24=0,"",IF(OR(NOT(AND(LEN(TRIM('DATOS'!D24&amp;""))&gt;0,TRIM('DATOS'!D24&amp;"")&lt;&gt;"Pendiente",TRIM('DATOS'!D24&amp;"")&lt;&gt;"Por confirmar",TRIM('DATOS'!D24&amp;"")&lt;&gt;"No consta",TRIM('DATOS'!D24&amp;"")&lt;&gt;"Desconocido",TRIM('DATOS'!D24&amp;"")&lt;&gt;"Sin confirmar",TRIM('DATOS'!D24&amp;"")&lt;&gt;"Por decidir",TRIM('DATOS'!D24&amp;"")&lt;&gt;"Por comprobar")),NOT(AND(LEN(TRIM('DATOS'!E24&amp;""))&gt;0,TRIM('DATOS'!E24&amp;"")&lt;&gt;"Pendiente",TRIM('DATOS'!E24&amp;"")&lt;&gt;"Por confirmar",TRIM('DATOS'!E24&amp;"")&lt;&gt;"No consta",TRIM('DATOS'!E24&amp;"")&lt;&gt;"Desconocido",TRIM('DATOS'!E24&amp;"")&lt;&gt;"Sin confirmar",TRIM('DATOS'!E24&amp;"")&lt;&gt;"Por decidir",TRIM('DATOS'!E24&amp;"")&lt;&gt;"Por comprobar"))),2,IF('DATOS'!M24="No",2,IF('DATOS'!M24="Sí",0,IF(OR('DATOS'!D24&lt;&gt;'DATOS'!E24,LEN('DATOS'!E24)&gt;300,RIGHT(TRIM('DATOS'!E24),3)="...",RIGHT(TRIM('DATOS'!E24),1)="…"),1,0))))),2)</f>
      </c>
      <c r="S24" s="29">
        <f>IFERROR(IF(N24=0,"",IF('REFERENCIAS'!$Q$8&lt;&gt;1,2,IF(NOT(Y24=1),1,IF(OR(ABS('DATOS'!G24-ROUND('DATOS'!G24,'REFERENCIAS'!$E$8))&gt;0.00000001,ABS('DATOS'!H24-ROUND('DATOS'!H24,'REFERENCIAS'!$H$8))&gt;0.00000001,ABS('DATOS'!J24-ROUND('DATOS'!J24,'REFERENCIAS'!$K$8))&gt;0.00000001,IF(ISNUMBER('DATOS'!I24),ABS('DATOS'!I24-ROUND('DATOS'!I24,'REFERENCIAS'!$H$8))&gt;0.00000001,FALSE)),1,0)))),2)</f>
      </c>
      <c r="T24" s="29">
        <f>IFERROR(IF(N24=0,"",IF(NOT(AND(LEN(TRIM('DATOS'!F24&amp;""))&gt;0,TRIM('DATOS'!F24&amp;"")&lt;&gt;"Pendiente",TRIM('DATOS'!F24&amp;"")&lt;&gt;"Por confirmar",TRIM('DATOS'!F24&amp;"")&lt;&gt;"No consta",TRIM('DATOS'!F24&amp;"")&lt;&gt;"Desconocido",TRIM('DATOS'!F24&amp;"")&lt;&gt;"Sin confirmar",TRIM('DATOS'!F24&amp;"")&lt;&gt;"Por decidir",TRIM('DATOS'!F24&amp;"")&lt;&gt;"Por comprobar")),2,IF(COUNTIFS('REFERENCIAS'!$T$15:$T$34,"ID:"&amp;SUBSTITUTE(SUBSTITUTE(SUBSTITUTE(SUBSTITUTE(UPPER(TRIM('DATOS'!F24&amp;"")),"!","!E"),"*","!A"),"?","!B"),"~","!C"),'REFERENCIAS'!$H$15:$H$34,"&lt;&gt;")&gt;0,0,1))),2)</f>
      </c>
      <c r="U24" s="29" t="str">
        <f>'DATOS'!R24</f>
        <v>ID:</v>
      </c>
      <c r="V24" s="29" t="str">
        <f>'DATOS'!S24</f>
        <v>ID:</v>
      </c>
      <c r="W24" s="29" t="n">
        <f>IF(N24=0,0,COUNTIFS('REFERENCIAS'!$R$15:$R$64,U24))</f>
        <v>0</v>
      </c>
      <c r="X24" s="29" t="n">
        <f>IF(N24=0,0,COUNTIFS('DATOS'!$R$10:$R$509,U24,'DATOS'!$S$10:$S$509,V24))</f>
        <v>0</v>
      </c>
      <c r="Y24" s="29" t="n">
        <f>IF(AND(ISNUMBER('DATOS'!G24),ISNUMBER('DATOS'!H24),ISNUMBER('DATOS'!J24)),1,0)</f>
        <v>0</v>
      </c>
    </row>
    <row r="25" ht="64" customHeight="1">
      <c r="B25" s="26">
        <f>IF(N25=1,16,"")</f>
      </c>
      <c r="C25" s="26">
        <f>IF(AND(N25=1,LEN(TRIM('DATOS'!B25&amp;""))&gt;0),'DATOS'!B25,"")</f>
      </c>
      <c r="D25" s="26">
        <f>IF(AND(N25=1,LEN(TRIM('DATOS'!C25&amp;""))&gt;0),'DATOS'!C25,"")</f>
      </c>
      <c r="E25" s="26">
        <f>IF(NOT(ISNUMBER(P25)),"",IF(P25=2,"ROJO",IF(P25=1,"ÁMBAR","VERDE")))</f>
      </c>
      <c r="F25" s="26">
        <f>IF(NOT(ISNUMBER(Q25)),"",IF(Q25=2,"ROJO",IF(Q25=1,"ÁMBAR","VERDE")))</f>
      </c>
      <c r="G25" s="26">
        <f>IF(NOT(ISNUMBER(R25)),"",IF(R25=2,"ROJO",IF(R25=1,"ÁMBAR","VERDE")))</f>
      </c>
      <c r="H25" s="26">
        <f>IF(NOT(ISNUMBER(S25)),"",IF(S25=2,"ROJO",IF(S25=1,"ÁMBAR","VERDE")))</f>
      </c>
      <c r="I25" s="26">
        <f>IF(NOT(ISNUMBER(T25)),"",IF(T25=2,"ROJO",IF(T25=1,"ÁMBAR","VERDE")))</f>
      </c>
      <c r="J25" s="26">
        <f>IF(NOT(ISNUMBER(O25)),"",IF(O25=2,"ROJO",IF(O25=1,"ÁMBAR","VERDE")))</f>
      </c>
      <c r="K25" s="26">
        <f>IFERROR(IF(AND(N25=1,LEN(TRIM('DATOS'!N25&amp;""))&gt;0),'DATOS'!N25,""),"Hay una entrada con error. Corregimos el dato antes de cerrar la comprobación.")</f>
      </c>
      <c r="L25" s="26">
        <f>IFERROR(IF(N25=0,"",IF(O25&gt;0,"Completamos datos, claves o motivo. ","")&amp;IF(P25&gt;0,"Cotejamos precios e importe. ","")&amp;IF(Q25&gt;0,"Aclaramos el cero. ","")&amp;IF(R25&gt;0,"Comprobamos el texto. ","")&amp;IF(S25&gt;0,"Revisamos decimales visibles. ","")&amp;IF(T25&gt;0,"Confirmamos la unidad.","")),"Hay una entrada con error. Corregimos el dato antes de cerrar la comprobación.")</f>
      </c>
      <c r="N25" s="29" t="n">
        <f>IF(COUNTA('DATOS'!B25:O25)&gt;0,1,0)</f>
        <v>0</v>
      </c>
      <c r="O25" s="29">
        <f>IFERROR(IF(N25=0,"",IF(OR(NOT(AND(LEN(TRIM('DATOS'!B25&amp;""))&gt;0,TRIM('DATOS'!B25&amp;"")&lt;&gt;"Pendiente",TRIM('DATOS'!B25&amp;"")&lt;&gt;"Por confirmar",TRIM('DATOS'!B25&amp;"")&lt;&gt;"No consta",TRIM('DATOS'!B25&amp;"")&lt;&gt;"Desconocido",TRIM('DATOS'!B25&amp;"")&lt;&gt;"Sin confirmar",TRIM('DATOS'!B25&amp;"")&lt;&gt;"Por decidir",TRIM('DATOS'!B25&amp;"")&lt;&gt;"Por comprobar")),NOT(AND(LEN(TRIM('DATOS'!C25&amp;""))&gt;0,TRIM('DATOS'!C25&amp;"")&lt;&gt;"Pendiente",TRIM('DATOS'!C25&amp;"")&lt;&gt;"Por confirmar",TRIM('DATOS'!C25&amp;"")&lt;&gt;"No consta",TRIM('DATOS'!C25&amp;"")&lt;&gt;"Desconocido",TRIM('DATOS'!C25&amp;"")&lt;&gt;"Sin confirmar",TRIM('DATOS'!C25&amp;"")&lt;&gt;"Por decidir",TRIM('DATOS'!C25&amp;"")&lt;&gt;"Por comprobar")),NOT(AND(LEN(TRIM('DATOS'!D25&amp;""))&gt;0,TRIM('DATOS'!D25&amp;"")&lt;&gt;"Pendiente",TRIM('DATOS'!D25&amp;"")&lt;&gt;"Por confirmar",TRIM('DATOS'!D25&amp;"")&lt;&gt;"No consta",TRIM('DATOS'!D25&amp;"")&lt;&gt;"Desconocido",TRIM('DATOS'!D25&amp;"")&lt;&gt;"Sin confirmar",TRIM('DATOS'!D25&amp;"")&lt;&gt;"Por decidir",TRIM('DATOS'!D25&amp;"")&lt;&gt;"Por comprobar")),NOT(AND(LEN(TRIM('DATOS'!E25&amp;""))&gt;0,TRIM('DATOS'!E25&amp;"")&lt;&gt;"Pendiente",TRIM('DATOS'!E25&amp;"")&lt;&gt;"Por confirmar",TRIM('DATOS'!E25&amp;"")&lt;&gt;"No consta",TRIM('DATOS'!E25&amp;"")&lt;&gt;"Desconocido",TRIM('DATOS'!E25&amp;"")&lt;&gt;"Sin confirmar",TRIM('DATOS'!E25&amp;"")&lt;&gt;"Por decidir",TRIM('DATOS'!E25&amp;"")&lt;&gt;"Por comprobar")),NOT(AND(LEN(TRIM('DATOS'!F25&amp;""))&gt;0,TRIM('DATOS'!F25&amp;"")&lt;&gt;"Pendiente",TRIM('DATOS'!F25&amp;"")&lt;&gt;"Por confirmar",TRIM('DATOS'!F25&amp;"")&lt;&gt;"No consta",TRIM('DATOS'!F25&amp;"")&lt;&gt;"Desconocido",TRIM('DATOS'!F25&amp;"")&lt;&gt;"Sin confirmar",TRIM('DATOS'!F25&amp;"")&lt;&gt;"Por decidir",TRIM('DATOS'!F25&amp;"")&lt;&gt;"Por comprobar")),NOT(AND(LEN(TRIM('DATOS'!N25&amp;""))&gt;0,TRIM('DATOS'!N25&amp;"")&lt;&gt;"Pendiente",TRIM('DATOS'!N25&amp;"")&lt;&gt;"Por confirmar",TRIM('DATOS'!N25&amp;"")&lt;&gt;"No consta",TRIM('DATOS'!N25&amp;"")&lt;&gt;"Desconocido",TRIM('DATOS'!N25&amp;"")&lt;&gt;"Sin confirmar",TRIM('DATOS'!N25&amp;"")&lt;&gt;"Por decidir",TRIM('DATOS'!N25&amp;"")&lt;&gt;"Por comprobar")),NOT(Y25=1),W25&lt;&gt;1,X25&gt;1,NOT(OR(LEN(TRIM('DATOS'!K25&amp;""))=0,'DATOS'!K25="Sin valorar",'DATOS'!K25="Sin coste documentado",'DATOS'!K25="Incluido en otra partida",'DATOS'!K25="Por confirmar")),NOT(OR(LEN(TRIM('DATOS'!M25&amp;""))=0,'DATOS'!M25="Sí",'DATOS'!M25="No",'DATOS'!M25="Por confirmar")),NOT(OR(LEN(TRIM('DATOS'!O25&amp;""))=0,'DATOS'!O25="Comparamos",'DATOS'!O25="No existe",'DATOS'!O25="Por confirmar"))),2,IF(AND(OR('DATOS'!G25&lt;0,'DATOS'!H25&lt;0,'DATOS'!J25&lt;0),NOT(AND(LEN(TRIM('DATOS'!L25&amp;""))&gt;0,TRIM('DATOS'!L25&amp;"")&lt;&gt;"Pendiente",TRIM('DATOS'!L25&amp;"")&lt;&gt;"Por confirmar",TRIM('DATOS'!L25&amp;"")&lt;&gt;"No consta",TRIM('DATOS'!L25&amp;"")&lt;&gt;"Desconocido",TRIM('DATOS'!L25&amp;"")&lt;&gt;"Sin confirmar",TRIM('DATOS'!L25&amp;"")&lt;&gt;"Por decidir",TRIM('DATOS'!L25&amp;"")&lt;&gt;"Por comprobar"))),1,0))),2)</f>
      </c>
      <c r="P25" s="29">
        <f>IFERROR(IF(N25=0,"",IF(NOT(Y25=1),1,IF('REFERENCIAS'!$Q$8&lt;&gt;1,2,IF(ABS('DATOS'!J25-ROUND('DATOS'!G25*'DATOS'!H25,'REFERENCIAS'!$K$8))&gt;0.00000001,2,IF('DATOS'!O25="No existe",IF(LEN(TRIM('DATOS'!I25&amp;""))=0,0,2),IF('DATOS'!O25="Comparamos",IF(LEN(TRIM('DATOS'!I25&amp;""))=0,1,IF(ISNUMBER('DATOS'!I25),IF(ABS('DATOS'!H25-'DATOS'!I25)&gt;0.00000001,2,0),2)),1)))))),2)</f>
      </c>
      <c r="Q25" s="29">
        <f>IFERROR(IF(N25=0,"",IF(NOT(Y25=1),1,IF('DATOS'!K25="Sin valorar",2,IF('DATOS'!G25=0,1,IF(OR('DATOS'!H25=0,'DATOS'!J25=0),IF(AND(OR('DATOS'!K25="Sin coste documentado",'DATOS'!K25="Incluido en otra partida"),AND(LEN(TRIM('DATOS'!L25&amp;""))&gt;0,TRIM('DATOS'!L25&amp;"")&lt;&gt;"Pendiente",TRIM('DATOS'!L25&amp;"")&lt;&gt;"Por confirmar",TRIM('DATOS'!L25&amp;"")&lt;&gt;"No consta",TRIM('DATOS'!L25&amp;"")&lt;&gt;"Desconocido",TRIM('DATOS'!L25&amp;"")&lt;&gt;"Sin confirmar",TRIM('DATOS'!L25&amp;"")&lt;&gt;"Por decidir",TRIM('DATOS'!L25&amp;"")&lt;&gt;"Por comprobar")),0,1),0))))),2)</f>
      </c>
      <c r="R25" s="29">
        <f>IFERROR(IF(N25=0,"",IF(OR(NOT(AND(LEN(TRIM('DATOS'!D25&amp;""))&gt;0,TRIM('DATOS'!D25&amp;"")&lt;&gt;"Pendiente",TRIM('DATOS'!D25&amp;"")&lt;&gt;"Por confirmar",TRIM('DATOS'!D25&amp;"")&lt;&gt;"No consta",TRIM('DATOS'!D25&amp;"")&lt;&gt;"Desconocido",TRIM('DATOS'!D25&amp;"")&lt;&gt;"Sin confirmar",TRIM('DATOS'!D25&amp;"")&lt;&gt;"Por decidir",TRIM('DATOS'!D25&amp;"")&lt;&gt;"Por comprobar")),NOT(AND(LEN(TRIM('DATOS'!E25&amp;""))&gt;0,TRIM('DATOS'!E25&amp;"")&lt;&gt;"Pendiente",TRIM('DATOS'!E25&amp;"")&lt;&gt;"Por confirmar",TRIM('DATOS'!E25&amp;"")&lt;&gt;"No consta",TRIM('DATOS'!E25&amp;"")&lt;&gt;"Desconocido",TRIM('DATOS'!E25&amp;"")&lt;&gt;"Sin confirmar",TRIM('DATOS'!E25&amp;"")&lt;&gt;"Por decidir",TRIM('DATOS'!E25&amp;"")&lt;&gt;"Por comprobar"))),2,IF('DATOS'!M25="No",2,IF('DATOS'!M25="Sí",0,IF(OR('DATOS'!D25&lt;&gt;'DATOS'!E25,LEN('DATOS'!E25)&gt;300,RIGHT(TRIM('DATOS'!E25),3)="...",RIGHT(TRIM('DATOS'!E25),1)="…"),1,0))))),2)</f>
      </c>
      <c r="S25" s="29">
        <f>IFERROR(IF(N25=0,"",IF('REFERENCIAS'!$Q$8&lt;&gt;1,2,IF(NOT(Y25=1),1,IF(OR(ABS('DATOS'!G25-ROUND('DATOS'!G25,'REFERENCIAS'!$E$8))&gt;0.00000001,ABS('DATOS'!H25-ROUND('DATOS'!H25,'REFERENCIAS'!$H$8))&gt;0.00000001,ABS('DATOS'!J25-ROUND('DATOS'!J25,'REFERENCIAS'!$K$8))&gt;0.00000001,IF(ISNUMBER('DATOS'!I25),ABS('DATOS'!I25-ROUND('DATOS'!I25,'REFERENCIAS'!$H$8))&gt;0.00000001,FALSE)),1,0)))),2)</f>
      </c>
      <c r="T25" s="29">
        <f>IFERROR(IF(N25=0,"",IF(NOT(AND(LEN(TRIM('DATOS'!F25&amp;""))&gt;0,TRIM('DATOS'!F25&amp;"")&lt;&gt;"Pendiente",TRIM('DATOS'!F25&amp;"")&lt;&gt;"Por confirmar",TRIM('DATOS'!F25&amp;"")&lt;&gt;"No consta",TRIM('DATOS'!F25&amp;"")&lt;&gt;"Desconocido",TRIM('DATOS'!F25&amp;"")&lt;&gt;"Sin confirmar",TRIM('DATOS'!F25&amp;"")&lt;&gt;"Por decidir",TRIM('DATOS'!F25&amp;"")&lt;&gt;"Por comprobar")),2,IF(COUNTIFS('REFERENCIAS'!$T$15:$T$34,"ID:"&amp;SUBSTITUTE(SUBSTITUTE(SUBSTITUTE(SUBSTITUTE(UPPER(TRIM('DATOS'!F25&amp;"")),"!","!E"),"*","!A"),"?","!B"),"~","!C"),'REFERENCIAS'!$H$15:$H$34,"&lt;&gt;")&gt;0,0,1))),2)</f>
      </c>
      <c r="U25" s="29" t="str">
        <f>'DATOS'!R25</f>
        <v>ID:</v>
      </c>
      <c r="V25" s="29" t="str">
        <f>'DATOS'!S25</f>
        <v>ID:</v>
      </c>
      <c r="W25" s="29" t="n">
        <f>IF(N25=0,0,COUNTIFS('REFERENCIAS'!$R$15:$R$64,U25))</f>
        <v>0</v>
      </c>
      <c r="X25" s="29" t="n">
        <f>IF(N25=0,0,COUNTIFS('DATOS'!$R$10:$R$509,U25,'DATOS'!$S$10:$S$509,V25))</f>
        <v>0</v>
      </c>
      <c r="Y25" s="29" t="n">
        <f>IF(AND(ISNUMBER('DATOS'!G25),ISNUMBER('DATOS'!H25),ISNUMBER('DATOS'!J25)),1,0)</f>
        <v>0</v>
      </c>
    </row>
    <row r="26" ht="64" customHeight="1">
      <c r="B26" s="26">
        <f>IF(N26=1,17,"")</f>
      </c>
      <c r="C26" s="26">
        <f>IF(AND(N26=1,LEN(TRIM('DATOS'!B26&amp;""))&gt;0),'DATOS'!B26,"")</f>
      </c>
      <c r="D26" s="26">
        <f>IF(AND(N26=1,LEN(TRIM('DATOS'!C26&amp;""))&gt;0),'DATOS'!C26,"")</f>
      </c>
      <c r="E26" s="26">
        <f>IF(NOT(ISNUMBER(P26)),"",IF(P26=2,"ROJO",IF(P26=1,"ÁMBAR","VERDE")))</f>
      </c>
      <c r="F26" s="26">
        <f>IF(NOT(ISNUMBER(Q26)),"",IF(Q26=2,"ROJO",IF(Q26=1,"ÁMBAR","VERDE")))</f>
      </c>
      <c r="G26" s="26">
        <f>IF(NOT(ISNUMBER(R26)),"",IF(R26=2,"ROJO",IF(R26=1,"ÁMBAR","VERDE")))</f>
      </c>
      <c r="H26" s="26">
        <f>IF(NOT(ISNUMBER(S26)),"",IF(S26=2,"ROJO",IF(S26=1,"ÁMBAR","VERDE")))</f>
      </c>
      <c r="I26" s="26">
        <f>IF(NOT(ISNUMBER(T26)),"",IF(T26=2,"ROJO",IF(T26=1,"ÁMBAR","VERDE")))</f>
      </c>
      <c r="J26" s="26">
        <f>IF(NOT(ISNUMBER(O26)),"",IF(O26=2,"ROJO",IF(O26=1,"ÁMBAR","VERDE")))</f>
      </c>
      <c r="K26" s="26">
        <f>IFERROR(IF(AND(N26=1,LEN(TRIM('DATOS'!N26&amp;""))&gt;0),'DATOS'!N26,""),"Hay una entrada con error. Corregimos el dato antes de cerrar la comprobación.")</f>
      </c>
      <c r="L26" s="26">
        <f>IFERROR(IF(N26=0,"",IF(O26&gt;0,"Completamos datos, claves o motivo. ","")&amp;IF(P26&gt;0,"Cotejamos precios e importe. ","")&amp;IF(Q26&gt;0,"Aclaramos el cero. ","")&amp;IF(R26&gt;0,"Comprobamos el texto. ","")&amp;IF(S26&gt;0,"Revisamos decimales visibles. ","")&amp;IF(T26&gt;0,"Confirmamos la unidad.","")),"Hay una entrada con error. Corregimos el dato antes de cerrar la comprobación.")</f>
      </c>
      <c r="N26" s="29" t="n">
        <f>IF(COUNTA('DATOS'!B26:O26)&gt;0,1,0)</f>
        <v>0</v>
      </c>
      <c r="O26" s="29">
        <f>IFERROR(IF(N26=0,"",IF(OR(NOT(AND(LEN(TRIM('DATOS'!B26&amp;""))&gt;0,TRIM('DATOS'!B26&amp;"")&lt;&gt;"Pendiente",TRIM('DATOS'!B26&amp;"")&lt;&gt;"Por confirmar",TRIM('DATOS'!B26&amp;"")&lt;&gt;"No consta",TRIM('DATOS'!B26&amp;"")&lt;&gt;"Desconocido",TRIM('DATOS'!B26&amp;"")&lt;&gt;"Sin confirmar",TRIM('DATOS'!B26&amp;"")&lt;&gt;"Por decidir",TRIM('DATOS'!B26&amp;"")&lt;&gt;"Por comprobar")),NOT(AND(LEN(TRIM('DATOS'!C26&amp;""))&gt;0,TRIM('DATOS'!C26&amp;"")&lt;&gt;"Pendiente",TRIM('DATOS'!C26&amp;"")&lt;&gt;"Por confirmar",TRIM('DATOS'!C26&amp;"")&lt;&gt;"No consta",TRIM('DATOS'!C26&amp;"")&lt;&gt;"Desconocido",TRIM('DATOS'!C26&amp;"")&lt;&gt;"Sin confirmar",TRIM('DATOS'!C26&amp;"")&lt;&gt;"Por decidir",TRIM('DATOS'!C26&amp;"")&lt;&gt;"Por comprobar")),NOT(AND(LEN(TRIM('DATOS'!D26&amp;""))&gt;0,TRIM('DATOS'!D26&amp;"")&lt;&gt;"Pendiente",TRIM('DATOS'!D26&amp;"")&lt;&gt;"Por confirmar",TRIM('DATOS'!D26&amp;"")&lt;&gt;"No consta",TRIM('DATOS'!D26&amp;"")&lt;&gt;"Desconocido",TRIM('DATOS'!D26&amp;"")&lt;&gt;"Sin confirmar",TRIM('DATOS'!D26&amp;"")&lt;&gt;"Por decidir",TRIM('DATOS'!D26&amp;"")&lt;&gt;"Por comprobar")),NOT(AND(LEN(TRIM('DATOS'!E26&amp;""))&gt;0,TRIM('DATOS'!E26&amp;"")&lt;&gt;"Pendiente",TRIM('DATOS'!E26&amp;"")&lt;&gt;"Por confirmar",TRIM('DATOS'!E26&amp;"")&lt;&gt;"No consta",TRIM('DATOS'!E26&amp;"")&lt;&gt;"Desconocido",TRIM('DATOS'!E26&amp;"")&lt;&gt;"Sin confirmar",TRIM('DATOS'!E26&amp;"")&lt;&gt;"Por decidir",TRIM('DATOS'!E26&amp;"")&lt;&gt;"Por comprobar")),NOT(AND(LEN(TRIM('DATOS'!F26&amp;""))&gt;0,TRIM('DATOS'!F26&amp;"")&lt;&gt;"Pendiente",TRIM('DATOS'!F26&amp;"")&lt;&gt;"Por confirmar",TRIM('DATOS'!F26&amp;"")&lt;&gt;"No consta",TRIM('DATOS'!F26&amp;"")&lt;&gt;"Desconocido",TRIM('DATOS'!F26&amp;"")&lt;&gt;"Sin confirmar",TRIM('DATOS'!F26&amp;"")&lt;&gt;"Por decidir",TRIM('DATOS'!F26&amp;"")&lt;&gt;"Por comprobar")),NOT(AND(LEN(TRIM('DATOS'!N26&amp;""))&gt;0,TRIM('DATOS'!N26&amp;"")&lt;&gt;"Pendiente",TRIM('DATOS'!N26&amp;"")&lt;&gt;"Por confirmar",TRIM('DATOS'!N26&amp;"")&lt;&gt;"No consta",TRIM('DATOS'!N26&amp;"")&lt;&gt;"Desconocido",TRIM('DATOS'!N26&amp;"")&lt;&gt;"Sin confirmar",TRIM('DATOS'!N26&amp;"")&lt;&gt;"Por decidir",TRIM('DATOS'!N26&amp;"")&lt;&gt;"Por comprobar")),NOT(Y26=1),W26&lt;&gt;1,X26&gt;1,NOT(OR(LEN(TRIM('DATOS'!K26&amp;""))=0,'DATOS'!K26="Sin valorar",'DATOS'!K26="Sin coste documentado",'DATOS'!K26="Incluido en otra partida",'DATOS'!K26="Por confirmar")),NOT(OR(LEN(TRIM('DATOS'!M26&amp;""))=0,'DATOS'!M26="Sí",'DATOS'!M26="No",'DATOS'!M26="Por confirmar")),NOT(OR(LEN(TRIM('DATOS'!O26&amp;""))=0,'DATOS'!O26="Comparamos",'DATOS'!O26="No existe",'DATOS'!O26="Por confirmar"))),2,IF(AND(OR('DATOS'!G26&lt;0,'DATOS'!H26&lt;0,'DATOS'!J26&lt;0),NOT(AND(LEN(TRIM('DATOS'!L26&amp;""))&gt;0,TRIM('DATOS'!L26&amp;"")&lt;&gt;"Pendiente",TRIM('DATOS'!L26&amp;"")&lt;&gt;"Por confirmar",TRIM('DATOS'!L26&amp;"")&lt;&gt;"No consta",TRIM('DATOS'!L26&amp;"")&lt;&gt;"Desconocido",TRIM('DATOS'!L26&amp;"")&lt;&gt;"Sin confirmar",TRIM('DATOS'!L26&amp;"")&lt;&gt;"Por decidir",TRIM('DATOS'!L26&amp;"")&lt;&gt;"Por comprobar"))),1,0))),2)</f>
      </c>
      <c r="P26" s="29">
        <f>IFERROR(IF(N26=0,"",IF(NOT(Y26=1),1,IF('REFERENCIAS'!$Q$8&lt;&gt;1,2,IF(ABS('DATOS'!J26-ROUND('DATOS'!G26*'DATOS'!H26,'REFERENCIAS'!$K$8))&gt;0.00000001,2,IF('DATOS'!O26="No existe",IF(LEN(TRIM('DATOS'!I26&amp;""))=0,0,2),IF('DATOS'!O26="Comparamos",IF(LEN(TRIM('DATOS'!I26&amp;""))=0,1,IF(ISNUMBER('DATOS'!I26),IF(ABS('DATOS'!H26-'DATOS'!I26)&gt;0.00000001,2,0),2)),1)))))),2)</f>
      </c>
      <c r="Q26" s="29">
        <f>IFERROR(IF(N26=0,"",IF(NOT(Y26=1),1,IF('DATOS'!K26="Sin valorar",2,IF('DATOS'!G26=0,1,IF(OR('DATOS'!H26=0,'DATOS'!J26=0),IF(AND(OR('DATOS'!K26="Sin coste documentado",'DATOS'!K26="Incluido en otra partida"),AND(LEN(TRIM('DATOS'!L26&amp;""))&gt;0,TRIM('DATOS'!L26&amp;"")&lt;&gt;"Pendiente",TRIM('DATOS'!L26&amp;"")&lt;&gt;"Por confirmar",TRIM('DATOS'!L26&amp;"")&lt;&gt;"No consta",TRIM('DATOS'!L26&amp;"")&lt;&gt;"Desconocido",TRIM('DATOS'!L26&amp;"")&lt;&gt;"Sin confirmar",TRIM('DATOS'!L26&amp;"")&lt;&gt;"Por decidir",TRIM('DATOS'!L26&amp;"")&lt;&gt;"Por comprobar")),0,1),0))))),2)</f>
      </c>
      <c r="R26" s="29">
        <f>IFERROR(IF(N26=0,"",IF(OR(NOT(AND(LEN(TRIM('DATOS'!D26&amp;""))&gt;0,TRIM('DATOS'!D26&amp;"")&lt;&gt;"Pendiente",TRIM('DATOS'!D26&amp;"")&lt;&gt;"Por confirmar",TRIM('DATOS'!D26&amp;"")&lt;&gt;"No consta",TRIM('DATOS'!D26&amp;"")&lt;&gt;"Desconocido",TRIM('DATOS'!D26&amp;"")&lt;&gt;"Sin confirmar",TRIM('DATOS'!D26&amp;"")&lt;&gt;"Por decidir",TRIM('DATOS'!D26&amp;"")&lt;&gt;"Por comprobar")),NOT(AND(LEN(TRIM('DATOS'!E26&amp;""))&gt;0,TRIM('DATOS'!E26&amp;"")&lt;&gt;"Pendiente",TRIM('DATOS'!E26&amp;"")&lt;&gt;"Por confirmar",TRIM('DATOS'!E26&amp;"")&lt;&gt;"No consta",TRIM('DATOS'!E26&amp;"")&lt;&gt;"Desconocido",TRIM('DATOS'!E26&amp;"")&lt;&gt;"Sin confirmar",TRIM('DATOS'!E26&amp;"")&lt;&gt;"Por decidir",TRIM('DATOS'!E26&amp;"")&lt;&gt;"Por comprobar"))),2,IF('DATOS'!M26="No",2,IF('DATOS'!M26="Sí",0,IF(OR('DATOS'!D26&lt;&gt;'DATOS'!E26,LEN('DATOS'!E26)&gt;300,RIGHT(TRIM('DATOS'!E26),3)="...",RIGHT(TRIM('DATOS'!E26),1)="…"),1,0))))),2)</f>
      </c>
      <c r="S26" s="29">
        <f>IFERROR(IF(N26=0,"",IF('REFERENCIAS'!$Q$8&lt;&gt;1,2,IF(NOT(Y26=1),1,IF(OR(ABS('DATOS'!G26-ROUND('DATOS'!G26,'REFERENCIAS'!$E$8))&gt;0.00000001,ABS('DATOS'!H26-ROUND('DATOS'!H26,'REFERENCIAS'!$H$8))&gt;0.00000001,ABS('DATOS'!J26-ROUND('DATOS'!J26,'REFERENCIAS'!$K$8))&gt;0.00000001,IF(ISNUMBER('DATOS'!I26),ABS('DATOS'!I26-ROUND('DATOS'!I26,'REFERENCIAS'!$H$8))&gt;0.00000001,FALSE)),1,0)))),2)</f>
      </c>
      <c r="T26" s="29">
        <f>IFERROR(IF(N26=0,"",IF(NOT(AND(LEN(TRIM('DATOS'!F26&amp;""))&gt;0,TRIM('DATOS'!F26&amp;"")&lt;&gt;"Pendiente",TRIM('DATOS'!F26&amp;"")&lt;&gt;"Por confirmar",TRIM('DATOS'!F26&amp;"")&lt;&gt;"No consta",TRIM('DATOS'!F26&amp;"")&lt;&gt;"Desconocido",TRIM('DATOS'!F26&amp;"")&lt;&gt;"Sin confirmar",TRIM('DATOS'!F26&amp;"")&lt;&gt;"Por decidir",TRIM('DATOS'!F26&amp;"")&lt;&gt;"Por comprobar")),2,IF(COUNTIFS('REFERENCIAS'!$T$15:$T$34,"ID:"&amp;SUBSTITUTE(SUBSTITUTE(SUBSTITUTE(SUBSTITUTE(UPPER(TRIM('DATOS'!F26&amp;"")),"!","!E"),"*","!A"),"?","!B"),"~","!C"),'REFERENCIAS'!$H$15:$H$34,"&lt;&gt;")&gt;0,0,1))),2)</f>
      </c>
      <c r="U26" s="29" t="str">
        <f>'DATOS'!R26</f>
        <v>ID:</v>
      </c>
      <c r="V26" s="29" t="str">
        <f>'DATOS'!S26</f>
        <v>ID:</v>
      </c>
      <c r="W26" s="29" t="n">
        <f>IF(N26=0,0,COUNTIFS('REFERENCIAS'!$R$15:$R$64,U26))</f>
        <v>0</v>
      </c>
      <c r="X26" s="29" t="n">
        <f>IF(N26=0,0,COUNTIFS('DATOS'!$R$10:$R$509,U26,'DATOS'!$S$10:$S$509,V26))</f>
        <v>0</v>
      </c>
      <c r="Y26" s="29" t="n">
        <f>IF(AND(ISNUMBER('DATOS'!G26),ISNUMBER('DATOS'!H26),ISNUMBER('DATOS'!J26)),1,0)</f>
        <v>0</v>
      </c>
    </row>
    <row r="27" ht="64" customHeight="1">
      <c r="B27" s="26">
        <f>IF(N27=1,18,"")</f>
      </c>
      <c r="C27" s="26">
        <f>IF(AND(N27=1,LEN(TRIM('DATOS'!B27&amp;""))&gt;0),'DATOS'!B27,"")</f>
      </c>
      <c r="D27" s="26">
        <f>IF(AND(N27=1,LEN(TRIM('DATOS'!C27&amp;""))&gt;0),'DATOS'!C27,"")</f>
      </c>
      <c r="E27" s="26">
        <f>IF(NOT(ISNUMBER(P27)),"",IF(P27=2,"ROJO",IF(P27=1,"ÁMBAR","VERDE")))</f>
      </c>
      <c r="F27" s="26">
        <f>IF(NOT(ISNUMBER(Q27)),"",IF(Q27=2,"ROJO",IF(Q27=1,"ÁMBAR","VERDE")))</f>
      </c>
      <c r="G27" s="26">
        <f>IF(NOT(ISNUMBER(R27)),"",IF(R27=2,"ROJO",IF(R27=1,"ÁMBAR","VERDE")))</f>
      </c>
      <c r="H27" s="26">
        <f>IF(NOT(ISNUMBER(S27)),"",IF(S27=2,"ROJO",IF(S27=1,"ÁMBAR","VERDE")))</f>
      </c>
      <c r="I27" s="26">
        <f>IF(NOT(ISNUMBER(T27)),"",IF(T27=2,"ROJO",IF(T27=1,"ÁMBAR","VERDE")))</f>
      </c>
      <c r="J27" s="26">
        <f>IF(NOT(ISNUMBER(O27)),"",IF(O27=2,"ROJO",IF(O27=1,"ÁMBAR","VERDE")))</f>
      </c>
      <c r="K27" s="26">
        <f>IFERROR(IF(AND(N27=1,LEN(TRIM('DATOS'!N27&amp;""))&gt;0),'DATOS'!N27,""),"Hay una entrada con error. Corregimos el dato antes de cerrar la comprobación.")</f>
      </c>
      <c r="L27" s="26">
        <f>IFERROR(IF(N27=0,"",IF(O27&gt;0,"Completamos datos, claves o motivo. ","")&amp;IF(P27&gt;0,"Cotejamos precios e importe. ","")&amp;IF(Q27&gt;0,"Aclaramos el cero. ","")&amp;IF(R27&gt;0,"Comprobamos el texto. ","")&amp;IF(S27&gt;0,"Revisamos decimales visibles. ","")&amp;IF(T27&gt;0,"Confirmamos la unidad.","")),"Hay una entrada con error. Corregimos el dato antes de cerrar la comprobación.")</f>
      </c>
      <c r="N27" s="29" t="n">
        <f>IF(COUNTA('DATOS'!B27:O27)&gt;0,1,0)</f>
        <v>0</v>
      </c>
      <c r="O27" s="29">
        <f>IFERROR(IF(N27=0,"",IF(OR(NOT(AND(LEN(TRIM('DATOS'!B27&amp;""))&gt;0,TRIM('DATOS'!B27&amp;"")&lt;&gt;"Pendiente",TRIM('DATOS'!B27&amp;"")&lt;&gt;"Por confirmar",TRIM('DATOS'!B27&amp;"")&lt;&gt;"No consta",TRIM('DATOS'!B27&amp;"")&lt;&gt;"Desconocido",TRIM('DATOS'!B27&amp;"")&lt;&gt;"Sin confirmar",TRIM('DATOS'!B27&amp;"")&lt;&gt;"Por decidir",TRIM('DATOS'!B27&amp;"")&lt;&gt;"Por comprobar")),NOT(AND(LEN(TRIM('DATOS'!C27&amp;""))&gt;0,TRIM('DATOS'!C27&amp;"")&lt;&gt;"Pendiente",TRIM('DATOS'!C27&amp;"")&lt;&gt;"Por confirmar",TRIM('DATOS'!C27&amp;"")&lt;&gt;"No consta",TRIM('DATOS'!C27&amp;"")&lt;&gt;"Desconocido",TRIM('DATOS'!C27&amp;"")&lt;&gt;"Sin confirmar",TRIM('DATOS'!C27&amp;"")&lt;&gt;"Por decidir",TRIM('DATOS'!C27&amp;"")&lt;&gt;"Por comprobar")),NOT(AND(LEN(TRIM('DATOS'!D27&amp;""))&gt;0,TRIM('DATOS'!D27&amp;"")&lt;&gt;"Pendiente",TRIM('DATOS'!D27&amp;"")&lt;&gt;"Por confirmar",TRIM('DATOS'!D27&amp;"")&lt;&gt;"No consta",TRIM('DATOS'!D27&amp;"")&lt;&gt;"Desconocido",TRIM('DATOS'!D27&amp;"")&lt;&gt;"Sin confirmar",TRIM('DATOS'!D27&amp;"")&lt;&gt;"Por decidir",TRIM('DATOS'!D27&amp;"")&lt;&gt;"Por comprobar")),NOT(AND(LEN(TRIM('DATOS'!E27&amp;""))&gt;0,TRIM('DATOS'!E27&amp;"")&lt;&gt;"Pendiente",TRIM('DATOS'!E27&amp;"")&lt;&gt;"Por confirmar",TRIM('DATOS'!E27&amp;"")&lt;&gt;"No consta",TRIM('DATOS'!E27&amp;"")&lt;&gt;"Desconocido",TRIM('DATOS'!E27&amp;"")&lt;&gt;"Sin confirmar",TRIM('DATOS'!E27&amp;"")&lt;&gt;"Por decidir",TRIM('DATOS'!E27&amp;"")&lt;&gt;"Por comprobar")),NOT(AND(LEN(TRIM('DATOS'!F27&amp;""))&gt;0,TRIM('DATOS'!F27&amp;"")&lt;&gt;"Pendiente",TRIM('DATOS'!F27&amp;"")&lt;&gt;"Por confirmar",TRIM('DATOS'!F27&amp;"")&lt;&gt;"No consta",TRIM('DATOS'!F27&amp;"")&lt;&gt;"Desconocido",TRIM('DATOS'!F27&amp;"")&lt;&gt;"Sin confirmar",TRIM('DATOS'!F27&amp;"")&lt;&gt;"Por decidir",TRIM('DATOS'!F27&amp;"")&lt;&gt;"Por comprobar")),NOT(AND(LEN(TRIM('DATOS'!N27&amp;""))&gt;0,TRIM('DATOS'!N27&amp;"")&lt;&gt;"Pendiente",TRIM('DATOS'!N27&amp;"")&lt;&gt;"Por confirmar",TRIM('DATOS'!N27&amp;"")&lt;&gt;"No consta",TRIM('DATOS'!N27&amp;"")&lt;&gt;"Desconocido",TRIM('DATOS'!N27&amp;"")&lt;&gt;"Sin confirmar",TRIM('DATOS'!N27&amp;"")&lt;&gt;"Por decidir",TRIM('DATOS'!N27&amp;"")&lt;&gt;"Por comprobar")),NOT(Y27=1),W27&lt;&gt;1,X27&gt;1,NOT(OR(LEN(TRIM('DATOS'!K27&amp;""))=0,'DATOS'!K27="Sin valorar",'DATOS'!K27="Sin coste documentado",'DATOS'!K27="Incluido en otra partida",'DATOS'!K27="Por confirmar")),NOT(OR(LEN(TRIM('DATOS'!M27&amp;""))=0,'DATOS'!M27="Sí",'DATOS'!M27="No",'DATOS'!M27="Por confirmar")),NOT(OR(LEN(TRIM('DATOS'!O27&amp;""))=0,'DATOS'!O27="Comparamos",'DATOS'!O27="No existe",'DATOS'!O27="Por confirmar"))),2,IF(AND(OR('DATOS'!G27&lt;0,'DATOS'!H27&lt;0,'DATOS'!J27&lt;0),NOT(AND(LEN(TRIM('DATOS'!L27&amp;""))&gt;0,TRIM('DATOS'!L27&amp;"")&lt;&gt;"Pendiente",TRIM('DATOS'!L27&amp;"")&lt;&gt;"Por confirmar",TRIM('DATOS'!L27&amp;"")&lt;&gt;"No consta",TRIM('DATOS'!L27&amp;"")&lt;&gt;"Desconocido",TRIM('DATOS'!L27&amp;"")&lt;&gt;"Sin confirmar",TRIM('DATOS'!L27&amp;"")&lt;&gt;"Por decidir",TRIM('DATOS'!L27&amp;"")&lt;&gt;"Por comprobar"))),1,0))),2)</f>
      </c>
      <c r="P27" s="29">
        <f>IFERROR(IF(N27=0,"",IF(NOT(Y27=1),1,IF('REFERENCIAS'!$Q$8&lt;&gt;1,2,IF(ABS('DATOS'!J27-ROUND('DATOS'!G27*'DATOS'!H27,'REFERENCIAS'!$K$8))&gt;0.00000001,2,IF('DATOS'!O27="No existe",IF(LEN(TRIM('DATOS'!I27&amp;""))=0,0,2),IF('DATOS'!O27="Comparamos",IF(LEN(TRIM('DATOS'!I27&amp;""))=0,1,IF(ISNUMBER('DATOS'!I27),IF(ABS('DATOS'!H27-'DATOS'!I27)&gt;0.00000001,2,0),2)),1)))))),2)</f>
      </c>
      <c r="Q27" s="29">
        <f>IFERROR(IF(N27=0,"",IF(NOT(Y27=1),1,IF('DATOS'!K27="Sin valorar",2,IF('DATOS'!G27=0,1,IF(OR('DATOS'!H27=0,'DATOS'!J27=0),IF(AND(OR('DATOS'!K27="Sin coste documentado",'DATOS'!K27="Incluido en otra partida"),AND(LEN(TRIM('DATOS'!L27&amp;""))&gt;0,TRIM('DATOS'!L27&amp;"")&lt;&gt;"Pendiente",TRIM('DATOS'!L27&amp;"")&lt;&gt;"Por confirmar",TRIM('DATOS'!L27&amp;"")&lt;&gt;"No consta",TRIM('DATOS'!L27&amp;"")&lt;&gt;"Desconocido",TRIM('DATOS'!L27&amp;"")&lt;&gt;"Sin confirmar",TRIM('DATOS'!L27&amp;"")&lt;&gt;"Por decidir",TRIM('DATOS'!L27&amp;"")&lt;&gt;"Por comprobar")),0,1),0))))),2)</f>
      </c>
      <c r="R27" s="29">
        <f>IFERROR(IF(N27=0,"",IF(OR(NOT(AND(LEN(TRIM('DATOS'!D27&amp;""))&gt;0,TRIM('DATOS'!D27&amp;"")&lt;&gt;"Pendiente",TRIM('DATOS'!D27&amp;"")&lt;&gt;"Por confirmar",TRIM('DATOS'!D27&amp;"")&lt;&gt;"No consta",TRIM('DATOS'!D27&amp;"")&lt;&gt;"Desconocido",TRIM('DATOS'!D27&amp;"")&lt;&gt;"Sin confirmar",TRIM('DATOS'!D27&amp;"")&lt;&gt;"Por decidir",TRIM('DATOS'!D27&amp;"")&lt;&gt;"Por comprobar")),NOT(AND(LEN(TRIM('DATOS'!E27&amp;""))&gt;0,TRIM('DATOS'!E27&amp;"")&lt;&gt;"Pendiente",TRIM('DATOS'!E27&amp;"")&lt;&gt;"Por confirmar",TRIM('DATOS'!E27&amp;"")&lt;&gt;"No consta",TRIM('DATOS'!E27&amp;"")&lt;&gt;"Desconocido",TRIM('DATOS'!E27&amp;"")&lt;&gt;"Sin confirmar",TRIM('DATOS'!E27&amp;"")&lt;&gt;"Por decidir",TRIM('DATOS'!E27&amp;"")&lt;&gt;"Por comprobar"))),2,IF('DATOS'!M27="No",2,IF('DATOS'!M27="Sí",0,IF(OR('DATOS'!D27&lt;&gt;'DATOS'!E27,LEN('DATOS'!E27)&gt;300,RIGHT(TRIM('DATOS'!E27),3)="...",RIGHT(TRIM('DATOS'!E27),1)="…"),1,0))))),2)</f>
      </c>
      <c r="S27" s="29">
        <f>IFERROR(IF(N27=0,"",IF('REFERENCIAS'!$Q$8&lt;&gt;1,2,IF(NOT(Y27=1),1,IF(OR(ABS('DATOS'!G27-ROUND('DATOS'!G27,'REFERENCIAS'!$E$8))&gt;0.00000001,ABS('DATOS'!H27-ROUND('DATOS'!H27,'REFERENCIAS'!$H$8))&gt;0.00000001,ABS('DATOS'!J27-ROUND('DATOS'!J27,'REFERENCIAS'!$K$8))&gt;0.00000001,IF(ISNUMBER('DATOS'!I27),ABS('DATOS'!I27-ROUND('DATOS'!I27,'REFERENCIAS'!$H$8))&gt;0.00000001,FALSE)),1,0)))),2)</f>
      </c>
      <c r="T27" s="29">
        <f>IFERROR(IF(N27=0,"",IF(NOT(AND(LEN(TRIM('DATOS'!F27&amp;""))&gt;0,TRIM('DATOS'!F27&amp;"")&lt;&gt;"Pendiente",TRIM('DATOS'!F27&amp;"")&lt;&gt;"Por confirmar",TRIM('DATOS'!F27&amp;"")&lt;&gt;"No consta",TRIM('DATOS'!F27&amp;"")&lt;&gt;"Desconocido",TRIM('DATOS'!F27&amp;"")&lt;&gt;"Sin confirmar",TRIM('DATOS'!F27&amp;"")&lt;&gt;"Por decidir",TRIM('DATOS'!F27&amp;"")&lt;&gt;"Por comprobar")),2,IF(COUNTIFS('REFERENCIAS'!$T$15:$T$34,"ID:"&amp;SUBSTITUTE(SUBSTITUTE(SUBSTITUTE(SUBSTITUTE(UPPER(TRIM('DATOS'!F27&amp;"")),"!","!E"),"*","!A"),"?","!B"),"~","!C"),'REFERENCIAS'!$H$15:$H$34,"&lt;&gt;")&gt;0,0,1))),2)</f>
      </c>
      <c r="U27" s="29" t="str">
        <f>'DATOS'!R27</f>
        <v>ID:</v>
      </c>
      <c r="V27" s="29" t="str">
        <f>'DATOS'!S27</f>
        <v>ID:</v>
      </c>
      <c r="W27" s="29" t="n">
        <f>IF(N27=0,0,COUNTIFS('REFERENCIAS'!$R$15:$R$64,U27))</f>
        <v>0</v>
      </c>
      <c r="X27" s="29" t="n">
        <f>IF(N27=0,0,COUNTIFS('DATOS'!$R$10:$R$509,U27,'DATOS'!$S$10:$S$509,V27))</f>
        <v>0</v>
      </c>
      <c r="Y27" s="29" t="n">
        <f>IF(AND(ISNUMBER('DATOS'!G27),ISNUMBER('DATOS'!H27),ISNUMBER('DATOS'!J27)),1,0)</f>
        <v>0</v>
      </c>
    </row>
    <row r="28" ht="64" customHeight="1">
      <c r="B28" s="26">
        <f>IF(N28=1,19,"")</f>
      </c>
      <c r="C28" s="26">
        <f>IF(AND(N28=1,LEN(TRIM('DATOS'!B28&amp;""))&gt;0),'DATOS'!B28,"")</f>
      </c>
      <c r="D28" s="26">
        <f>IF(AND(N28=1,LEN(TRIM('DATOS'!C28&amp;""))&gt;0),'DATOS'!C28,"")</f>
      </c>
      <c r="E28" s="26">
        <f>IF(NOT(ISNUMBER(P28)),"",IF(P28=2,"ROJO",IF(P28=1,"ÁMBAR","VERDE")))</f>
      </c>
      <c r="F28" s="26">
        <f>IF(NOT(ISNUMBER(Q28)),"",IF(Q28=2,"ROJO",IF(Q28=1,"ÁMBAR","VERDE")))</f>
      </c>
      <c r="G28" s="26">
        <f>IF(NOT(ISNUMBER(R28)),"",IF(R28=2,"ROJO",IF(R28=1,"ÁMBAR","VERDE")))</f>
      </c>
      <c r="H28" s="26">
        <f>IF(NOT(ISNUMBER(S28)),"",IF(S28=2,"ROJO",IF(S28=1,"ÁMBAR","VERDE")))</f>
      </c>
      <c r="I28" s="26">
        <f>IF(NOT(ISNUMBER(T28)),"",IF(T28=2,"ROJO",IF(T28=1,"ÁMBAR","VERDE")))</f>
      </c>
      <c r="J28" s="26">
        <f>IF(NOT(ISNUMBER(O28)),"",IF(O28=2,"ROJO",IF(O28=1,"ÁMBAR","VERDE")))</f>
      </c>
      <c r="K28" s="26">
        <f>IFERROR(IF(AND(N28=1,LEN(TRIM('DATOS'!N28&amp;""))&gt;0),'DATOS'!N28,""),"Hay una entrada con error. Corregimos el dato antes de cerrar la comprobación.")</f>
      </c>
      <c r="L28" s="26">
        <f>IFERROR(IF(N28=0,"",IF(O28&gt;0,"Completamos datos, claves o motivo. ","")&amp;IF(P28&gt;0,"Cotejamos precios e importe. ","")&amp;IF(Q28&gt;0,"Aclaramos el cero. ","")&amp;IF(R28&gt;0,"Comprobamos el texto. ","")&amp;IF(S28&gt;0,"Revisamos decimales visibles. ","")&amp;IF(T28&gt;0,"Confirmamos la unidad.","")),"Hay una entrada con error. Corregimos el dato antes de cerrar la comprobación.")</f>
      </c>
      <c r="N28" s="29" t="n">
        <f>IF(COUNTA('DATOS'!B28:O28)&gt;0,1,0)</f>
        <v>0</v>
      </c>
      <c r="O28" s="29">
        <f>IFERROR(IF(N28=0,"",IF(OR(NOT(AND(LEN(TRIM('DATOS'!B28&amp;""))&gt;0,TRIM('DATOS'!B28&amp;"")&lt;&gt;"Pendiente",TRIM('DATOS'!B28&amp;"")&lt;&gt;"Por confirmar",TRIM('DATOS'!B28&amp;"")&lt;&gt;"No consta",TRIM('DATOS'!B28&amp;"")&lt;&gt;"Desconocido",TRIM('DATOS'!B28&amp;"")&lt;&gt;"Sin confirmar",TRIM('DATOS'!B28&amp;"")&lt;&gt;"Por decidir",TRIM('DATOS'!B28&amp;"")&lt;&gt;"Por comprobar")),NOT(AND(LEN(TRIM('DATOS'!C28&amp;""))&gt;0,TRIM('DATOS'!C28&amp;"")&lt;&gt;"Pendiente",TRIM('DATOS'!C28&amp;"")&lt;&gt;"Por confirmar",TRIM('DATOS'!C28&amp;"")&lt;&gt;"No consta",TRIM('DATOS'!C28&amp;"")&lt;&gt;"Desconocido",TRIM('DATOS'!C28&amp;"")&lt;&gt;"Sin confirmar",TRIM('DATOS'!C28&amp;"")&lt;&gt;"Por decidir",TRIM('DATOS'!C28&amp;"")&lt;&gt;"Por comprobar")),NOT(AND(LEN(TRIM('DATOS'!D28&amp;""))&gt;0,TRIM('DATOS'!D28&amp;"")&lt;&gt;"Pendiente",TRIM('DATOS'!D28&amp;"")&lt;&gt;"Por confirmar",TRIM('DATOS'!D28&amp;"")&lt;&gt;"No consta",TRIM('DATOS'!D28&amp;"")&lt;&gt;"Desconocido",TRIM('DATOS'!D28&amp;"")&lt;&gt;"Sin confirmar",TRIM('DATOS'!D28&amp;"")&lt;&gt;"Por decidir",TRIM('DATOS'!D28&amp;"")&lt;&gt;"Por comprobar")),NOT(AND(LEN(TRIM('DATOS'!E28&amp;""))&gt;0,TRIM('DATOS'!E28&amp;"")&lt;&gt;"Pendiente",TRIM('DATOS'!E28&amp;"")&lt;&gt;"Por confirmar",TRIM('DATOS'!E28&amp;"")&lt;&gt;"No consta",TRIM('DATOS'!E28&amp;"")&lt;&gt;"Desconocido",TRIM('DATOS'!E28&amp;"")&lt;&gt;"Sin confirmar",TRIM('DATOS'!E28&amp;"")&lt;&gt;"Por decidir",TRIM('DATOS'!E28&amp;"")&lt;&gt;"Por comprobar")),NOT(AND(LEN(TRIM('DATOS'!F28&amp;""))&gt;0,TRIM('DATOS'!F28&amp;"")&lt;&gt;"Pendiente",TRIM('DATOS'!F28&amp;"")&lt;&gt;"Por confirmar",TRIM('DATOS'!F28&amp;"")&lt;&gt;"No consta",TRIM('DATOS'!F28&amp;"")&lt;&gt;"Desconocido",TRIM('DATOS'!F28&amp;"")&lt;&gt;"Sin confirmar",TRIM('DATOS'!F28&amp;"")&lt;&gt;"Por decidir",TRIM('DATOS'!F28&amp;"")&lt;&gt;"Por comprobar")),NOT(AND(LEN(TRIM('DATOS'!N28&amp;""))&gt;0,TRIM('DATOS'!N28&amp;"")&lt;&gt;"Pendiente",TRIM('DATOS'!N28&amp;"")&lt;&gt;"Por confirmar",TRIM('DATOS'!N28&amp;"")&lt;&gt;"No consta",TRIM('DATOS'!N28&amp;"")&lt;&gt;"Desconocido",TRIM('DATOS'!N28&amp;"")&lt;&gt;"Sin confirmar",TRIM('DATOS'!N28&amp;"")&lt;&gt;"Por decidir",TRIM('DATOS'!N28&amp;"")&lt;&gt;"Por comprobar")),NOT(Y28=1),W28&lt;&gt;1,X28&gt;1,NOT(OR(LEN(TRIM('DATOS'!K28&amp;""))=0,'DATOS'!K28="Sin valorar",'DATOS'!K28="Sin coste documentado",'DATOS'!K28="Incluido en otra partida",'DATOS'!K28="Por confirmar")),NOT(OR(LEN(TRIM('DATOS'!M28&amp;""))=0,'DATOS'!M28="Sí",'DATOS'!M28="No",'DATOS'!M28="Por confirmar")),NOT(OR(LEN(TRIM('DATOS'!O28&amp;""))=0,'DATOS'!O28="Comparamos",'DATOS'!O28="No existe",'DATOS'!O28="Por confirmar"))),2,IF(AND(OR('DATOS'!G28&lt;0,'DATOS'!H28&lt;0,'DATOS'!J28&lt;0),NOT(AND(LEN(TRIM('DATOS'!L28&amp;""))&gt;0,TRIM('DATOS'!L28&amp;"")&lt;&gt;"Pendiente",TRIM('DATOS'!L28&amp;"")&lt;&gt;"Por confirmar",TRIM('DATOS'!L28&amp;"")&lt;&gt;"No consta",TRIM('DATOS'!L28&amp;"")&lt;&gt;"Desconocido",TRIM('DATOS'!L28&amp;"")&lt;&gt;"Sin confirmar",TRIM('DATOS'!L28&amp;"")&lt;&gt;"Por decidir",TRIM('DATOS'!L28&amp;"")&lt;&gt;"Por comprobar"))),1,0))),2)</f>
      </c>
      <c r="P28" s="29">
        <f>IFERROR(IF(N28=0,"",IF(NOT(Y28=1),1,IF('REFERENCIAS'!$Q$8&lt;&gt;1,2,IF(ABS('DATOS'!J28-ROUND('DATOS'!G28*'DATOS'!H28,'REFERENCIAS'!$K$8))&gt;0.00000001,2,IF('DATOS'!O28="No existe",IF(LEN(TRIM('DATOS'!I28&amp;""))=0,0,2),IF('DATOS'!O28="Comparamos",IF(LEN(TRIM('DATOS'!I28&amp;""))=0,1,IF(ISNUMBER('DATOS'!I28),IF(ABS('DATOS'!H28-'DATOS'!I28)&gt;0.00000001,2,0),2)),1)))))),2)</f>
      </c>
      <c r="Q28" s="29">
        <f>IFERROR(IF(N28=0,"",IF(NOT(Y28=1),1,IF('DATOS'!K28="Sin valorar",2,IF('DATOS'!G28=0,1,IF(OR('DATOS'!H28=0,'DATOS'!J28=0),IF(AND(OR('DATOS'!K28="Sin coste documentado",'DATOS'!K28="Incluido en otra partida"),AND(LEN(TRIM('DATOS'!L28&amp;""))&gt;0,TRIM('DATOS'!L28&amp;"")&lt;&gt;"Pendiente",TRIM('DATOS'!L28&amp;"")&lt;&gt;"Por confirmar",TRIM('DATOS'!L28&amp;"")&lt;&gt;"No consta",TRIM('DATOS'!L28&amp;"")&lt;&gt;"Desconocido",TRIM('DATOS'!L28&amp;"")&lt;&gt;"Sin confirmar",TRIM('DATOS'!L28&amp;"")&lt;&gt;"Por decidir",TRIM('DATOS'!L28&amp;"")&lt;&gt;"Por comprobar")),0,1),0))))),2)</f>
      </c>
      <c r="R28" s="29">
        <f>IFERROR(IF(N28=0,"",IF(OR(NOT(AND(LEN(TRIM('DATOS'!D28&amp;""))&gt;0,TRIM('DATOS'!D28&amp;"")&lt;&gt;"Pendiente",TRIM('DATOS'!D28&amp;"")&lt;&gt;"Por confirmar",TRIM('DATOS'!D28&amp;"")&lt;&gt;"No consta",TRIM('DATOS'!D28&amp;"")&lt;&gt;"Desconocido",TRIM('DATOS'!D28&amp;"")&lt;&gt;"Sin confirmar",TRIM('DATOS'!D28&amp;"")&lt;&gt;"Por decidir",TRIM('DATOS'!D28&amp;"")&lt;&gt;"Por comprobar")),NOT(AND(LEN(TRIM('DATOS'!E28&amp;""))&gt;0,TRIM('DATOS'!E28&amp;"")&lt;&gt;"Pendiente",TRIM('DATOS'!E28&amp;"")&lt;&gt;"Por confirmar",TRIM('DATOS'!E28&amp;"")&lt;&gt;"No consta",TRIM('DATOS'!E28&amp;"")&lt;&gt;"Desconocido",TRIM('DATOS'!E28&amp;"")&lt;&gt;"Sin confirmar",TRIM('DATOS'!E28&amp;"")&lt;&gt;"Por decidir",TRIM('DATOS'!E28&amp;"")&lt;&gt;"Por comprobar"))),2,IF('DATOS'!M28="No",2,IF('DATOS'!M28="Sí",0,IF(OR('DATOS'!D28&lt;&gt;'DATOS'!E28,LEN('DATOS'!E28)&gt;300,RIGHT(TRIM('DATOS'!E28),3)="...",RIGHT(TRIM('DATOS'!E28),1)="…"),1,0))))),2)</f>
      </c>
      <c r="S28" s="29">
        <f>IFERROR(IF(N28=0,"",IF('REFERENCIAS'!$Q$8&lt;&gt;1,2,IF(NOT(Y28=1),1,IF(OR(ABS('DATOS'!G28-ROUND('DATOS'!G28,'REFERENCIAS'!$E$8))&gt;0.00000001,ABS('DATOS'!H28-ROUND('DATOS'!H28,'REFERENCIAS'!$H$8))&gt;0.00000001,ABS('DATOS'!J28-ROUND('DATOS'!J28,'REFERENCIAS'!$K$8))&gt;0.00000001,IF(ISNUMBER('DATOS'!I28),ABS('DATOS'!I28-ROUND('DATOS'!I28,'REFERENCIAS'!$H$8))&gt;0.00000001,FALSE)),1,0)))),2)</f>
      </c>
      <c r="T28" s="29">
        <f>IFERROR(IF(N28=0,"",IF(NOT(AND(LEN(TRIM('DATOS'!F28&amp;""))&gt;0,TRIM('DATOS'!F28&amp;"")&lt;&gt;"Pendiente",TRIM('DATOS'!F28&amp;"")&lt;&gt;"Por confirmar",TRIM('DATOS'!F28&amp;"")&lt;&gt;"No consta",TRIM('DATOS'!F28&amp;"")&lt;&gt;"Desconocido",TRIM('DATOS'!F28&amp;"")&lt;&gt;"Sin confirmar",TRIM('DATOS'!F28&amp;"")&lt;&gt;"Por decidir",TRIM('DATOS'!F28&amp;"")&lt;&gt;"Por comprobar")),2,IF(COUNTIFS('REFERENCIAS'!$T$15:$T$34,"ID:"&amp;SUBSTITUTE(SUBSTITUTE(SUBSTITUTE(SUBSTITUTE(UPPER(TRIM('DATOS'!F28&amp;"")),"!","!E"),"*","!A"),"?","!B"),"~","!C"),'REFERENCIAS'!$H$15:$H$34,"&lt;&gt;")&gt;0,0,1))),2)</f>
      </c>
      <c r="U28" s="29" t="str">
        <f>'DATOS'!R28</f>
        <v>ID:</v>
      </c>
      <c r="V28" s="29" t="str">
        <f>'DATOS'!S28</f>
        <v>ID:</v>
      </c>
      <c r="W28" s="29" t="n">
        <f>IF(N28=0,0,COUNTIFS('REFERENCIAS'!$R$15:$R$64,U28))</f>
        <v>0</v>
      </c>
      <c r="X28" s="29" t="n">
        <f>IF(N28=0,0,COUNTIFS('DATOS'!$R$10:$R$509,U28,'DATOS'!$S$10:$S$509,V28))</f>
        <v>0</v>
      </c>
      <c r="Y28" s="29" t="n">
        <f>IF(AND(ISNUMBER('DATOS'!G28),ISNUMBER('DATOS'!H28),ISNUMBER('DATOS'!J28)),1,0)</f>
        <v>0</v>
      </c>
    </row>
    <row r="29" ht="64" customHeight="1">
      <c r="B29" s="26">
        <f>IF(N29=1,20,"")</f>
      </c>
      <c r="C29" s="26">
        <f>IF(AND(N29=1,LEN(TRIM('DATOS'!B29&amp;""))&gt;0),'DATOS'!B29,"")</f>
      </c>
      <c r="D29" s="26">
        <f>IF(AND(N29=1,LEN(TRIM('DATOS'!C29&amp;""))&gt;0),'DATOS'!C29,"")</f>
      </c>
      <c r="E29" s="26">
        <f>IF(NOT(ISNUMBER(P29)),"",IF(P29=2,"ROJO",IF(P29=1,"ÁMBAR","VERDE")))</f>
      </c>
      <c r="F29" s="26">
        <f>IF(NOT(ISNUMBER(Q29)),"",IF(Q29=2,"ROJO",IF(Q29=1,"ÁMBAR","VERDE")))</f>
      </c>
      <c r="G29" s="26">
        <f>IF(NOT(ISNUMBER(R29)),"",IF(R29=2,"ROJO",IF(R29=1,"ÁMBAR","VERDE")))</f>
      </c>
      <c r="H29" s="26">
        <f>IF(NOT(ISNUMBER(S29)),"",IF(S29=2,"ROJO",IF(S29=1,"ÁMBAR","VERDE")))</f>
      </c>
      <c r="I29" s="26">
        <f>IF(NOT(ISNUMBER(T29)),"",IF(T29=2,"ROJO",IF(T29=1,"ÁMBAR","VERDE")))</f>
      </c>
      <c r="J29" s="26">
        <f>IF(NOT(ISNUMBER(O29)),"",IF(O29=2,"ROJO",IF(O29=1,"ÁMBAR","VERDE")))</f>
      </c>
      <c r="K29" s="26">
        <f>IFERROR(IF(AND(N29=1,LEN(TRIM('DATOS'!N29&amp;""))&gt;0),'DATOS'!N29,""),"Hay una entrada con error. Corregimos el dato antes de cerrar la comprobación.")</f>
      </c>
      <c r="L29" s="26">
        <f>IFERROR(IF(N29=0,"",IF(O29&gt;0,"Completamos datos, claves o motivo. ","")&amp;IF(P29&gt;0,"Cotejamos precios e importe. ","")&amp;IF(Q29&gt;0,"Aclaramos el cero. ","")&amp;IF(R29&gt;0,"Comprobamos el texto. ","")&amp;IF(S29&gt;0,"Revisamos decimales visibles. ","")&amp;IF(T29&gt;0,"Confirmamos la unidad.","")),"Hay una entrada con error. Corregimos el dato antes de cerrar la comprobación.")</f>
      </c>
      <c r="N29" s="29" t="n">
        <f>IF(COUNTA('DATOS'!B29:O29)&gt;0,1,0)</f>
        <v>0</v>
      </c>
      <c r="O29" s="29">
        <f>IFERROR(IF(N29=0,"",IF(OR(NOT(AND(LEN(TRIM('DATOS'!B29&amp;""))&gt;0,TRIM('DATOS'!B29&amp;"")&lt;&gt;"Pendiente",TRIM('DATOS'!B29&amp;"")&lt;&gt;"Por confirmar",TRIM('DATOS'!B29&amp;"")&lt;&gt;"No consta",TRIM('DATOS'!B29&amp;"")&lt;&gt;"Desconocido",TRIM('DATOS'!B29&amp;"")&lt;&gt;"Sin confirmar",TRIM('DATOS'!B29&amp;"")&lt;&gt;"Por decidir",TRIM('DATOS'!B29&amp;"")&lt;&gt;"Por comprobar")),NOT(AND(LEN(TRIM('DATOS'!C29&amp;""))&gt;0,TRIM('DATOS'!C29&amp;"")&lt;&gt;"Pendiente",TRIM('DATOS'!C29&amp;"")&lt;&gt;"Por confirmar",TRIM('DATOS'!C29&amp;"")&lt;&gt;"No consta",TRIM('DATOS'!C29&amp;"")&lt;&gt;"Desconocido",TRIM('DATOS'!C29&amp;"")&lt;&gt;"Sin confirmar",TRIM('DATOS'!C29&amp;"")&lt;&gt;"Por decidir",TRIM('DATOS'!C29&amp;"")&lt;&gt;"Por comprobar")),NOT(AND(LEN(TRIM('DATOS'!D29&amp;""))&gt;0,TRIM('DATOS'!D29&amp;"")&lt;&gt;"Pendiente",TRIM('DATOS'!D29&amp;"")&lt;&gt;"Por confirmar",TRIM('DATOS'!D29&amp;"")&lt;&gt;"No consta",TRIM('DATOS'!D29&amp;"")&lt;&gt;"Desconocido",TRIM('DATOS'!D29&amp;"")&lt;&gt;"Sin confirmar",TRIM('DATOS'!D29&amp;"")&lt;&gt;"Por decidir",TRIM('DATOS'!D29&amp;"")&lt;&gt;"Por comprobar")),NOT(AND(LEN(TRIM('DATOS'!E29&amp;""))&gt;0,TRIM('DATOS'!E29&amp;"")&lt;&gt;"Pendiente",TRIM('DATOS'!E29&amp;"")&lt;&gt;"Por confirmar",TRIM('DATOS'!E29&amp;"")&lt;&gt;"No consta",TRIM('DATOS'!E29&amp;"")&lt;&gt;"Desconocido",TRIM('DATOS'!E29&amp;"")&lt;&gt;"Sin confirmar",TRIM('DATOS'!E29&amp;"")&lt;&gt;"Por decidir",TRIM('DATOS'!E29&amp;"")&lt;&gt;"Por comprobar")),NOT(AND(LEN(TRIM('DATOS'!F29&amp;""))&gt;0,TRIM('DATOS'!F29&amp;"")&lt;&gt;"Pendiente",TRIM('DATOS'!F29&amp;"")&lt;&gt;"Por confirmar",TRIM('DATOS'!F29&amp;"")&lt;&gt;"No consta",TRIM('DATOS'!F29&amp;"")&lt;&gt;"Desconocido",TRIM('DATOS'!F29&amp;"")&lt;&gt;"Sin confirmar",TRIM('DATOS'!F29&amp;"")&lt;&gt;"Por decidir",TRIM('DATOS'!F29&amp;"")&lt;&gt;"Por comprobar")),NOT(AND(LEN(TRIM('DATOS'!N29&amp;""))&gt;0,TRIM('DATOS'!N29&amp;"")&lt;&gt;"Pendiente",TRIM('DATOS'!N29&amp;"")&lt;&gt;"Por confirmar",TRIM('DATOS'!N29&amp;"")&lt;&gt;"No consta",TRIM('DATOS'!N29&amp;"")&lt;&gt;"Desconocido",TRIM('DATOS'!N29&amp;"")&lt;&gt;"Sin confirmar",TRIM('DATOS'!N29&amp;"")&lt;&gt;"Por decidir",TRIM('DATOS'!N29&amp;"")&lt;&gt;"Por comprobar")),NOT(Y29=1),W29&lt;&gt;1,X29&gt;1,NOT(OR(LEN(TRIM('DATOS'!K29&amp;""))=0,'DATOS'!K29="Sin valorar",'DATOS'!K29="Sin coste documentado",'DATOS'!K29="Incluido en otra partida",'DATOS'!K29="Por confirmar")),NOT(OR(LEN(TRIM('DATOS'!M29&amp;""))=0,'DATOS'!M29="Sí",'DATOS'!M29="No",'DATOS'!M29="Por confirmar")),NOT(OR(LEN(TRIM('DATOS'!O29&amp;""))=0,'DATOS'!O29="Comparamos",'DATOS'!O29="No existe",'DATOS'!O29="Por confirmar"))),2,IF(AND(OR('DATOS'!G29&lt;0,'DATOS'!H29&lt;0,'DATOS'!J29&lt;0),NOT(AND(LEN(TRIM('DATOS'!L29&amp;""))&gt;0,TRIM('DATOS'!L29&amp;"")&lt;&gt;"Pendiente",TRIM('DATOS'!L29&amp;"")&lt;&gt;"Por confirmar",TRIM('DATOS'!L29&amp;"")&lt;&gt;"No consta",TRIM('DATOS'!L29&amp;"")&lt;&gt;"Desconocido",TRIM('DATOS'!L29&amp;"")&lt;&gt;"Sin confirmar",TRIM('DATOS'!L29&amp;"")&lt;&gt;"Por decidir",TRIM('DATOS'!L29&amp;"")&lt;&gt;"Por comprobar"))),1,0))),2)</f>
      </c>
      <c r="P29" s="29">
        <f>IFERROR(IF(N29=0,"",IF(NOT(Y29=1),1,IF('REFERENCIAS'!$Q$8&lt;&gt;1,2,IF(ABS('DATOS'!J29-ROUND('DATOS'!G29*'DATOS'!H29,'REFERENCIAS'!$K$8))&gt;0.00000001,2,IF('DATOS'!O29="No existe",IF(LEN(TRIM('DATOS'!I29&amp;""))=0,0,2),IF('DATOS'!O29="Comparamos",IF(LEN(TRIM('DATOS'!I29&amp;""))=0,1,IF(ISNUMBER('DATOS'!I29),IF(ABS('DATOS'!H29-'DATOS'!I29)&gt;0.00000001,2,0),2)),1)))))),2)</f>
      </c>
      <c r="Q29" s="29">
        <f>IFERROR(IF(N29=0,"",IF(NOT(Y29=1),1,IF('DATOS'!K29="Sin valorar",2,IF('DATOS'!G29=0,1,IF(OR('DATOS'!H29=0,'DATOS'!J29=0),IF(AND(OR('DATOS'!K29="Sin coste documentado",'DATOS'!K29="Incluido en otra partida"),AND(LEN(TRIM('DATOS'!L29&amp;""))&gt;0,TRIM('DATOS'!L29&amp;"")&lt;&gt;"Pendiente",TRIM('DATOS'!L29&amp;"")&lt;&gt;"Por confirmar",TRIM('DATOS'!L29&amp;"")&lt;&gt;"No consta",TRIM('DATOS'!L29&amp;"")&lt;&gt;"Desconocido",TRIM('DATOS'!L29&amp;"")&lt;&gt;"Sin confirmar",TRIM('DATOS'!L29&amp;"")&lt;&gt;"Por decidir",TRIM('DATOS'!L29&amp;"")&lt;&gt;"Por comprobar")),0,1),0))))),2)</f>
      </c>
      <c r="R29" s="29">
        <f>IFERROR(IF(N29=0,"",IF(OR(NOT(AND(LEN(TRIM('DATOS'!D29&amp;""))&gt;0,TRIM('DATOS'!D29&amp;"")&lt;&gt;"Pendiente",TRIM('DATOS'!D29&amp;"")&lt;&gt;"Por confirmar",TRIM('DATOS'!D29&amp;"")&lt;&gt;"No consta",TRIM('DATOS'!D29&amp;"")&lt;&gt;"Desconocido",TRIM('DATOS'!D29&amp;"")&lt;&gt;"Sin confirmar",TRIM('DATOS'!D29&amp;"")&lt;&gt;"Por decidir",TRIM('DATOS'!D29&amp;"")&lt;&gt;"Por comprobar")),NOT(AND(LEN(TRIM('DATOS'!E29&amp;""))&gt;0,TRIM('DATOS'!E29&amp;"")&lt;&gt;"Pendiente",TRIM('DATOS'!E29&amp;"")&lt;&gt;"Por confirmar",TRIM('DATOS'!E29&amp;"")&lt;&gt;"No consta",TRIM('DATOS'!E29&amp;"")&lt;&gt;"Desconocido",TRIM('DATOS'!E29&amp;"")&lt;&gt;"Sin confirmar",TRIM('DATOS'!E29&amp;"")&lt;&gt;"Por decidir",TRIM('DATOS'!E29&amp;"")&lt;&gt;"Por comprobar"))),2,IF('DATOS'!M29="No",2,IF('DATOS'!M29="Sí",0,IF(OR('DATOS'!D29&lt;&gt;'DATOS'!E29,LEN('DATOS'!E29)&gt;300,RIGHT(TRIM('DATOS'!E29),3)="...",RIGHT(TRIM('DATOS'!E29),1)="…"),1,0))))),2)</f>
      </c>
      <c r="S29" s="29">
        <f>IFERROR(IF(N29=0,"",IF('REFERENCIAS'!$Q$8&lt;&gt;1,2,IF(NOT(Y29=1),1,IF(OR(ABS('DATOS'!G29-ROUND('DATOS'!G29,'REFERENCIAS'!$E$8))&gt;0.00000001,ABS('DATOS'!H29-ROUND('DATOS'!H29,'REFERENCIAS'!$H$8))&gt;0.00000001,ABS('DATOS'!J29-ROUND('DATOS'!J29,'REFERENCIAS'!$K$8))&gt;0.00000001,IF(ISNUMBER('DATOS'!I29),ABS('DATOS'!I29-ROUND('DATOS'!I29,'REFERENCIAS'!$H$8))&gt;0.00000001,FALSE)),1,0)))),2)</f>
      </c>
      <c r="T29" s="29">
        <f>IFERROR(IF(N29=0,"",IF(NOT(AND(LEN(TRIM('DATOS'!F29&amp;""))&gt;0,TRIM('DATOS'!F29&amp;"")&lt;&gt;"Pendiente",TRIM('DATOS'!F29&amp;"")&lt;&gt;"Por confirmar",TRIM('DATOS'!F29&amp;"")&lt;&gt;"No consta",TRIM('DATOS'!F29&amp;"")&lt;&gt;"Desconocido",TRIM('DATOS'!F29&amp;"")&lt;&gt;"Sin confirmar",TRIM('DATOS'!F29&amp;"")&lt;&gt;"Por decidir",TRIM('DATOS'!F29&amp;"")&lt;&gt;"Por comprobar")),2,IF(COUNTIFS('REFERENCIAS'!$T$15:$T$34,"ID:"&amp;SUBSTITUTE(SUBSTITUTE(SUBSTITUTE(SUBSTITUTE(UPPER(TRIM('DATOS'!F29&amp;"")),"!","!E"),"*","!A"),"?","!B"),"~","!C"),'REFERENCIAS'!$H$15:$H$34,"&lt;&gt;")&gt;0,0,1))),2)</f>
      </c>
      <c r="U29" s="29" t="str">
        <f>'DATOS'!R29</f>
        <v>ID:</v>
      </c>
      <c r="V29" s="29" t="str">
        <f>'DATOS'!S29</f>
        <v>ID:</v>
      </c>
      <c r="W29" s="29" t="n">
        <f>IF(N29=0,0,COUNTIFS('REFERENCIAS'!$R$15:$R$64,U29))</f>
        <v>0</v>
      </c>
      <c r="X29" s="29" t="n">
        <f>IF(N29=0,0,COUNTIFS('DATOS'!$R$10:$R$509,U29,'DATOS'!$S$10:$S$509,V29))</f>
        <v>0</v>
      </c>
      <c r="Y29" s="29" t="n">
        <f>IF(AND(ISNUMBER('DATOS'!G29),ISNUMBER('DATOS'!H29),ISNUMBER('DATOS'!J29)),1,0)</f>
        <v>0</v>
      </c>
    </row>
    <row r="30" ht="64" customHeight="1">
      <c r="B30" s="26">
        <f>IF(N30=1,21,"")</f>
      </c>
      <c r="C30" s="26">
        <f>IF(AND(N30=1,LEN(TRIM('DATOS'!B30&amp;""))&gt;0),'DATOS'!B30,"")</f>
      </c>
      <c r="D30" s="26">
        <f>IF(AND(N30=1,LEN(TRIM('DATOS'!C30&amp;""))&gt;0),'DATOS'!C30,"")</f>
      </c>
      <c r="E30" s="26">
        <f>IF(NOT(ISNUMBER(P30)),"",IF(P30=2,"ROJO",IF(P30=1,"ÁMBAR","VERDE")))</f>
      </c>
      <c r="F30" s="26">
        <f>IF(NOT(ISNUMBER(Q30)),"",IF(Q30=2,"ROJO",IF(Q30=1,"ÁMBAR","VERDE")))</f>
      </c>
      <c r="G30" s="26">
        <f>IF(NOT(ISNUMBER(R30)),"",IF(R30=2,"ROJO",IF(R30=1,"ÁMBAR","VERDE")))</f>
      </c>
      <c r="H30" s="26">
        <f>IF(NOT(ISNUMBER(S30)),"",IF(S30=2,"ROJO",IF(S30=1,"ÁMBAR","VERDE")))</f>
      </c>
      <c r="I30" s="26">
        <f>IF(NOT(ISNUMBER(T30)),"",IF(T30=2,"ROJO",IF(T30=1,"ÁMBAR","VERDE")))</f>
      </c>
      <c r="J30" s="26">
        <f>IF(NOT(ISNUMBER(O30)),"",IF(O30=2,"ROJO",IF(O30=1,"ÁMBAR","VERDE")))</f>
      </c>
      <c r="K30" s="26">
        <f>IFERROR(IF(AND(N30=1,LEN(TRIM('DATOS'!N30&amp;""))&gt;0),'DATOS'!N30,""),"Hay una entrada con error. Corregimos el dato antes de cerrar la comprobación.")</f>
      </c>
      <c r="L30" s="26">
        <f>IFERROR(IF(N30=0,"",IF(O30&gt;0,"Completamos datos, claves o motivo. ","")&amp;IF(P30&gt;0,"Cotejamos precios e importe. ","")&amp;IF(Q30&gt;0,"Aclaramos el cero. ","")&amp;IF(R30&gt;0,"Comprobamos el texto. ","")&amp;IF(S30&gt;0,"Revisamos decimales visibles. ","")&amp;IF(T30&gt;0,"Confirmamos la unidad.","")),"Hay una entrada con error. Corregimos el dato antes de cerrar la comprobación.")</f>
      </c>
      <c r="N30" s="29" t="n">
        <f>IF(COUNTA('DATOS'!B30:O30)&gt;0,1,0)</f>
        <v>0</v>
      </c>
      <c r="O30" s="29">
        <f>IFERROR(IF(N30=0,"",IF(OR(NOT(AND(LEN(TRIM('DATOS'!B30&amp;""))&gt;0,TRIM('DATOS'!B30&amp;"")&lt;&gt;"Pendiente",TRIM('DATOS'!B30&amp;"")&lt;&gt;"Por confirmar",TRIM('DATOS'!B30&amp;"")&lt;&gt;"No consta",TRIM('DATOS'!B30&amp;"")&lt;&gt;"Desconocido",TRIM('DATOS'!B30&amp;"")&lt;&gt;"Sin confirmar",TRIM('DATOS'!B30&amp;"")&lt;&gt;"Por decidir",TRIM('DATOS'!B30&amp;"")&lt;&gt;"Por comprobar")),NOT(AND(LEN(TRIM('DATOS'!C30&amp;""))&gt;0,TRIM('DATOS'!C30&amp;"")&lt;&gt;"Pendiente",TRIM('DATOS'!C30&amp;"")&lt;&gt;"Por confirmar",TRIM('DATOS'!C30&amp;"")&lt;&gt;"No consta",TRIM('DATOS'!C30&amp;"")&lt;&gt;"Desconocido",TRIM('DATOS'!C30&amp;"")&lt;&gt;"Sin confirmar",TRIM('DATOS'!C30&amp;"")&lt;&gt;"Por decidir",TRIM('DATOS'!C30&amp;"")&lt;&gt;"Por comprobar")),NOT(AND(LEN(TRIM('DATOS'!D30&amp;""))&gt;0,TRIM('DATOS'!D30&amp;"")&lt;&gt;"Pendiente",TRIM('DATOS'!D30&amp;"")&lt;&gt;"Por confirmar",TRIM('DATOS'!D30&amp;"")&lt;&gt;"No consta",TRIM('DATOS'!D30&amp;"")&lt;&gt;"Desconocido",TRIM('DATOS'!D30&amp;"")&lt;&gt;"Sin confirmar",TRIM('DATOS'!D30&amp;"")&lt;&gt;"Por decidir",TRIM('DATOS'!D30&amp;"")&lt;&gt;"Por comprobar")),NOT(AND(LEN(TRIM('DATOS'!E30&amp;""))&gt;0,TRIM('DATOS'!E30&amp;"")&lt;&gt;"Pendiente",TRIM('DATOS'!E30&amp;"")&lt;&gt;"Por confirmar",TRIM('DATOS'!E30&amp;"")&lt;&gt;"No consta",TRIM('DATOS'!E30&amp;"")&lt;&gt;"Desconocido",TRIM('DATOS'!E30&amp;"")&lt;&gt;"Sin confirmar",TRIM('DATOS'!E30&amp;"")&lt;&gt;"Por decidir",TRIM('DATOS'!E30&amp;"")&lt;&gt;"Por comprobar")),NOT(AND(LEN(TRIM('DATOS'!F30&amp;""))&gt;0,TRIM('DATOS'!F30&amp;"")&lt;&gt;"Pendiente",TRIM('DATOS'!F30&amp;"")&lt;&gt;"Por confirmar",TRIM('DATOS'!F30&amp;"")&lt;&gt;"No consta",TRIM('DATOS'!F30&amp;"")&lt;&gt;"Desconocido",TRIM('DATOS'!F30&amp;"")&lt;&gt;"Sin confirmar",TRIM('DATOS'!F30&amp;"")&lt;&gt;"Por decidir",TRIM('DATOS'!F30&amp;"")&lt;&gt;"Por comprobar")),NOT(AND(LEN(TRIM('DATOS'!N30&amp;""))&gt;0,TRIM('DATOS'!N30&amp;"")&lt;&gt;"Pendiente",TRIM('DATOS'!N30&amp;"")&lt;&gt;"Por confirmar",TRIM('DATOS'!N30&amp;"")&lt;&gt;"No consta",TRIM('DATOS'!N30&amp;"")&lt;&gt;"Desconocido",TRIM('DATOS'!N30&amp;"")&lt;&gt;"Sin confirmar",TRIM('DATOS'!N30&amp;"")&lt;&gt;"Por decidir",TRIM('DATOS'!N30&amp;"")&lt;&gt;"Por comprobar")),NOT(Y30=1),W30&lt;&gt;1,X30&gt;1,NOT(OR(LEN(TRIM('DATOS'!K30&amp;""))=0,'DATOS'!K30="Sin valorar",'DATOS'!K30="Sin coste documentado",'DATOS'!K30="Incluido en otra partida",'DATOS'!K30="Por confirmar")),NOT(OR(LEN(TRIM('DATOS'!M30&amp;""))=0,'DATOS'!M30="Sí",'DATOS'!M30="No",'DATOS'!M30="Por confirmar")),NOT(OR(LEN(TRIM('DATOS'!O30&amp;""))=0,'DATOS'!O30="Comparamos",'DATOS'!O30="No existe",'DATOS'!O30="Por confirmar"))),2,IF(AND(OR('DATOS'!G30&lt;0,'DATOS'!H30&lt;0,'DATOS'!J30&lt;0),NOT(AND(LEN(TRIM('DATOS'!L30&amp;""))&gt;0,TRIM('DATOS'!L30&amp;"")&lt;&gt;"Pendiente",TRIM('DATOS'!L30&amp;"")&lt;&gt;"Por confirmar",TRIM('DATOS'!L30&amp;"")&lt;&gt;"No consta",TRIM('DATOS'!L30&amp;"")&lt;&gt;"Desconocido",TRIM('DATOS'!L30&amp;"")&lt;&gt;"Sin confirmar",TRIM('DATOS'!L30&amp;"")&lt;&gt;"Por decidir",TRIM('DATOS'!L30&amp;"")&lt;&gt;"Por comprobar"))),1,0))),2)</f>
      </c>
      <c r="P30" s="29">
        <f>IFERROR(IF(N30=0,"",IF(NOT(Y30=1),1,IF('REFERENCIAS'!$Q$8&lt;&gt;1,2,IF(ABS('DATOS'!J30-ROUND('DATOS'!G30*'DATOS'!H30,'REFERENCIAS'!$K$8))&gt;0.00000001,2,IF('DATOS'!O30="No existe",IF(LEN(TRIM('DATOS'!I30&amp;""))=0,0,2),IF('DATOS'!O30="Comparamos",IF(LEN(TRIM('DATOS'!I30&amp;""))=0,1,IF(ISNUMBER('DATOS'!I30),IF(ABS('DATOS'!H30-'DATOS'!I30)&gt;0.00000001,2,0),2)),1)))))),2)</f>
      </c>
      <c r="Q30" s="29">
        <f>IFERROR(IF(N30=0,"",IF(NOT(Y30=1),1,IF('DATOS'!K30="Sin valorar",2,IF('DATOS'!G30=0,1,IF(OR('DATOS'!H30=0,'DATOS'!J30=0),IF(AND(OR('DATOS'!K30="Sin coste documentado",'DATOS'!K30="Incluido en otra partida"),AND(LEN(TRIM('DATOS'!L30&amp;""))&gt;0,TRIM('DATOS'!L30&amp;"")&lt;&gt;"Pendiente",TRIM('DATOS'!L30&amp;"")&lt;&gt;"Por confirmar",TRIM('DATOS'!L30&amp;"")&lt;&gt;"No consta",TRIM('DATOS'!L30&amp;"")&lt;&gt;"Desconocido",TRIM('DATOS'!L30&amp;"")&lt;&gt;"Sin confirmar",TRIM('DATOS'!L30&amp;"")&lt;&gt;"Por decidir",TRIM('DATOS'!L30&amp;"")&lt;&gt;"Por comprobar")),0,1),0))))),2)</f>
      </c>
      <c r="R30" s="29">
        <f>IFERROR(IF(N30=0,"",IF(OR(NOT(AND(LEN(TRIM('DATOS'!D30&amp;""))&gt;0,TRIM('DATOS'!D30&amp;"")&lt;&gt;"Pendiente",TRIM('DATOS'!D30&amp;"")&lt;&gt;"Por confirmar",TRIM('DATOS'!D30&amp;"")&lt;&gt;"No consta",TRIM('DATOS'!D30&amp;"")&lt;&gt;"Desconocido",TRIM('DATOS'!D30&amp;"")&lt;&gt;"Sin confirmar",TRIM('DATOS'!D30&amp;"")&lt;&gt;"Por decidir",TRIM('DATOS'!D30&amp;"")&lt;&gt;"Por comprobar")),NOT(AND(LEN(TRIM('DATOS'!E30&amp;""))&gt;0,TRIM('DATOS'!E30&amp;"")&lt;&gt;"Pendiente",TRIM('DATOS'!E30&amp;"")&lt;&gt;"Por confirmar",TRIM('DATOS'!E30&amp;"")&lt;&gt;"No consta",TRIM('DATOS'!E30&amp;"")&lt;&gt;"Desconocido",TRIM('DATOS'!E30&amp;"")&lt;&gt;"Sin confirmar",TRIM('DATOS'!E30&amp;"")&lt;&gt;"Por decidir",TRIM('DATOS'!E30&amp;"")&lt;&gt;"Por comprobar"))),2,IF('DATOS'!M30="No",2,IF('DATOS'!M30="Sí",0,IF(OR('DATOS'!D30&lt;&gt;'DATOS'!E30,LEN('DATOS'!E30)&gt;300,RIGHT(TRIM('DATOS'!E30),3)="...",RIGHT(TRIM('DATOS'!E30),1)="…"),1,0))))),2)</f>
      </c>
      <c r="S30" s="29">
        <f>IFERROR(IF(N30=0,"",IF('REFERENCIAS'!$Q$8&lt;&gt;1,2,IF(NOT(Y30=1),1,IF(OR(ABS('DATOS'!G30-ROUND('DATOS'!G30,'REFERENCIAS'!$E$8))&gt;0.00000001,ABS('DATOS'!H30-ROUND('DATOS'!H30,'REFERENCIAS'!$H$8))&gt;0.00000001,ABS('DATOS'!J30-ROUND('DATOS'!J30,'REFERENCIAS'!$K$8))&gt;0.00000001,IF(ISNUMBER('DATOS'!I30),ABS('DATOS'!I30-ROUND('DATOS'!I30,'REFERENCIAS'!$H$8))&gt;0.00000001,FALSE)),1,0)))),2)</f>
      </c>
      <c r="T30" s="29">
        <f>IFERROR(IF(N30=0,"",IF(NOT(AND(LEN(TRIM('DATOS'!F30&amp;""))&gt;0,TRIM('DATOS'!F30&amp;"")&lt;&gt;"Pendiente",TRIM('DATOS'!F30&amp;"")&lt;&gt;"Por confirmar",TRIM('DATOS'!F30&amp;"")&lt;&gt;"No consta",TRIM('DATOS'!F30&amp;"")&lt;&gt;"Desconocido",TRIM('DATOS'!F30&amp;"")&lt;&gt;"Sin confirmar",TRIM('DATOS'!F30&amp;"")&lt;&gt;"Por decidir",TRIM('DATOS'!F30&amp;"")&lt;&gt;"Por comprobar")),2,IF(COUNTIFS('REFERENCIAS'!$T$15:$T$34,"ID:"&amp;SUBSTITUTE(SUBSTITUTE(SUBSTITUTE(SUBSTITUTE(UPPER(TRIM('DATOS'!F30&amp;"")),"!","!E"),"*","!A"),"?","!B"),"~","!C"),'REFERENCIAS'!$H$15:$H$34,"&lt;&gt;")&gt;0,0,1))),2)</f>
      </c>
      <c r="U30" s="29" t="str">
        <f>'DATOS'!R30</f>
        <v>ID:</v>
      </c>
      <c r="V30" s="29" t="str">
        <f>'DATOS'!S30</f>
        <v>ID:</v>
      </c>
      <c r="W30" s="29" t="n">
        <f>IF(N30=0,0,COUNTIFS('REFERENCIAS'!$R$15:$R$64,U30))</f>
        <v>0</v>
      </c>
      <c r="X30" s="29" t="n">
        <f>IF(N30=0,0,COUNTIFS('DATOS'!$R$10:$R$509,U30,'DATOS'!$S$10:$S$509,V30))</f>
        <v>0</v>
      </c>
      <c r="Y30" s="29" t="n">
        <f>IF(AND(ISNUMBER('DATOS'!G30),ISNUMBER('DATOS'!H30),ISNUMBER('DATOS'!J30)),1,0)</f>
        <v>0</v>
      </c>
    </row>
    <row r="31" ht="64" customHeight="1">
      <c r="B31" s="26">
        <f>IF(N31=1,22,"")</f>
      </c>
      <c r="C31" s="26">
        <f>IF(AND(N31=1,LEN(TRIM('DATOS'!B31&amp;""))&gt;0),'DATOS'!B31,"")</f>
      </c>
      <c r="D31" s="26">
        <f>IF(AND(N31=1,LEN(TRIM('DATOS'!C31&amp;""))&gt;0),'DATOS'!C31,"")</f>
      </c>
      <c r="E31" s="26">
        <f>IF(NOT(ISNUMBER(P31)),"",IF(P31=2,"ROJO",IF(P31=1,"ÁMBAR","VERDE")))</f>
      </c>
      <c r="F31" s="26">
        <f>IF(NOT(ISNUMBER(Q31)),"",IF(Q31=2,"ROJO",IF(Q31=1,"ÁMBAR","VERDE")))</f>
      </c>
      <c r="G31" s="26">
        <f>IF(NOT(ISNUMBER(R31)),"",IF(R31=2,"ROJO",IF(R31=1,"ÁMBAR","VERDE")))</f>
      </c>
      <c r="H31" s="26">
        <f>IF(NOT(ISNUMBER(S31)),"",IF(S31=2,"ROJO",IF(S31=1,"ÁMBAR","VERDE")))</f>
      </c>
      <c r="I31" s="26">
        <f>IF(NOT(ISNUMBER(T31)),"",IF(T31=2,"ROJO",IF(T31=1,"ÁMBAR","VERDE")))</f>
      </c>
      <c r="J31" s="26">
        <f>IF(NOT(ISNUMBER(O31)),"",IF(O31=2,"ROJO",IF(O31=1,"ÁMBAR","VERDE")))</f>
      </c>
      <c r="K31" s="26">
        <f>IFERROR(IF(AND(N31=1,LEN(TRIM('DATOS'!N31&amp;""))&gt;0),'DATOS'!N31,""),"Hay una entrada con error. Corregimos el dato antes de cerrar la comprobación.")</f>
      </c>
      <c r="L31" s="26">
        <f>IFERROR(IF(N31=0,"",IF(O31&gt;0,"Completamos datos, claves o motivo. ","")&amp;IF(P31&gt;0,"Cotejamos precios e importe. ","")&amp;IF(Q31&gt;0,"Aclaramos el cero. ","")&amp;IF(R31&gt;0,"Comprobamos el texto. ","")&amp;IF(S31&gt;0,"Revisamos decimales visibles. ","")&amp;IF(T31&gt;0,"Confirmamos la unidad.","")),"Hay una entrada con error. Corregimos el dato antes de cerrar la comprobación.")</f>
      </c>
      <c r="N31" s="29" t="n">
        <f>IF(COUNTA('DATOS'!B31:O31)&gt;0,1,0)</f>
        <v>0</v>
      </c>
      <c r="O31" s="29">
        <f>IFERROR(IF(N31=0,"",IF(OR(NOT(AND(LEN(TRIM('DATOS'!B31&amp;""))&gt;0,TRIM('DATOS'!B31&amp;"")&lt;&gt;"Pendiente",TRIM('DATOS'!B31&amp;"")&lt;&gt;"Por confirmar",TRIM('DATOS'!B31&amp;"")&lt;&gt;"No consta",TRIM('DATOS'!B31&amp;"")&lt;&gt;"Desconocido",TRIM('DATOS'!B31&amp;"")&lt;&gt;"Sin confirmar",TRIM('DATOS'!B31&amp;"")&lt;&gt;"Por decidir",TRIM('DATOS'!B31&amp;"")&lt;&gt;"Por comprobar")),NOT(AND(LEN(TRIM('DATOS'!C31&amp;""))&gt;0,TRIM('DATOS'!C31&amp;"")&lt;&gt;"Pendiente",TRIM('DATOS'!C31&amp;"")&lt;&gt;"Por confirmar",TRIM('DATOS'!C31&amp;"")&lt;&gt;"No consta",TRIM('DATOS'!C31&amp;"")&lt;&gt;"Desconocido",TRIM('DATOS'!C31&amp;"")&lt;&gt;"Sin confirmar",TRIM('DATOS'!C31&amp;"")&lt;&gt;"Por decidir",TRIM('DATOS'!C31&amp;"")&lt;&gt;"Por comprobar")),NOT(AND(LEN(TRIM('DATOS'!D31&amp;""))&gt;0,TRIM('DATOS'!D31&amp;"")&lt;&gt;"Pendiente",TRIM('DATOS'!D31&amp;"")&lt;&gt;"Por confirmar",TRIM('DATOS'!D31&amp;"")&lt;&gt;"No consta",TRIM('DATOS'!D31&amp;"")&lt;&gt;"Desconocido",TRIM('DATOS'!D31&amp;"")&lt;&gt;"Sin confirmar",TRIM('DATOS'!D31&amp;"")&lt;&gt;"Por decidir",TRIM('DATOS'!D31&amp;"")&lt;&gt;"Por comprobar")),NOT(AND(LEN(TRIM('DATOS'!E31&amp;""))&gt;0,TRIM('DATOS'!E31&amp;"")&lt;&gt;"Pendiente",TRIM('DATOS'!E31&amp;"")&lt;&gt;"Por confirmar",TRIM('DATOS'!E31&amp;"")&lt;&gt;"No consta",TRIM('DATOS'!E31&amp;"")&lt;&gt;"Desconocido",TRIM('DATOS'!E31&amp;"")&lt;&gt;"Sin confirmar",TRIM('DATOS'!E31&amp;"")&lt;&gt;"Por decidir",TRIM('DATOS'!E31&amp;"")&lt;&gt;"Por comprobar")),NOT(AND(LEN(TRIM('DATOS'!F31&amp;""))&gt;0,TRIM('DATOS'!F31&amp;"")&lt;&gt;"Pendiente",TRIM('DATOS'!F31&amp;"")&lt;&gt;"Por confirmar",TRIM('DATOS'!F31&amp;"")&lt;&gt;"No consta",TRIM('DATOS'!F31&amp;"")&lt;&gt;"Desconocido",TRIM('DATOS'!F31&amp;"")&lt;&gt;"Sin confirmar",TRIM('DATOS'!F31&amp;"")&lt;&gt;"Por decidir",TRIM('DATOS'!F31&amp;"")&lt;&gt;"Por comprobar")),NOT(AND(LEN(TRIM('DATOS'!N31&amp;""))&gt;0,TRIM('DATOS'!N31&amp;"")&lt;&gt;"Pendiente",TRIM('DATOS'!N31&amp;"")&lt;&gt;"Por confirmar",TRIM('DATOS'!N31&amp;"")&lt;&gt;"No consta",TRIM('DATOS'!N31&amp;"")&lt;&gt;"Desconocido",TRIM('DATOS'!N31&amp;"")&lt;&gt;"Sin confirmar",TRIM('DATOS'!N31&amp;"")&lt;&gt;"Por decidir",TRIM('DATOS'!N31&amp;"")&lt;&gt;"Por comprobar")),NOT(Y31=1),W31&lt;&gt;1,X31&gt;1,NOT(OR(LEN(TRIM('DATOS'!K31&amp;""))=0,'DATOS'!K31="Sin valorar",'DATOS'!K31="Sin coste documentado",'DATOS'!K31="Incluido en otra partida",'DATOS'!K31="Por confirmar")),NOT(OR(LEN(TRIM('DATOS'!M31&amp;""))=0,'DATOS'!M31="Sí",'DATOS'!M31="No",'DATOS'!M31="Por confirmar")),NOT(OR(LEN(TRIM('DATOS'!O31&amp;""))=0,'DATOS'!O31="Comparamos",'DATOS'!O31="No existe",'DATOS'!O31="Por confirmar"))),2,IF(AND(OR('DATOS'!G31&lt;0,'DATOS'!H31&lt;0,'DATOS'!J31&lt;0),NOT(AND(LEN(TRIM('DATOS'!L31&amp;""))&gt;0,TRIM('DATOS'!L31&amp;"")&lt;&gt;"Pendiente",TRIM('DATOS'!L31&amp;"")&lt;&gt;"Por confirmar",TRIM('DATOS'!L31&amp;"")&lt;&gt;"No consta",TRIM('DATOS'!L31&amp;"")&lt;&gt;"Desconocido",TRIM('DATOS'!L31&amp;"")&lt;&gt;"Sin confirmar",TRIM('DATOS'!L31&amp;"")&lt;&gt;"Por decidir",TRIM('DATOS'!L31&amp;"")&lt;&gt;"Por comprobar"))),1,0))),2)</f>
      </c>
      <c r="P31" s="29">
        <f>IFERROR(IF(N31=0,"",IF(NOT(Y31=1),1,IF('REFERENCIAS'!$Q$8&lt;&gt;1,2,IF(ABS('DATOS'!J31-ROUND('DATOS'!G31*'DATOS'!H31,'REFERENCIAS'!$K$8))&gt;0.00000001,2,IF('DATOS'!O31="No existe",IF(LEN(TRIM('DATOS'!I31&amp;""))=0,0,2),IF('DATOS'!O31="Comparamos",IF(LEN(TRIM('DATOS'!I31&amp;""))=0,1,IF(ISNUMBER('DATOS'!I31),IF(ABS('DATOS'!H31-'DATOS'!I31)&gt;0.00000001,2,0),2)),1)))))),2)</f>
      </c>
      <c r="Q31" s="29">
        <f>IFERROR(IF(N31=0,"",IF(NOT(Y31=1),1,IF('DATOS'!K31="Sin valorar",2,IF('DATOS'!G31=0,1,IF(OR('DATOS'!H31=0,'DATOS'!J31=0),IF(AND(OR('DATOS'!K31="Sin coste documentado",'DATOS'!K31="Incluido en otra partida"),AND(LEN(TRIM('DATOS'!L31&amp;""))&gt;0,TRIM('DATOS'!L31&amp;"")&lt;&gt;"Pendiente",TRIM('DATOS'!L31&amp;"")&lt;&gt;"Por confirmar",TRIM('DATOS'!L31&amp;"")&lt;&gt;"No consta",TRIM('DATOS'!L31&amp;"")&lt;&gt;"Desconocido",TRIM('DATOS'!L31&amp;"")&lt;&gt;"Sin confirmar",TRIM('DATOS'!L31&amp;"")&lt;&gt;"Por decidir",TRIM('DATOS'!L31&amp;"")&lt;&gt;"Por comprobar")),0,1),0))))),2)</f>
      </c>
      <c r="R31" s="29">
        <f>IFERROR(IF(N31=0,"",IF(OR(NOT(AND(LEN(TRIM('DATOS'!D31&amp;""))&gt;0,TRIM('DATOS'!D31&amp;"")&lt;&gt;"Pendiente",TRIM('DATOS'!D31&amp;"")&lt;&gt;"Por confirmar",TRIM('DATOS'!D31&amp;"")&lt;&gt;"No consta",TRIM('DATOS'!D31&amp;"")&lt;&gt;"Desconocido",TRIM('DATOS'!D31&amp;"")&lt;&gt;"Sin confirmar",TRIM('DATOS'!D31&amp;"")&lt;&gt;"Por decidir",TRIM('DATOS'!D31&amp;"")&lt;&gt;"Por comprobar")),NOT(AND(LEN(TRIM('DATOS'!E31&amp;""))&gt;0,TRIM('DATOS'!E31&amp;"")&lt;&gt;"Pendiente",TRIM('DATOS'!E31&amp;"")&lt;&gt;"Por confirmar",TRIM('DATOS'!E31&amp;"")&lt;&gt;"No consta",TRIM('DATOS'!E31&amp;"")&lt;&gt;"Desconocido",TRIM('DATOS'!E31&amp;"")&lt;&gt;"Sin confirmar",TRIM('DATOS'!E31&amp;"")&lt;&gt;"Por decidir",TRIM('DATOS'!E31&amp;"")&lt;&gt;"Por comprobar"))),2,IF('DATOS'!M31="No",2,IF('DATOS'!M31="Sí",0,IF(OR('DATOS'!D31&lt;&gt;'DATOS'!E31,LEN('DATOS'!E31)&gt;300,RIGHT(TRIM('DATOS'!E31),3)="...",RIGHT(TRIM('DATOS'!E31),1)="…"),1,0))))),2)</f>
      </c>
      <c r="S31" s="29">
        <f>IFERROR(IF(N31=0,"",IF('REFERENCIAS'!$Q$8&lt;&gt;1,2,IF(NOT(Y31=1),1,IF(OR(ABS('DATOS'!G31-ROUND('DATOS'!G31,'REFERENCIAS'!$E$8))&gt;0.00000001,ABS('DATOS'!H31-ROUND('DATOS'!H31,'REFERENCIAS'!$H$8))&gt;0.00000001,ABS('DATOS'!J31-ROUND('DATOS'!J31,'REFERENCIAS'!$K$8))&gt;0.00000001,IF(ISNUMBER('DATOS'!I31),ABS('DATOS'!I31-ROUND('DATOS'!I31,'REFERENCIAS'!$H$8))&gt;0.00000001,FALSE)),1,0)))),2)</f>
      </c>
      <c r="T31" s="29">
        <f>IFERROR(IF(N31=0,"",IF(NOT(AND(LEN(TRIM('DATOS'!F31&amp;""))&gt;0,TRIM('DATOS'!F31&amp;"")&lt;&gt;"Pendiente",TRIM('DATOS'!F31&amp;"")&lt;&gt;"Por confirmar",TRIM('DATOS'!F31&amp;"")&lt;&gt;"No consta",TRIM('DATOS'!F31&amp;"")&lt;&gt;"Desconocido",TRIM('DATOS'!F31&amp;"")&lt;&gt;"Sin confirmar",TRIM('DATOS'!F31&amp;"")&lt;&gt;"Por decidir",TRIM('DATOS'!F31&amp;"")&lt;&gt;"Por comprobar")),2,IF(COUNTIFS('REFERENCIAS'!$T$15:$T$34,"ID:"&amp;SUBSTITUTE(SUBSTITUTE(SUBSTITUTE(SUBSTITUTE(UPPER(TRIM('DATOS'!F31&amp;"")),"!","!E"),"*","!A"),"?","!B"),"~","!C"),'REFERENCIAS'!$H$15:$H$34,"&lt;&gt;")&gt;0,0,1))),2)</f>
      </c>
      <c r="U31" s="29" t="str">
        <f>'DATOS'!R31</f>
        <v>ID:</v>
      </c>
      <c r="V31" s="29" t="str">
        <f>'DATOS'!S31</f>
        <v>ID:</v>
      </c>
      <c r="W31" s="29" t="n">
        <f>IF(N31=0,0,COUNTIFS('REFERENCIAS'!$R$15:$R$64,U31))</f>
        <v>0</v>
      </c>
      <c r="X31" s="29" t="n">
        <f>IF(N31=0,0,COUNTIFS('DATOS'!$R$10:$R$509,U31,'DATOS'!$S$10:$S$509,V31))</f>
        <v>0</v>
      </c>
      <c r="Y31" s="29" t="n">
        <f>IF(AND(ISNUMBER('DATOS'!G31),ISNUMBER('DATOS'!H31),ISNUMBER('DATOS'!J31)),1,0)</f>
        <v>0</v>
      </c>
    </row>
    <row r="32" ht="64" customHeight="1">
      <c r="B32" s="26">
        <f>IF(N32=1,23,"")</f>
      </c>
      <c r="C32" s="26">
        <f>IF(AND(N32=1,LEN(TRIM('DATOS'!B32&amp;""))&gt;0),'DATOS'!B32,"")</f>
      </c>
      <c r="D32" s="26">
        <f>IF(AND(N32=1,LEN(TRIM('DATOS'!C32&amp;""))&gt;0),'DATOS'!C32,"")</f>
      </c>
      <c r="E32" s="26">
        <f>IF(NOT(ISNUMBER(P32)),"",IF(P32=2,"ROJO",IF(P32=1,"ÁMBAR","VERDE")))</f>
      </c>
      <c r="F32" s="26">
        <f>IF(NOT(ISNUMBER(Q32)),"",IF(Q32=2,"ROJO",IF(Q32=1,"ÁMBAR","VERDE")))</f>
      </c>
      <c r="G32" s="26">
        <f>IF(NOT(ISNUMBER(R32)),"",IF(R32=2,"ROJO",IF(R32=1,"ÁMBAR","VERDE")))</f>
      </c>
      <c r="H32" s="26">
        <f>IF(NOT(ISNUMBER(S32)),"",IF(S32=2,"ROJO",IF(S32=1,"ÁMBAR","VERDE")))</f>
      </c>
      <c r="I32" s="26">
        <f>IF(NOT(ISNUMBER(T32)),"",IF(T32=2,"ROJO",IF(T32=1,"ÁMBAR","VERDE")))</f>
      </c>
      <c r="J32" s="26">
        <f>IF(NOT(ISNUMBER(O32)),"",IF(O32=2,"ROJO",IF(O32=1,"ÁMBAR","VERDE")))</f>
      </c>
      <c r="K32" s="26">
        <f>IFERROR(IF(AND(N32=1,LEN(TRIM('DATOS'!N32&amp;""))&gt;0),'DATOS'!N32,""),"Hay una entrada con error. Corregimos el dato antes de cerrar la comprobación.")</f>
      </c>
      <c r="L32" s="26">
        <f>IFERROR(IF(N32=0,"",IF(O32&gt;0,"Completamos datos, claves o motivo. ","")&amp;IF(P32&gt;0,"Cotejamos precios e importe. ","")&amp;IF(Q32&gt;0,"Aclaramos el cero. ","")&amp;IF(R32&gt;0,"Comprobamos el texto. ","")&amp;IF(S32&gt;0,"Revisamos decimales visibles. ","")&amp;IF(T32&gt;0,"Confirmamos la unidad.","")),"Hay una entrada con error. Corregimos el dato antes de cerrar la comprobación.")</f>
      </c>
      <c r="N32" s="29" t="n">
        <f>IF(COUNTA('DATOS'!B32:O32)&gt;0,1,0)</f>
        <v>0</v>
      </c>
      <c r="O32" s="29">
        <f>IFERROR(IF(N32=0,"",IF(OR(NOT(AND(LEN(TRIM('DATOS'!B32&amp;""))&gt;0,TRIM('DATOS'!B32&amp;"")&lt;&gt;"Pendiente",TRIM('DATOS'!B32&amp;"")&lt;&gt;"Por confirmar",TRIM('DATOS'!B32&amp;"")&lt;&gt;"No consta",TRIM('DATOS'!B32&amp;"")&lt;&gt;"Desconocido",TRIM('DATOS'!B32&amp;"")&lt;&gt;"Sin confirmar",TRIM('DATOS'!B32&amp;"")&lt;&gt;"Por decidir",TRIM('DATOS'!B32&amp;"")&lt;&gt;"Por comprobar")),NOT(AND(LEN(TRIM('DATOS'!C32&amp;""))&gt;0,TRIM('DATOS'!C32&amp;"")&lt;&gt;"Pendiente",TRIM('DATOS'!C32&amp;"")&lt;&gt;"Por confirmar",TRIM('DATOS'!C32&amp;"")&lt;&gt;"No consta",TRIM('DATOS'!C32&amp;"")&lt;&gt;"Desconocido",TRIM('DATOS'!C32&amp;"")&lt;&gt;"Sin confirmar",TRIM('DATOS'!C32&amp;"")&lt;&gt;"Por decidir",TRIM('DATOS'!C32&amp;"")&lt;&gt;"Por comprobar")),NOT(AND(LEN(TRIM('DATOS'!D32&amp;""))&gt;0,TRIM('DATOS'!D32&amp;"")&lt;&gt;"Pendiente",TRIM('DATOS'!D32&amp;"")&lt;&gt;"Por confirmar",TRIM('DATOS'!D32&amp;"")&lt;&gt;"No consta",TRIM('DATOS'!D32&amp;"")&lt;&gt;"Desconocido",TRIM('DATOS'!D32&amp;"")&lt;&gt;"Sin confirmar",TRIM('DATOS'!D32&amp;"")&lt;&gt;"Por decidir",TRIM('DATOS'!D32&amp;"")&lt;&gt;"Por comprobar")),NOT(AND(LEN(TRIM('DATOS'!E32&amp;""))&gt;0,TRIM('DATOS'!E32&amp;"")&lt;&gt;"Pendiente",TRIM('DATOS'!E32&amp;"")&lt;&gt;"Por confirmar",TRIM('DATOS'!E32&amp;"")&lt;&gt;"No consta",TRIM('DATOS'!E32&amp;"")&lt;&gt;"Desconocido",TRIM('DATOS'!E32&amp;"")&lt;&gt;"Sin confirmar",TRIM('DATOS'!E32&amp;"")&lt;&gt;"Por decidir",TRIM('DATOS'!E32&amp;"")&lt;&gt;"Por comprobar")),NOT(AND(LEN(TRIM('DATOS'!F32&amp;""))&gt;0,TRIM('DATOS'!F32&amp;"")&lt;&gt;"Pendiente",TRIM('DATOS'!F32&amp;"")&lt;&gt;"Por confirmar",TRIM('DATOS'!F32&amp;"")&lt;&gt;"No consta",TRIM('DATOS'!F32&amp;"")&lt;&gt;"Desconocido",TRIM('DATOS'!F32&amp;"")&lt;&gt;"Sin confirmar",TRIM('DATOS'!F32&amp;"")&lt;&gt;"Por decidir",TRIM('DATOS'!F32&amp;"")&lt;&gt;"Por comprobar")),NOT(AND(LEN(TRIM('DATOS'!N32&amp;""))&gt;0,TRIM('DATOS'!N32&amp;"")&lt;&gt;"Pendiente",TRIM('DATOS'!N32&amp;"")&lt;&gt;"Por confirmar",TRIM('DATOS'!N32&amp;"")&lt;&gt;"No consta",TRIM('DATOS'!N32&amp;"")&lt;&gt;"Desconocido",TRIM('DATOS'!N32&amp;"")&lt;&gt;"Sin confirmar",TRIM('DATOS'!N32&amp;"")&lt;&gt;"Por decidir",TRIM('DATOS'!N32&amp;"")&lt;&gt;"Por comprobar")),NOT(Y32=1),W32&lt;&gt;1,X32&gt;1,NOT(OR(LEN(TRIM('DATOS'!K32&amp;""))=0,'DATOS'!K32="Sin valorar",'DATOS'!K32="Sin coste documentado",'DATOS'!K32="Incluido en otra partida",'DATOS'!K32="Por confirmar")),NOT(OR(LEN(TRIM('DATOS'!M32&amp;""))=0,'DATOS'!M32="Sí",'DATOS'!M32="No",'DATOS'!M32="Por confirmar")),NOT(OR(LEN(TRIM('DATOS'!O32&amp;""))=0,'DATOS'!O32="Comparamos",'DATOS'!O32="No existe",'DATOS'!O32="Por confirmar"))),2,IF(AND(OR('DATOS'!G32&lt;0,'DATOS'!H32&lt;0,'DATOS'!J32&lt;0),NOT(AND(LEN(TRIM('DATOS'!L32&amp;""))&gt;0,TRIM('DATOS'!L32&amp;"")&lt;&gt;"Pendiente",TRIM('DATOS'!L32&amp;"")&lt;&gt;"Por confirmar",TRIM('DATOS'!L32&amp;"")&lt;&gt;"No consta",TRIM('DATOS'!L32&amp;"")&lt;&gt;"Desconocido",TRIM('DATOS'!L32&amp;"")&lt;&gt;"Sin confirmar",TRIM('DATOS'!L32&amp;"")&lt;&gt;"Por decidir",TRIM('DATOS'!L32&amp;"")&lt;&gt;"Por comprobar"))),1,0))),2)</f>
      </c>
      <c r="P32" s="29">
        <f>IFERROR(IF(N32=0,"",IF(NOT(Y32=1),1,IF('REFERENCIAS'!$Q$8&lt;&gt;1,2,IF(ABS('DATOS'!J32-ROUND('DATOS'!G32*'DATOS'!H32,'REFERENCIAS'!$K$8))&gt;0.00000001,2,IF('DATOS'!O32="No existe",IF(LEN(TRIM('DATOS'!I32&amp;""))=0,0,2),IF('DATOS'!O32="Comparamos",IF(LEN(TRIM('DATOS'!I32&amp;""))=0,1,IF(ISNUMBER('DATOS'!I32),IF(ABS('DATOS'!H32-'DATOS'!I32)&gt;0.00000001,2,0),2)),1)))))),2)</f>
      </c>
      <c r="Q32" s="29">
        <f>IFERROR(IF(N32=0,"",IF(NOT(Y32=1),1,IF('DATOS'!K32="Sin valorar",2,IF('DATOS'!G32=0,1,IF(OR('DATOS'!H32=0,'DATOS'!J32=0),IF(AND(OR('DATOS'!K32="Sin coste documentado",'DATOS'!K32="Incluido en otra partida"),AND(LEN(TRIM('DATOS'!L32&amp;""))&gt;0,TRIM('DATOS'!L32&amp;"")&lt;&gt;"Pendiente",TRIM('DATOS'!L32&amp;"")&lt;&gt;"Por confirmar",TRIM('DATOS'!L32&amp;"")&lt;&gt;"No consta",TRIM('DATOS'!L32&amp;"")&lt;&gt;"Desconocido",TRIM('DATOS'!L32&amp;"")&lt;&gt;"Sin confirmar",TRIM('DATOS'!L32&amp;"")&lt;&gt;"Por decidir",TRIM('DATOS'!L32&amp;"")&lt;&gt;"Por comprobar")),0,1),0))))),2)</f>
      </c>
      <c r="R32" s="29">
        <f>IFERROR(IF(N32=0,"",IF(OR(NOT(AND(LEN(TRIM('DATOS'!D32&amp;""))&gt;0,TRIM('DATOS'!D32&amp;"")&lt;&gt;"Pendiente",TRIM('DATOS'!D32&amp;"")&lt;&gt;"Por confirmar",TRIM('DATOS'!D32&amp;"")&lt;&gt;"No consta",TRIM('DATOS'!D32&amp;"")&lt;&gt;"Desconocido",TRIM('DATOS'!D32&amp;"")&lt;&gt;"Sin confirmar",TRIM('DATOS'!D32&amp;"")&lt;&gt;"Por decidir",TRIM('DATOS'!D32&amp;"")&lt;&gt;"Por comprobar")),NOT(AND(LEN(TRIM('DATOS'!E32&amp;""))&gt;0,TRIM('DATOS'!E32&amp;"")&lt;&gt;"Pendiente",TRIM('DATOS'!E32&amp;"")&lt;&gt;"Por confirmar",TRIM('DATOS'!E32&amp;"")&lt;&gt;"No consta",TRIM('DATOS'!E32&amp;"")&lt;&gt;"Desconocido",TRIM('DATOS'!E32&amp;"")&lt;&gt;"Sin confirmar",TRIM('DATOS'!E32&amp;"")&lt;&gt;"Por decidir",TRIM('DATOS'!E32&amp;"")&lt;&gt;"Por comprobar"))),2,IF('DATOS'!M32="No",2,IF('DATOS'!M32="Sí",0,IF(OR('DATOS'!D32&lt;&gt;'DATOS'!E32,LEN('DATOS'!E32)&gt;300,RIGHT(TRIM('DATOS'!E32),3)="...",RIGHT(TRIM('DATOS'!E32),1)="…"),1,0))))),2)</f>
      </c>
      <c r="S32" s="29">
        <f>IFERROR(IF(N32=0,"",IF('REFERENCIAS'!$Q$8&lt;&gt;1,2,IF(NOT(Y32=1),1,IF(OR(ABS('DATOS'!G32-ROUND('DATOS'!G32,'REFERENCIAS'!$E$8))&gt;0.00000001,ABS('DATOS'!H32-ROUND('DATOS'!H32,'REFERENCIAS'!$H$8))&gt;0.00000001,ABS('DATOS'!J32-ROUND('DATOS'!J32,'REFERENCIAS'!$K$8))&gt;0.00000001,IF(ISNUMBER('DATOS'!I32),ABS('DATOS'!I32-ROUND('DATOS'!I32,'REFERENCIAS'!$H$8))&gt;0.00000001,FALSE)),1,0)))),2)</f>
      </c>
      <c r="T32" s="29">
        <f>IFERROR(IF(N32=0,"",IF(NOT(AND(LEN(TRIM('DATOS'!F32&amp;""))&gt;0,TRIM('DATOS'!F32&amp;"")&lt;&gt;"Pendiente",TRIM('DATOS'!F32&amp;"")&lt;&gt;"Por confirmar",TRIM('DATOS'!F32&amp;"")&lt;&gt;"No consta",TRIM('DATOS'!F32&amp;"")&lt;&gt;"Desconocido",TRIM('DATOS'!F32&amp;"")&lt;&gt;"Sin confirmar",TRIM('DATOS'!F32&amp;"")&lt;&gt;"Por decidir",TRIM('DATOS'!F32&amp;"")&lt;&gt;"Por comprobar")),2,IF(COUNTIFS('REFERENCIAS'!$T$15:$T$34,"ID:"&amp;SUBSTITUTE(SUBSTITUTE(SUBSTITUTE(SUBSTITUTE(UPPER(TRIM('DATOS'!F32&amp;"")),"!","!E"),"*","!A"),"?","!B"),"~","!C"),'REFERENCIAS'!$H$15:$H$34,"&lt;&gt;")&gt;0,0,1))),2)</f>
      </c>
      <c r="U32" s="29" t="str">
        <f>'DATOS'!R32</f>
        <v>ID:</v>
      </c>
      <c r="V32" s="29" t="str">
        <f>'DATOS'!S32</f>
        <v>ID:</v>
      </c>
      <c r="W32" s="29" t="n">
        <f>IF(N32=0,0,COUNTIFS('REFERENCIAS'!$R$15:$R$64,U32))</f>
        <v>0</v>
      </c>
      <c r="X32" s="29" t="n">
        <f>IF(N32=0,0,COUNTIFS('DATOS'!$R$10:$R$509,U32,'DATOS'!$S$10:$S$509,V32))</f>
        <v>0</v>
      </c>
      <c r="Y32" s="29" t="n">
        <f>IF(AND(ISNUMBER('DATOS'!G32),ISNUMBER('DATOS'!H32),ISNUMBER('DATOS'!J32)),1,0)</f>
        <v>0</v>
      </c>
    </row>
    <row r="33" ht="64" customHeight="1">
      <c r="B33" s="26">
        <f>IF(N33=1,24,"")</f>
      </c>
      <c r="C33" s="26">
        <f>IF(AND(N33=1,LEN(TRIM('DATOS'!B33&amp;""))&gt;0),'DATOS'!B33,"")</f>
      </c>
      <c r="D33" s="26">
        <f>IF(AND(N33=1,LEN(TRIM('DATOS'!C33&amp;""))&gt;0),'DATOS'!C33,"")</f>
      </c>
      <c r="E33" s="26">
        <f>IF(NOT(ISNUMBER(P33)),"",IF(P33=2,"ROJO",IF(P33=1,"ÁMBAR","VERDE")))</f>
      </c>
      <c r="F33" s="26">
        <f>IF(NOT(ISNUMBER(Q33)),"",IF(Q33=2,"ROJO",IF(Q33=1,"ÁMBAR","VERDE")))</f>
      </c>
      <c r="G33" s="26">
        <f>IF(NOT(ISNUMBER(R33)),"",IF(R33=2,"ROJO",IF(R33=1,"ÁMBAR","VERDE")))</f>
      </c>
      <c r="H33" s="26">
        <f>IF(NOT(ISNUMBER(S33)),"",IF(S33=2,"ROJO",IF(S33=1,"ÁMBAR","VERDE")))</f>
      </c>
      <c r="I33" s="26">
        <f>IF(NOT(ISNUMBER(T33)),"",IF(T33=2,"ROJO",IF(T33=1,"ÁMBAR","VERDE")))</f>
      </c>
      <c r="J33" s="26">
        <f>IF(NOT(ISNUMBER(O33)),"",IF(O33=2,"ROJO",IF(O33=1,"ÁMBAR","VERDE")))</f>
      </c>
      <c r="K33" s="26">
        <f>IFERROR(IF(AND(N33=1,LEN(TRIM('DATOS'!N33&amp;""))&gt;0),'DATOS'!N33,""),"Hay una entrada con error. Corregimos el dato antes de cerrar la comprobación.")</f>
      </c>
      <c r="L33" s="26">
        <f>IFERROR(IF(N33=0,"",IF(O33&gt;0,"Completamos datos, claves o motivo. ","")&amp;IF(P33&gt;0,"Cotejamos precios e importe. ","")&amp;IF(Q33&gt;0,"Aclaramos el cero. ","")&amp;IF(R33&gt;0,"Comprobamos el texto. ","")&amp;IF(S33&gt;0,"Revisamos decimales visibles. ","")&amp;IF(T33&gt;0,"Confirmamos la unidad.","")),"Hay una entrada con error. Corregimos el dato antes de cerrar la comprobación.")</f>
      </c>
      <c r="N33" s="29" t="n">
        <f>IF(COUNTA('DATOS'!B33:O33)&gt;0,1,0)</f>
        <v>0</v>
      </c>
      <c r="O33" s="29">
        <f>IFERROR(IF(N33=0,"",IF(OR(NOT(AND(LEN(TRIM('DATOS'!B33&amp;""))&gt;0,TRIM('DATOS'!B33&amp;"")&lt;&gt;"Pendiente",TRIM('DATOS'!B33&amp;"")&lt;&gt;"Por confirmar",TRIM('DATOS'!B33&amp;"")&lt;&gt;"No consta",TRIM('DATOS'!B33&amp;"")&lt;&gt;"Desconocido",TRIM('DATOS'!B33&amp;"")&lt;&gt;"Sin confirmar",TRIM('DATOS'!B33&amp;"")&lt;&gt;"Por decidir",TRIM('DATOS'!B33&amp;"")&lt;&gt;"Por comprobar")),NOT(AND(LEN(TRIM('DATOS'!C33&amp;""))&gt;0,TRIM('DATOS'!C33&amp;"")&lt;&gt;"Pendiente",TRIM('DATOS'!C33&amp;"")&lt;&gt;"Por confirmar",TRIM('DATOS'!C33&amp;"")&lt;&gt;"No consta",TRIM('DATOS'!C33&amp;"")&lt;&gt;"Desconocido",TRIM('DATOS'!C33&amp;"")&lt;&gt;"Sin confirmar",TRIM('DATOS'!C33&amp;"")&lt;&gt;"Por decidir",TRIM('DATOS'!C33&amp;"")&lt;&gt;"Por comprobar")),NOT(AND(LEN(TRIM('DATOS'!D33&amp;""))&gt;0,TRIM('DATOS'!D33&amp;"")&lt;&gt;"Pendiente",TRIM('DATOS'!D33&amp;"")&lt;&gt;"Por confirmar",TRIM('DATOS'!D33&amp;"")&lt;&gt;"No consta",TRIM('DATOS'!D33&amp;"")&lt;&gt;"Desconocido",TRIM('DATOS'!D33&amp;"")&lt;&gt;"Sin confirmar",TRIM('DATOS'!D33&amp;"")&lt;&gt;"Por decidir",TRIM('DATOS'!D33&amp;"")&lt;&gt;"Por comprobar")),NOT(AND(LEN(TRIM('DATOS'!E33&amp;""))&gt;0,TRIM('DATOS'!E33&amp;"")&lt;&gt;"Pendiente",TRIM('DATOS'!E33&amp;"")&lt;&gt;"Por confirmar",TRIM('DATOS'!E33&amp;"")&lt;&gt;"No consta",TRIM('DATOS'!E33&amp;"")&lt;&gt;"Desconocido",TRIM('DATOS'!E33&amp;"")&lt;&gt;"Sin confirmar",TRIM('DATOS'!E33&amp;"")&lt;&gt;"Por decidir",TRIM('DATOS'!E33&amp;"")&lt;&gt;"Por comprobar")),NOT(AND(LEN(TRIM('DATOS'!F33&amp;""))&gt;0,TRIM('DATOS'!F33&amp;"")&lt;&gt;"Pendiente",TRIM('DATOS'!F33&amp;"")&lt;&gt;"Por confirmar",TRIM('DATOS'!F33&amp;"")&lt;&gt;"No consta",TRIM('DATOS'!F33&amp;"")&lt;&gt;"Desconocido",TRIM('DATOS'!F33&amp;"")&lt;&gt;"Sin confirmar",TRIM('DATOS'!F33&amp;"")&lt;&gt;"Por decidir",TRIM('DATOS'!F33&amp;"")&lt;&gt;"Por comprobar")),NOT(AND(LEN(TRIM('DATOS'!N33&amp;""))&gt;0,TRIM('DATOS'!N33&amp;"")&lt;&gt;"Pendiente",TRIM('DATOS'!N33&amp;"")&lt;&gt;"Por confirmar",TRIM('DATOS'!N33&amp;"")&lt;&gt;"No consta",TRIM('DATOS'!N33&amp;"")&lt;&gt;"Desconocido",TRIM('DATOS'!N33&amp;"")&lt;&gt;"Sin confirmar",TRIM('DATOS'!N33&amp;"")&lt;&gt;"Por decidir",TRIM('DATOS'!N33&amp;"")&lt;&gt;"Por comprobar")),NOT(Y33=1),W33&lt;&gt;1,X33&gt;1,NOT(OR(LEN(TRIM('DATOS'!K33&amp;""))=0,'DATOS'!K33="Sin valorar",'DATOS'!K33="Sin coste documentado",'DATOS'!K33="Incluido en otra partida",'DATOS'!K33="Por confirmar")),NOT(OR(LEN(TRIM('DATOS'!M33&amp;""))=0,'DATOS'!M33="Sí",'DATOS'!M33="No",'DATOS'!M33="Por confirmar")),NOT(OR(LEN(TRIM('DATOS'!O33&amp;""))=0,'DATOS'!O33="Comparamos",'DATOS'!O33="No existe",'DATOS'!O33="Por confirmar"))),2,IF(AND(OR('DATOS'!G33&lt;0,'DATOS'!H33&lt;0,'DATOS'!J33&lt;0),NOT(AND(LEN(TRIM('DATOS'!L33&amp;""))&gt;0,TRIM('DATOS'!L33&amp;"")&lt;&gt;"Pendiente",TRIM('DATOS'!L33&amp;"")&lt;&gt;"Por confirmar",TRIM('DATOS'!L33&amp;"")&lt;&gt;"No consta",TRIM('DATOS'!L33&amp;"")&lt;&gt;"Desconocido",TRIM('DATOS'!L33&amp;"")&lt;&gt;"Sin confirmar",TRIM('DATOS'!L33&amp;"")&lt;&gt;"Por decidir",TRIM('DATOS'!L33&amp;"")&lt;&gt;"Por comprobar"))),1,0))),2)</f>
      </c>
      <c r="P33" s="29">
        <f>IFERROR(IF(N33=0,"",IF(NOT(Y33=1),1,IF('REFERENCIAS'!$Q$8&lt;&gt;1,2,IF(ABS('DATOS'!J33-ROUND('DATOS'!G33*'DATOS'!H33,'REFERENCIAS'!$K$8))&gt;0.00000001,2,IF('DATOS'!O33="No existe",IF(LEN(TRIM('DATOS'!I33&amp;""))=0,0,2),IF('DATOS'!O33="Comparamos",IF(LEN(TRIM('DATOS'!I33&amp;""))=0,1,IF(ISNUMBER('DATOS'!I33),IF(ABS('DATOS'!H33-'DATOS'!I33)&gt;0.00000001,2,0),2)),1)))))),2)</f>
      </c>
      <c r="Q33" s="29">
        <f>IFERROR(IF(N33=0,"",IF(NOT(Y33=1),1,IF('DATOS'!K33="Sin valorar",2,IF('DATOS'!G33=0,1,IF(OR('DATOS'!H33=0,'DATOS'!J33=0),IF(AND(OR('DATOS'!K33="Sin coste documentado",'DATOS'!K33="Incluido en otra partida"),AND(LEN(TRIM('DATOS'!L33&amp;""))&gt;0,TRIM('DATOS'!L33&amp;"")&lt;&gt;"Pendiente",TRIM('DATOS'!L33&amp;"")&lt;&gt;"Por confirmar",TRIM('DATOS'!L33&amp;"")&lt;&gt;"No consta",TRIM('DATOS'!L33&amp;"")&lt;&gt;"Desconocido",TRIM('DATOS'!L33&amp;"")&lt;&gt;"Sin confirmar",TRIM('DATOS'!L33&amp;"")&lt;&gt;"Por decidir",TRIM('DATOS'!L33&amp;"")&lt;&gt;"Por comprobar")),0,1),0))))),2)</f>
      </c>
      <c r="R33" s="29">
        <f>IFERROR(IF(N33=0,"",IF(OR(NOT(AND(LEN(TRIM('DATOS'!D33&amp;""))&gt;0,TRIM('DATOS'!D33&amp;"")&lt;&gt;"Pendiente",TRIM('DATOS'!D33&amp;"")&lt;&gt;"Por confirmar",TRIM('DATOS'!D33&amp;"")&lt;&gt;"No consta",TRIM('DATOS'!D33&amp;"")&lt;&gt;"Desconocido",TRIM('DATOS'!D33&amp;"")&lt;&gt;"Sin confirmar",TRIM('DATOS'!D33&amp;"")&lt;&gt;"Por decidir",TRIM('DATOS'!D33&amp;"")&lt;&gt;"Por comprobar")),NOT(AND(LEN(TRIM('DATOS'!E33&amp;""))&gt;0,TRIM('DATOS'!E33&amp;"")&lt;&gt;"Pendiente",TRIM('DATOS'!E33&amp;"")&lt;&gt;"Por confirmar",TRIM('DATOS'!E33&amp;"")&lt;&gt;"No consta",TRIM('DATOS'!E33&amp;"")&lt;&gt;"Desconocido",TRIM('DATOS'!E33&amp;"")&lt;&gt;"Sin confirmar",TRIM('DATOS'!E33&amp;"")&lt;&gt;"Por decidir",TRIM('DATOS'!E33&amp;"")&lt;&gt;"Por comprobar"))),2,IF('DATOS'!M33="No",2,IF('DATOS'!M33="Sí",0,IF(OR('DATOS'!D33&lt;&gt;'DATOS'!E33,LEN('DATOS'!E33)&gt;300,RIGHT(TRIM('DATOS'!E33),3)="...",RIGHT(TRIM('DATOS'!E33),1)="…"),1,0))))),2)</f>
      </c>
      <c r="S33" s="29">
        <f>IFERROR(IF(N33=0,"",IF('REFERENCIAS'!$Q$8&lt;&gt;1,2,IF(NOT(Y33=1),1,IF(OR(ABS('DATOS'!G33-ROUND('DATOS'!G33,'REFERENCIAS'!$E$8))&gt;0.00000001,ABS('DATOS'!H33-ROUND('DATOS'!H33,'REFERENCIAS'!$H$8))&gt;0.00000001,ABS('DATOS'!J33-ROUND('DATOS'!J33,'REFERENCIAS'!$K$8))&gt;0.00000001,IF(ISNUMBER('DATOS'!I33),ABS('DATOS'!I33-ROUND('DATOS'!I33,'REFERENCIAS'!$H$8))&gt;0.00000001,FALSE)),1,0)))),2)</f>
      </c>
      <c r="T33" s="29">
        <f>IFERROR(IF(N33=0,"",IF(NOT(AND(LEN(TRIM('DATOS'!F33&amp;""))&gt;0,TRIM('DATOS'!F33&amp;"")&lt;&gt;"Pendiente",TRIM('DATOS'!F33&amp;"")&lt;&gt;"Por confirmar",TRIM('DATOS'!F33&amp;"")&lt;&gt;"No consta",TRIM('DATOS'!F33&amp;"")&lt;&gt;"Desconocido",TRIM('DATOS'!F33&amp;"")&lt;&gt;"Sin confirmar",TRIM('DATOS'!F33&amp;"")&lt;&gt;"Por decidir",TRIM('DATOS'!F33&amp;"")&lt;&gt;"Por comprobar")),2,IF(COUNTIFS('REFERENCIAS'!$T$15:$T$34,"ID:"&amp;SUBSTITUTE(SUBSTITUTE(SUBSTITUTE(SUBSTITUTE(UPPER(TRIM('DATOS'!F33&amp;"")),"!","!E"),"*","!A"),"?","!B"),"~","!C"),'REFERENCIAS'!$H$15:$H$34,"&lt;&gt;")&gt;0,0,1))),2)</f>
      </c>
      <c r="U33" s="29" t="str">
        <f>'DATOS'!R33</f>
        <v>ID:</v>
      </c>
      <c r="V33" s="29" t="str">
        <f>'DATOS'!S33</f>
        <v>ID:</v>
      </c>
      <c r="W33" s="29" t="n">
        <f>IF(N33=0,0,COUNTIFS('REFERENCIAS'!$R$15:$R$64,U33))</f>
        <v>0</v>
      </c>
      <c r="X33" s="29" t="n">
        <f>IF(N33=0,0,COUNTIFS('DATOS'!$R$10:$R$509,U33,'DATOS'!$S$10:$S$509,V33))</f>
        <v>0</v>
      </c>
      <c r="Y33" s="29" t="n">
        <f>IF(AND(ISNUMBER('DATOS'!G33),ISNUMBER('DATOS'!H33),ISNUMBER('DATOS'!J33)),1,0)</f>
        <v>0</v>
      </c>
    </row>
    <row r="34" ht="64" customHeight="1">
      <c r="B34" s="26">
        <f>IF(N34=1,25,"")</f>
      </c>
      <c r="C34" s="26">
        <f>IF(AND(N34=1,LEN(TRIM('DATOS'!B34&amp;""))&gt;0),'DATOS'!B34,"")</f>
      </c>
      <c r="D34" s="26">
        <f>IF(AND(N34=1,LEN(TRIM('DATOS'!C34&amp;""))&gt;0),'DATOS'!C34,"")</f>
      </c>
      <c r="E34" s="26">
        <f>IF(NOT(ISNUMBER(P34)),"",IF(P34=2,"ROJO",IF(P34=1,"ÁMBAR","VERDE")))</f>
      </c>
      <c r="F34" s="26">
        <f>IF(NOT(ISNUMBER(Q34)),"",IF(Q34=2,"ROJO",IF(Q34=1,"ÁMBAR","VERDE")))</f>
      </c>
      <c r="G34" s="26">
        <f>IF(NOT(ISNUMBER(R34)),"",IF(R34=2,"ROJO",IF(R34=1,"ÁMBAR","VERDE")))</f>
      </c>
      <c r="H34" s="26">
        <f>IF(NOT(ISNUMBER(S34)),"",IF(S34=2,"ROJO",IF(S34=1,"ÁMBAR","VERDE")))</f>
      </c>
      <c r="I34" s="26">
        <f>IF(NOT(ISNUMBER(T34)),"",IF(T34=2,"ROJO",IF(T34=1,"ÁMBAR","VERDE")))</f>
      </c>
      <c r="J34" s="26">
        <f>IF(NOT(ISNUMBER(O34)),"",IF(O34=2,"ROJO",IF(O34=1,"ÁMBAR","VERDE")))</f>
      </c>
      <c r="K34" s="26">
        <f>IFERROR(IF(AND(N34=1,LEN(TRIM('DATOS'!N34&amp;""))&gt;0),'DATOS'!N34,""),"Hay una entrada con error. Corregimos el dato antes de cerrar la comprobación.")</f>
      </c>
      <c r="L34" s="26">
        <f>IFERROR(IF(N34=0,"",IF(O34&gt;0,"Completamos datos, claves o motivo. ","")&amp;IF(P34&gt;0,"Cotejamos precios e importe. ","")&amp;IF(Q34&gt;0,"Aclaramos el cero. ","")&amp;IF(R34&gt;0,"Comprobamos el texto. ","")&amp;IF(S34&gt;0,"Revisamos decimales visibles. ","")&amp;IF(T34&gt;0,"Confirmamos la unidad.","")),"Hay una entrada con error. Corregimos el dato antes de cerrar la comprobación.")</f>
      </c>
      <c r="N34" s="29" t="n">
        <f>IF(COUNTA('DATOS'!B34:O34)&gt;0,1,0)</f>
        <v>0</v>
      </c>
      <c r="O34" s="29">
        <f>IFERROR(IF(N34=0,"",IF(OR(NOT(AND(LEN(TRIM('DATOS'!B34&amp;""))&gt;0,TRIM('DATOS'!B34&amp;"")&lt;&gt;"Pendiente",TRIM('DATOS'!B34&amp;"")&lt;&gt;"Por confirmar",TRIM('DATOS'!B34&amp;"")&lt;&gt;"No consta",TRIM('DATOS'!B34&amp;"")&lt;&gt;"Desconocido",TRIM('DATOS'!B34&amp;"")&lt;&gt;"Sin confirmar",TRIM('DATOS'!B34&amp;"")&lt;&gt;"Por decidir",TRIM('DATOS'!B34&amp;"")&lt;&gt;"Por comprobar")),NOT(AND(LEN(TRIM('DATOS'!C34&amp;""))&gt;0,TRIM('DATOS'!C34&amp;"")&lt;&gt;"Pendiente",TRIM('DATOS'!C34&amp;"")&lt;&gt;"Por confirmar",TRIM('DATOS'!C34&amp;"")&lt;&gt;"No consta",TRIM('DATOS'!C34&amp;"")&lt;&gt;"Desconocido",TRIM('DATOS'!C34&amp;"")&lt;&gt;"Sin confirmar",TRIM('DATOS'!C34&amp;"")&lt;&gt;"Por decidir",TRIM('DATOS'!C34&amp;"")&lt;&gt;"Por comprobar")),NOT(AND(LEN(TRIM('DATOS'!D34&amp;""))&gt;0,TRIM('DATOS'!D34&amp;"")&lt;&gt;"Pendiente",TRIM('DATOS'!D34&amp;"")&lt;&gt;"Por confirmar",TRIM('DATOS'!D34&amp;"")&lt;&gt;"No consta",TRIM('DATOS'!D34&amp;"")&lt;&gt;"Desconocido",TRIM('DATOS'!D34&amp;"")&lt;&gt;"Sin confirmar",TRIM('DATOS'!D34&amp;"")&lt;&gt;"Por decidir",TRIM('DATOS'!D34&amp;"")&lt;&gt;"Por comprobar")),NOT(AND(LEN(TRIM('DATOS'!E34&amp;""))&gt;0,TRIM('DATOS'!E34&amp;"")&lt;&gt;"Pendiente",TRIM('DATOS'!E34&amp;"")&lt;&gt;"Por confirmar",TRIM('DATOS'!E34&amp;"")&lt;&gt;"No consta",TRIM('DATOS'!E34&amp;"")&lt;&gt;"Desconocido",TRIM('DATOS'!E34&amp;"")&lt;&gt;"Sin confirmar",TRIM('DATOS'!E34&amp;"")&lt;&gt;"Por decidir",TRIM('DATOS'!E34&amp;"")&lt;&gt;"Por comprobar")),NOT(AND(LEN(TRIM('DATOS'!F34&amp;""))&gt;0,TRIM('DATOS'!F34&amp;"")&lt;&gt;"Pendiente",TRIM('DATOS'!F34&amp;"")&lt;&gt;"Por confirmar",TRIM('DATOS'!F34&amp;"")&lt;&gt;"No consta",TRIM('DATOS'!F34&amp;"")&lt;&gt;"Desconocido",TRIM('DATOS'!F34&amp;"")&lt;&gt;"Sin confirmar",TRIM('DATOS'!F34&amp;"")&lt;&gt;"Por decidir",TRIM('DATOS'!F34&amp;"")&lt;&gt;"Por comprobar")),NOT(AND(LEN(TRIM('DATOS'!N34&amp;""))&gt;0,TRIM('DATOS'!N34&amp;"")&lt;&gt;"Pendiente",TRIM('DATOS'!N34&amp;"")&lt;&gt;"Por confirmar",TRIM('DATOS'!N34&amp;"")&lt;&gt;"No consta",TRIM('DATOS'!N34&amp;"")&lt;&gt;"Desconocido",TRIM('DATOS'!N34&amp;"")&lt;&gt;"Sin confirmar",TRIM('DATOS'!N34&amp;"")&lt;&gt;"Por decidir",TRIM('DATOS'!N34&amp;"")&lt;&gt;"Por comprobar")),NOT(Y34=1),W34&lt;&gt;1,X34&gt;1,NOT(OR(LEN(TRIM('DATOS'!K34&amp;""))=0,'DATOS'!K34="Sin valorar",'DATOS'!K34="Sin coste documentado",'DATOS'!K34="Incluido en otra partida",'DATOS'!K34="Por confirmar")),NOT(OR(LEN(TRIM('DATOS'!M34&amp;""))=0,'DATOS'!M34="Sí",'DATOS'!M34="No",'DATOS'!M34="Por confirmar")),NOT(OR(LEN(TRIM('DATOS'!O34&amp;""))=0,'DATOS'!O34="Comparamos",'DATOS'!O34="No existe",'DATOS'!O34="Por confirmar"))),2,IF(AND(OR('DATOS'!G34&lt;0,'DATOS'!H34&lt;0,'DATOS'!J34&lt;0),NOT(AND(LEN(TRIM('DATOS'!L34&amp;""))&gt;0,TRIM('DATOS'!L34&amp;"")&lt;&gt;"Pendiente",TRIM('DATOS'!L34&amp;"")&lt;&gt;"Por confirmar",TRIM('DATOS'!L34&amp;"")&lt;&gt;"No consta",TRIM('DATOS'!L34&amp;"")&lt;&gt;"Desconocido",TRIM('DATOS'!L34&amp;"")&lt;&gt;"Sin confirmar",TRIM('DATOS'!L34&amp;"")&lt;&gt;"Por decidir",TRIM('DATOS'!L34&amp;"")&lt;&gt;"Por comprobar"))),1,0))),2)</f>
      </c>
      <c r="P34" s="29">
        <f>IFERROR(IF(N34=0,"",IF(NOT(Y34=1),1,IF('REFERENCIAS'!$Q$8&lt;&gt;1,2,IF(ABS('DATOS'!J34-ROUND('DATOS'!G34*'DATOS'!H34,'REFERENCIAS'!$K$8))&gt;0.00000001,2,IF('DATOS'!O34="No existe",IF(LEN(TRIM('DATOS'!I34&amp;""))=0,0,2),IF('DATOS'!O34="Comparamos",IF(LEN(TRIM('DATOS'!I34&amp;""))=0,1,IF(ISNUMBER('DATOS'!I34),IF(ABS('DATOS'!H34-'DATOS'!I34)&gt;0.00000001,2,0),2)),1)))))),2)</f>
      </c>
      <c r="Q34" s="29">
        <f>IFERROR(IF(N34=0,"",IF(NOT(Y34=1),1,IF('DATOS'!K34="Sin valorar",2,IF('DATOS'!G34=0,1,IF(OR('DATOS'!H34=0,'DATOS'!J34=0),IF(AND(OR('DATOS'!K34="Sin coste documentado",'DATOS'!K34="Incluido en otra partida"),AND(LEN(TRIM('DATOS'!L34&amp;""))&gt;0,TRIM('DATOS'!L34&amp;"")&lt;&gt;"Pendiente",TRIM('DATOS'!L34&amp;"")&lt;&gt;"Por confirmar",TRIM('DATOS'!L34&amp;"")&lt;&gt;"No consta",TRIM('DATOS'!L34&amp;"")&lt;&gt;"Desconocido",TRIM('DATOS'!L34&amp;"")&lt;&gt;"Sin confirmar",TRIM('DATOS'!L34&amp;"")&lt;&gt;"Por decidir",TRIM('DATOS'!L34&amp;"")&lt;&gt;"Por comprobar")),0,1),0))))),2)</f>
      </c>
      <c r="R34" s="29">
        <f>IFERROR(IF(N34=0,"",IF(OR(NOT(AND(LEN(TRIM('DATOS'!D34&amp;""))&gt;0,TRIM('DATOS'!D34&amp;"")&lt;&gt;"Pendiente",TRIM('DATOS'!D34&amp;"")&lt;&gt;"Por confirmar",TRIM('DATOS'!D34&amp;"")&lt;&gt;"No consta",TRIM('DATOS'!D34&amp;"")&lt;&gt;"Desconocido",TRIM('DATOS'!D34&amp;"")&lt;&gt;"Sin confirmar",TRIM('DATOS'!D34&amp;"")&lt;&gt;"Por decidir",TRIM('DATOS'!D34&amp;"")&lt;&gt;"Por comprobar")),NOT(AND(LEN(TRIM('DATOS'!E34&amp;""))&gt;0,TRIM('DATOS'!E34&amp;"")&lt;&gt;"Pendiente",TRIM('DATOS'!E34&amp;"")&lt;&gt;"Por confirmar",TRIM('DATOS'!E34&amp;"")&lt;&gt;"No consta",TRIM('DATOS'!E34&amp;"")&lt;&gt;"Desconocido",TRIM('DATOS'!E34&amp;"")&lt;&gt;"Sin confirmar",TRIM('DATOS'!E34&amp;"")&lt;&gt;"Por decidir",TRIM('DATOS'!E34&amp;"")&lt;&gt;"Por comprobar"))),2,IF('DATOS'!M34="No",2,IF('DATOS'!M34="Sí",0,IF(OR('DATOS'!D34&lt;&gt;'DATOS'!E34,LEN('DATOS'!E34)&gt;300,RIGHT(TRIM('DATOS'!E34),3)="...",RIGHT(TRIM('DATOS'!E34),1)="…"),1,0))))),2)</f>
      </c>
      <c r="S34" s="29">
        <f>IFERROR(IF(N34=0,"",IF('REFERENCIAS'!$Q$8&lt;&gt;1,2,IF(NOT(Y34=1),1,IF(OR(ABS('DATOS'!G34-ROUND('DATOS'!G34,'REFERENCIAS'!$E$8))&gt;0.00000001,ABS('DATOS'!H34-ROUND('DATOS'!H34,'REFERENCIAS'!$H$8))&gt;0.00000001,ABS('DATOS'!J34-ROUND('DATOS'!J34,'REFERENCIAS'!$K$8))&gt;0.00000001,IF(ISNUMBER('DATOS'!I34),ABS('DATOS'!I34-ROUND('DATOS'!I34,'REFERENCIAS'!$H$8))&gt;0.00000001,FALSE)),1,0)))),2)</f>
      </c>
      <c r="T34" s="29">
        <f>IFERROR(IF(N34=0,"",IF(NOT(AND(LEN(TRIM('DATOS'!F34&amp;""))&gt;0,TRIM('DATOS'!F34&amp;"")&lt;&gt;"Pendiente",TRIM('DATOS'!F34&amp;"")&lt;&gt;"Por confirmar",TRIM('DATOS'!F34&amp;"")&lt;&gt;"No consta",TRIM('DATOS'!F34&amp;"")&lt;&gt;"Desconocido",TRIM('DATOS'!F34&amp;"")&lt;&gt;"Sin confirmar",TRIM('DATOS'!F34&amp;"")&lt;&gt;"Por decidir",TRIM('DATOS'!F34&amp;"")&lt;&gt;"Por comprobar")),2,IF(COUNTIFS('REFERENCIAS'!$T$15:$T$34,"ID:"&amp;SUBSTITUTE(SUBSTITUTE(SUBSTITUTE(SUBSTITUTE(UPPER(TRIM('DATOS'!F34&amp;"")),"!","!E"),"*","!A"),"?","!B"),"~","!C"),'REFERENCIAS'!$H$15:$H$34,"&lt;&gt;")&gt;0,0,1))),2)</f>
      </c>
      <c r="U34" s="29" t="str">
        <f>'DATOS'!R34</f>
        <v>ID:</v>
      </c>
      <c r="V34" s="29" t="str">
        <f>'DATOS'!S34</f>
        <v>ID:</v>
      </c>
      <c r="W34" s="29" t="n">
        <f>IF(N34=0,0,COUNTIFS('REFERENCIAS'!$R$15:$R$64,U34))</f>
        <v>0</v>
      </c>
      <c r="X34" s="29" t="n">
        <f>IF(N34=0,0,COUNTIFS('DATOS'!$R$10:$R$509,U34,'DATOS'!$S$10:$S$509,V34))</f>
        <v>0</v>
      </c>
      <c r="Y34" s="29" t="n">
        <f>IF(AND(ISNUMBER('DATOS'!G34),ISNUMBER('DATOS'!H34),ISNUMBER('DATOS'!J34)),1,0)</f>
        <v>0</v>
      </c>
    </row>
    <row r="35" ht="64" customHeight="1">
      <c r="B35" s="26">
        <f>IF(N35=1,26,"")</f>
      </c>
      <c r="C35" s="26">
        <f>IF(AND(N35=1,LEN(TRIM('DATOS'!B35&amp;""))&gt;0),'DATOS'!B35,"")</f>
      </c>
      <c r="D35" s="26">
        <f>IF(AND(N35=1,LEN(TRIM('DATOS'!C35&amp;""))&gt;0),'DATOS'!C35,"")</f>
      </c>
      <c r="E35" s="26">
        <f>IF(NOT(ISNUMBER(P35)),"",IF(P35=2,"ROJO",IF(P35=1,"ÁMBAR","VERDE")))</f>
      </c>
      <c r="F35" s="26">
        <f>IF(NOT(ISNUMBER(Q35)),"",IF(Q35=2,"ROJO",IF(Q35=1,"ÁMBAR","VERDE")))</f>
      </c>
      <c r="G35" s="26">
        <f>IF(NOT(ISNUMBER(R35)),"",IF(R35=2,"ROJO",IF(R35=1,"ÁMBAR","VERDE")))</f>
      </c>
      <c r="H35" s="26">
        <f>IF(NOT(ISNUMBER(S35)),"",IF(S35=2,"ROJO",IF(S35=1,"ÁMBAR","VERDE")))</f>
      </c>
      <c r="I35" s="26">
        <f>IF(NOT(ISNUMBER(T35)),"",IF(T35=2,"ROJO",IF(T35=1,"ÁMBAR","VERDE")))</f>
      </c>
      <c r="J35" s="26">
        <f>IF(NOT(ISNUMBER(O35)),"",IF(O35=2,"ROJO",IF(O35=1,"ÁMBAR","VERDE")))</f>
      </c>
      <c r="K35" s="26">
        <f>IFERROR(IF(AND(N35=1,LEN(TRIM('DATOS'!N35&amp;""))&gt;0),'DATOS'!N35,""),"Hay una entrada con error. Corregimos el dato antes de cerrar la comprobación.")</f>
      </c>
      <c r="L35" s="26">
        <f>IFERROR(IF(N35=0,"",IF(O35&gt;0,"Completamos datos, claves o motivo. ","")&amp;IF(P35&gt;0,"Cotejamos precios e importe. ","")&amp;IF(Q35&gt;0,"Aclaramos el cero. ","")&amp;IF(R35&gt;0,"Comprobamos el texto. ","")&amp;IF(S35&gt;0,"Revisamos decimales visibles. ","")&amp;IF(T35&gt;0,"Confirmamos la unidad.","")),"Hay una entrada con error. Corregimos el dato antes de cerrar la comprobación.")</f>
      </c>
      <c r="N35" s="29" t="n">
        <f>IF(COUNTA('DATOS'!B35:O35)&gt;0,1,0)</f>
        <v>0</v>
      </c>
      <c r="O35" s="29">
        <f>IFERROR(IF(N35=0,"",IF(OR(NOT(AND(LEN(TRIM('DATOS'!B35&amp;""))&gt;0,TRIM('DATOS'!B35&amp;"")&lt;&gt;"Pendiente",TRIM('DATOS'!B35&amp;"")&lt;&gt;"Por confirmar",TRIM('DATOS'!B35&amp;"")&lt;&gt;"No consta",TRIM('DATOS'!B35&amp;"")&lt;&gt;"Desconocido",TRIM('DATOS'!B35&amp;"")&lt;&gt;"Sin confirmar",TRIM('DATOS'!B35&amp;"")&lt;&gt;"Por decidir",TRIM('DATOS'!B35&amp;"")&lt;&gt;"Por comprobar")),NOT(AND(LEN(TRIM('DATOS'!C35&amp;""))&gt;0,TRIM('DATOS'!C35&amp;"")&lt;&gt;"Pendiente",TRIM('DATOS'!C35&amp;"")&lt;&gt;"Por confirmar",TRIM('DATOS'!C35&amp;"")&lt;&gt;"No consta",TRIM('DATOS'!C35&amp;"")&lt;&gt;"Desconocido",TRIM('DATOS'!C35&amp;"")&lt;&gt;"Sin confirmar",TRIM('DATOS'!C35&amp;"")&lt;&gt;"Por decidir",TRIM('DATOS'!C35&amp;"")&lt;&gt;"Por comprobar")),NOT(AND(LEN(TRIM('DATOS'!D35&amp;""))&gt;0,TRIM('DATOS'!D35&amp;"")&lt;&gt;"Pendiente",TRIM('DATOS'!D35&amp;"")&lt;&gt;"Por confirmar",TRIM('DATOS'!D35&amp;"")&lt;&gt;"No consta",TRIM('DATOS'!D35&amp;"")&lt;&gt;"Desconocido",TRIM('DATOS'!D35&amp;"")&lt;&gt;"Sin confirmar",TRIM('DATOS'!D35&amp;"")&lt;&gt;"Por decidir",TRIM('DATOS'!D35&amp;"")&lt;&gt;"Por comprobar")),NOT(AND(LEN(TRIM('DATOS'!E35&amp;""))&gt;0,TRIM('DATOS'!E35&amp;"")&lt;&gt;"Pendiente",TRIM('DATOS'!E35&amp;"")&lt;&gt;"Por confirmar",TRIM('DATOS'!E35&amp;"")&lt;&gt;"No consta",TRIM('DATOS'!E35&amp;"")&lt;&gt;"Desconocido",TRIM('DATOS'!E35&amp;"")&lt;&gt;"Sin confirmar",TRIM('DATOS'!E35&amp;"")&lt;&gt;"Por decidir",TRIM('DATOS'!E35&amp;"")&lt;&gt;"Por comprobar")),NOT(AND(LEN(TRIM('DATOS'!F35&amp;""))&gt;0,TRIM('DATOS'!F35&amp;"")&lt;&gt;"Pendiente",TRIM('DATOS'!F35&amp;"")&lt;&gt;"Por confirmar",TRIM('DATOS'!F35&amp;"")&lt;&gt;"No consta",TRIM('DATOS'!F35&amp;"")&lt;&gt;"Desconocido",TRIM('DATOS'!F35&amp;"")&lt;&gt;"Sin confirmar",TRIM('DATOS'!F35&amp;"")&lt;&gt;"Por decidir",TRIM('DATOS'!F35&amp;"")&lt;&gt;"Por comprobar")),NOT(AND(LEN(TRIM('DATOS'!N35&amp;""))&gt;0,TRIM('DATOS'!N35&amp;"")&lt;&gt;"Pendiente",TRIM('DATOS'!N35&amp;"")&lt;&gt;"Por confirmar",TRIM('DATOS'!N35&amp;"")&lt;&gt;"No consta",TRIM('DATOS'!N35&amp;"")&lt;&gt;"Desconocido",TRIM('DATOS'!N35&amp;"")&lt;&gt;"Sin confirmar",TRIM('DATOS'!N35&amp;"")&lt;&gt;"Por decidir",TRIM('DATOS'!N35&amp;"")&lt;&gt;"Por comprobar")),NOT(Y35=1),W35&lt;&gt;1,X35&gt;1,NOT(OR(LEN(TRIM('DATOS'!K35&amp;""))=0,'DATOS'!K35="Sin valorar",'DATOS'!K35="Sin coste documentado",'DATOS'!K35="Incluido en otra partida",'DATOS'!K35="Por confirmar")),NOT(OR(LEN(TRIM('DATOS'!M35&amp;""))=0,'DATOS'!M35="Sí",'DATOS'!M35="No",'DATOS'!M35="Por confirmar")),NOT(OR(LEN(TRIM('DATOS'!O35&amp;""))=0,'DATOS'!O35="Comparamos",'DATOS'!O35="No existe",'DATOS'!O35="Por confirmar"))),2,IF(AND(OR('DATOS'!G35&lt;0,'DATOS'!H35&lt;0,'DATOS'!J35&lt;0),NOT(AND(LEN(TRIM('DATOS'!L35&amp;""))&gt;0,TRIM('DATOS'!L35&amp;"")&lt;&gt;"Pendiente",TRIM('DATOS'!L35&amp;"")&lt;&gt;"Por confirmar",TRIM('DATOS'!L35&amp;"")&lt;&gt;"No consta",TRIM('DATOS'!L35&amp;"")&lt;&gt;"Desconocido",TRIM('DATOS'!L35&amp;"")&lt;&gt;"Sin confirmar",TRIM('DATOS'!L35&amp;"")&lt;&gt;"Por decidir",TRIM('DATOS'!L35&amp;"")&lt;&gt;"Por comprobar"))),1,0))),2)</f>
      </c>
      <c r="P35" s="29">
        <f>IFERROR(IF(N35=0,"",IF(NOT(Y35=1),1,IF('REFERENCIAS'!$Q$8&lt;&gt;1,2,IF(ABS('DATOS'!J35-ROUND('DATOS'!G35*'DATOS'!H35,'REFERENCIAS'!$K$8))&gt;0.00000001,2,IF('DATOS'!O35="No existe",IF(LEN(TRIM('DATOS'!I35&amp;""))=0,0,2),IF('DATOS'!O35="Comparamos",IF(LEN(TRIM('DATOS'!I35&amp;""))=0,1,IF(ISNUMBER('DATOS'!I35),IF(ABS('DATOS'!H35-'DATOS'!I35)&gt;0.00000001,2,0),2)),1)))))),2)</f>
      </c>
      <c r="Q35" s="29">
        <f>IFERROR(IF(N35=0,"",IF(NOT(Y35=1),1,IF('DATOS'!K35="Sin valorar",2,IF('DATOS'!G35=0,1,IF(OR('DATOS'!H35=0,'DATOS'!J35=0),IF(AND(OR('DATOS'!K35="Sin coste documentado",'DATOS'!K35="Incluido en otra partida"),AND(LEN(TRIM('DATOS'!L35&amp;""))&gt;0,TRIM('DATOS'!L35&amp;"")&lt;&gt;"Pendiente",TRIM('DATOS'!L35&amp;"")&lt;&gt;"Por confirmar",TRIM('DATOS'!L35&amp;"")&lt;&gt;"No consta",TRIM('DATOS'!L35&amp;"")&lt;&gt;"Desconocido",TRIM('DATOS'!L35&amp;"")&lt;&gt;"Sin confirmar",TRIM('DATOS'!L35&amp;"")&lt;&gt;"Por decidir",TRIM('DATOS'!L35&amp;"")&lt;&gt;"Por comprobar")),0,1),0))))),2)</f>
      </c>
      <c r="R35" s="29">
        <f>IFERROR(IF(N35=0,"",IF(OR(NOT(AND(LEN(TRIM('DATOS'!D35&amp;""))&gt;0,TRIM('DATOS'!D35&amp;"")&lt;&gt;"Pendiente",TRIM('DATOS'!D35&amp;"")&lt;&gt;"Por confirmar",TRIM('DATOS'!D35&amp;"")&lt;&gt;"No consta",TRIM('DATOS'!D35&amp;"")&lt;&gt;"Desconocido",TRIM('DATOS'!D35&amp;"")&lt;&gt;"Sin confirmar",TRIM('DATOS'!D35&amp;"")&lt;&gt;"Por decidir",TRIM('DATOS'!D35&amp;"")&lt;&gt;"Por comprobar")),NOT(AND(LEN(TRIM('DATOS'!E35&amp;""))&gt;0,TRIM('DATOS'!E35&amp;"")&lt;&gt;"Pendiente",TRIM('DATOS'!E35&amp;"")&lt;&gt;"Por confirmar",TRIM('DATOS'!E35&amp;"")&lt;&gt;"No consta",TRIM('DATOS'!E35&amp;"")&lt;&gt;"Desconocido",TRIM('DATOS'!E35&amp;"")&lt;&gt;"Sin confirmar",TRIM('DATOS'!E35&amp;"")&lt;&gt;"Por decidir",TRIM('DATOS'!E35&amp;"")&lt;&gt;"Por comprobar"))),2,IF('DATOS'!M35="No",2,IF('DATOS'!M35="Sí",0,IF(OR('DATOS'!D35&lt;&gt;'DATOS'!E35,LEN('DATOS'!E35)&gt;300,RIGHT(TRIM('DATOS'!E35),3)="...",RIGHT(TRIM('DATOS'!E35),1)="…"),1,0))))),2)</f>
      </c>
      <c r="S35" s="29">
        <f>IFERROR(IF(N35=0,"",IF('REFERENCIAS'!$Q$8&lt;&gt;1,2,IF(NOT(Y35=1),1,IF(OR(ABS('DATOS'!G35-ROUND('DATOS'!G35,'REFERENCIAS'!$E$8))&gt;0.00000001,ABS('DATOS'!H35-ROUND('DATOS'!H35,'REFERENCIAS'!$H$8))&gt;0.00000001,ABS('DATOS'!J35-ROUND('DATOS'!J35,'REFERENCIAS'!$K$8))&gt;0.00000001,IF(ISNUMBER('DATOS'!I35),ABS('DATOS'!I35-ROUND('DATOS'!I35,'REFERENCIAS'!$H$8))&gt;0.00000001,FALSE)),1,0)))),2)</f>
      </c>
      <c r="T35" s="29">
        <f>IFERROR(IF(N35=0,"",IF(NOT(AND(LEN(TRIM('DATOS'!F35&amp;""))&gt;0,TRIM('DATOS'!F35&amp;"")&lt;&gt;"Pendiente",TRIM('DATOS'!F35&amp;"")&lt;&gt;"Por confirmar",TRIM('DATOS'!F35&amp;"")&lt;&gt;"No consta",TRIM('DATOS'!F35&amp;"")&lt;&gt;"Desconocido",TRIM('DATOS'!F35&amp;"")&lt;&gt;"Sin confirmar",TRIM('DATOS'!F35&amp;"")&lt;&gt;"Por decidir",TRIM('DATOS'!F35&amp;"")&lt;&gt;"Por comprobar")),2,IF(COUNTIFS('REFERENCIAS'!$T$15:$T$34,"ID:"&amp;SUBSTITUTE(SUBSTITUTE(SUBSTITUTE(SUBSTITUTE(UPPER(TRIM('DATOS'!F35&amp;"")),"!","!E"),"*","!A"),"?","!B"),"~","!C"),'REFERENCIAS'!$H$15:$H$34,"&lt;&gt;")&gt;0,0,1))),2)</f>
      </c>
      <c r="U35" s="29" t="str">
        <f>'DATOS'!R35</f>
        <v>ID:</v>
      </c>
      <c r="V35" s="29" t="str">
        <f>'DATOS'!S35</f>
        <v>ID:</v>
      </c>
      <c r="W35" s="29" t="n">
        <f>IF(N35=0,0,COUNTIFS('REFERENCIAS'!$R$15:$R$64,U35))</f>
        <v>0</v>
      </c>
      <c r="X35" s="29" t="n">
        <f>IF(N35=0,0,COUNTIFS('DATOS'!$R$10:$R$509,U35,'DATOS'!$S$10:$S$509,V35))</f>
        <v>0</v>
      </c>
      <c r="Y35" s="29" t="n">
        <f>IF(AND(ISNUMBER('DATOS'!G35),ISNUMBER('DATOS'!H35),ISNUMBER('DATOS'!J35)),1,0)</f>
        <v>0</v>
      </c>
    </row>
    <row r="36" ht="64" customHeight="1">
      <c r="B36" s="26">
        <f>IF(N36=1,27,"")</f>
      </c>
      <c r="C36" s="26">
        <f>IF(AND(N36=1,LEN(TRIM('DATOS'!B36&amp;""))&gt;0),'DATOS'!B36,"")</f>
      </c>
      <c r="D36" s="26">
        <f>IF(AND(N36=1,LEN(TRIM('DATOS'!C36&amp;""))&gt;0),'DATOS'!C36,"")</f>
      </c>
      <c r="E36" s="26">
        <f>IF(NOT(ISNUMBER(P36)),"",IF(P36=2,"ROJO",IF(P36=1,"ÁMBAR","VERDE")))</f>
      </c>
      <c r="F36" s="26">
        <f>IF(NOT(ISNUMBER(Q36)),"",IF(Q36=2,"ROJO",IF(Q36=1,"ÁMBAR","VERDE")))</f>
      </c>
      <c r="G36" s="26">
        <f>IF(NOT(ISNUMBER(R36)),"",IF(R36=2,"ROJO",IF(R36=1,"ÁMBAR","VERDE")))</f>
      </c>
      <c r="H36" s="26">
        <f>IF(NOT(ISNUMBER(S36)),"",IF(S36=2,"ROJO",IF(S36=1,"ÁMBAR","VERDE")))</f>
      </c>
      <c r="I36" s="26">
        <f>IF(NOT(ISNUMBER(T36)),"",IF(T36=2,"ROJO",IF(T36=1,"ÁMBAR","VERDE")))</f>
      </c>
      <c r="J36" s="26">
        <f>IF(NOT(ISNUMBER(O36)),"",IF(O36=2,"ROJO",IF(O36=1,"ÁMBAR","VERDE")))</f>
      </c>
      <c r="K36" s="26">
        <f>IFERROR(IF(AND(N36=1,LEN(TRIM('DATOS'!N36&amp;""))&gt;0),'DATOS'!N36,""),"Hay una entrada con error. Corregimos el dato antes de cerrar la comprobación.")</f>
      </c>
      <c r="L36" s="26">
        <f>IFERROR(IF(N36=0,"",IF(O36&gt;0,"Completamos datos, claves o motivo. ","")&amp;IF(P36&gt;0,"Cotejamos precios e importe. ","")&amp;IF(Q36&gt;0,"Aclaramos el cero. ","")&amp;IF(R36&gt;0,"Comprobamos el texto. ","")&amp;IF(S36&gt;0,"Revisamos decimales visibles. ","")&amp;IF(T36&gt;0,"Confirmamos la unidad.","")),"Hay una entrada con error. Corregimos el dato antes de cerrar la comprobación.")</f>
      </c>
      <c r="N36" s="29" t="n">
        <f>IF(COUNTA('DATOS'!B36:O36)&gt;0,1,0)</f>
        <v>0</v>
      </c>
      <c r="O36" s="29">
        <f>IFERROR(IF(N36=0,"",IF(OR(NOT(AND(LEN(TRIM('DATOS'!B36&amp;""))&gt;0,TRIM('DATOS'!B36&amp;"")&lt;&gt;"Pendiente",TRIM('DATOS'!B36&amp;"")&lt;&gt;"Por confirmar",TRIM('DATOS'!B36&amp;"")&lt;&gt;"No consta",TRIM('DATOS'!B36&amp;"")&lt;&gt;"Desconocido",TRIM('DATOS'!B36&amp;"")&lt;&gt;"Sin confirmar",TRIM('DATOS'!B36&amp;"")&lt;&gt;"Por decidir",TRIM('DATOS'!B36&amp;"")&lt;&gt;"Por comprobar")),NOT(AND(LEN(TRIM('DATOS'!C36&amp;""))&gt;0,TRIM('DATOS'!C36&amp;"")&lt;&gt;"Pendiente",TRIM('DATOS'!C36&amp;"")&lt;&gt;"Por confirmar",TRIM('DATOS'!C36&amp;"")&lt;&gt;"No consta",TRIM('DATOS'!C36&amp;"")&lt;&gt;"Desconocido",TRIM('DATOS'!C36&amp;"")&lt;&gt;"Sin confirmar",TRIM('DATOS'!C36&amp;"")&lt;&gt;"Por decidir",TRIM('DATOS'!C36&amp;"")&lt;&gt;"Por comprobar")),NOT(AND(LEN(TRIM('DATOS'!D36&amp;""))&gt;0,TRIM('DATOS'!D36&amp;"")&lt;&gt;"Pendiente",TRIM('DATOS'!D36&amp;"")&lt;&gt;"Por confirmar",TRIM('DATOS'!D36&amp;"")&lt;&gt;"No consta",TRIM('DATOS'!D36&amp;"")&lt;&gt;"Desconocido",TRIM('DATOS'!D36&amp;"")&lt;&gt;"Sin confirmar",TRIM('DATOS'!D36&amp;"")&lt;&gt;"Por decidir",TRIM('DATOS'!D36&amp;"")&lt;&gt;"Por comprobar")),NOT(AND(LEN(TRIM('DATOS'!E36&amp;""))&gt;0,TRIM('DATOS'!E36&amp;"")&lt;&gt;"Pendiente",TRIM('DATOS'!E36&amp;"")&lt;&gt;"Por confirmar",TRIM('DATOS'!E36&amp;"")&lt;&gt;"No consta",TRIM('DATOS'!E36&amp;"")&lt;&gt;"Desconocido",TRIM('DATOS'!E36&amp;"")&lt;&gt;"Sin confirmar",TRIM('DATOS'!E36&amp;"")&lt;&gt;"Por decidir",TRIM('DATOS'!E36&amp;"")&lt;&gt;"Por comprobar")),NOT(AND(LEN(TRIM('DATOS'!F36&amp;""))&gt;0,TRIM('DATOS'!F36&amp;"")&lt;&gt;"Pendiente",TRIM('DATOS'!F36&amp;"")&lt;&gt;"Por confirmar",TRIM('DATOS'!F36&amp;"")&lt;&gt;"No consta",TRIM('DATOS'!F36&amp;"")&lt;&gt;"Desconocido",TRIM('DATOS'!F36&amp;"")&lt;&gt;"Sin confirmar",TRIM('DATOS'!F36&amp;"")&lt;&gt;"Por decidir",TRIM('DATOS'!F36&amp;"")&lt;&gt;"Por comprobar")),NOT(AND(LEN(TRIM('DATOS'!N36&amp;""))&gt;0,TRIM('DATOS'!N36&amp;"")&lt;&gt;"Pendiente",TRIM('DATOS'!N36&amp;"")&lt;&gt;"Por confirmar",TRIM('DATOS'!N36&amp;"")&lt;&gt;"No consta",TRIM('DATOS'!N36&amp;"")&lt;&gt;"Desconocido",TRIM('DATOS'!N36&amp;"")&lt;&gt;"Sin confirmar",TRIM('DATOS'!N36&amp;"")&lt;&gt;"Por decidir",TRIM('DATOS'!N36&amp;"")&lt;&gt;"Por comprobar")),NOT(Y36=1),W36&lt;&gt;1,X36&gt;1,NOT(OR(LEN(TRIM('DATOS'!K36&amp;""))=0,'DATOS'!K36="Sin valorar",'DATOS'!K36="Sin coste documentado",'DATOS'!K36="Incluido en otra partida",'DATOS'!K36="Por confirmar")),NOT(OR(LEN(TRIM('DATOS'!M36&amp;""))=0,'DATOS'!M36="Sí",'DATOS'!M36="No",'DATOS'!M36="Por confirmar")),NOT(OR(LEN(TRIM('DATOS'!O36&amp;""))=0,'DATOS'!O36="Comparamos",'DATOS'!O36="No existe",'DATOS'!O36="Por confirmar"))),2,IF(AND(OR('DATOS'!G36&lt;0,'DATOS'!H36&lt;0,'DATOS'!J36&lt;0),NOT(AND(LEN(TRIM('DATOS'!L36&amp;""))&gt;0,TRIM('DATOS'!L36&amp;"")&lt;&gt;"Pendiente",TRIM('DATOS'!L36&amp;"")&lt;&gt;"Por confirmar",TRIM('DATOS'!L36&amp;"")&lt;&gt;"No consta",TRIM('DATOS'!L36&amp;"")&lt;&gt;"Desconocido",TRIM('DATOS'!L36&amp;"")&lt;&gt;"Sin confirmar",TRIM('DATOS'!L36&amp;"")&lt;&gt;"Por decidir",TRIM('DATOS'!L36&amp;"")&lt;&gt;"Por comprobar"))),1,0))),2)</f>
      </c>
      <c r="P36" s="29">
        <f>IFERROR(IF(N36=0,"",IF(NOT(Y36=1),1,IF('REFERENCIAS'!$Q$8&lt;&gt;1,2,IF(ABS('DATOS'!J36-ROUND('DATOS'!G36*'DATOS'!H36,'REFERENCIAS'!$K$8))&gt;0.00000001,2,IF('DATOS'!O36="No existe",IF(LEN(TRIM('DATOS'!I36&amp;""))=0,0,2),IF('DATOS'!O36="Comparamos",IF(LEN(TRIM('DATOS'!I36&amp;""))=0,1,IF(ISNUMBER('DATOS'!I36),IF(ABS('DATOS'!H36-'DATOS'!I36)&gt;0.00000001,2,0),2)),1)))))),2)</f>
      </c>
      <c r="Q36" s="29">
        <f>IFERROR(IF(N36=0,"",IF(NOT(Y36=1),1,IF('DATOS'!K36="Sin valorar",2,IF('DATOS'!G36=0,1,IF(OR('DATOS'!H36=0,'DATOS'!J36=0),IF(AND(OR('DATOS'!K36="Sin coste documentado",'DATOS'!K36="Incluido en otra partida"),AND(LEN(TRIM('DATOS'!L36&amp;""))&gt;0,TRIM('DATOS'!L36&amp;"")&lt;&gt;"Pendiente",TRIM('DATOS'!L36&amp;"")&lt;&gt;"Por confirmar",TRIM('DATOS'!L36&amp;"")&lt;&gt;"No consta",TRIM('DATOS'!L36&amp;"")&lt;&gt;"Desconocido",TRIM('DATOS'!L36&amp;"")&lt;&gt;"Sin confirmar",TRIM('DATOS'!L36&amp;"")&lt;&gt;"Por decidir",TRIM('DATOS'!L36&amp;"")&lt;&gt;"Por comprobar")),0,1),0))))),2)</f>
      </c>
      <c r="R36" s="29">
        <f>IFERROR(IF(N36=0,"",IF(OR(NOT(AND(LEN(TRIM('DATOS'!D36&amp;""))&gt;0,TRIM('DATOS'!D36&amp;"")&lt;&gt;"Pendiente",TRIM('DATOS'!D36&amp;"")&lt;&gt;"Por confirmar",TRIM('DATOS'!D36&amp;"")&lt;&gt;"No consta",TRIM('DATOS'!D36&amp;"")&lt;&gt;"Desconocido",TRIM('DATOS'!D36&amp;"")&lt;&gt;"Sin confirmar",TRIM('DATOS'!D36&amp;"")&lt;&gt;"Por decidir",TRIM('DATOS'!D36&amp;"")&lt;&gt;"Por comprobar")),NOT(AND(LEN(TRIM('DATOS'!E36&amp;""))&gt;0,TRIM('DATOS'!E36&amp;"")&lt;&gt;"Pendiente",TRIM('DATOS'!E36&amp;"")&lt;&gt;"Por confirmar",TRIM('DATOS'!E36&amp;"")&lt;&gt;"No consta",TRIM('DATOS'!E36&amp;"")&lt;&gt;"Desconocido",TRIM('DATOS'!E36&amp;"")&lt;&gt;"Sin confirmar",TRIM('DATOS'!E36&amp;"")&lt;&gt;"Por decidir",TRIM('DATOS'!E36&amp;"")&lt;&gt;"Por comprobar"))),2,IF('DATOS'!M36="No",2,IF('DATOS'!M36="Sí",0,IF(OR('DATOS'!D36&lt;&gt;'DATOS'!E36,LEN('DATOS'!E36)&gt;300,RIGHT(TRIM('DATOS'!E36),3)="...",RIGHT(TRIM('DATOS'!E36),1)="…"),1,0))))),2)</f>
      </c>
      <c r="S36" s="29">
        <f>IFERROR(IF(N36=0,"",IF('REFERENCIAS'!$Q$8&lt;&gt;1,2,IF(NOT(Y36=1),1,IF(OR(ABS('DATOS'!G36-ROUND('DATOS'!G36,'REFERENCIAS'!$E$8))&gt;0.00000001,ABS('DATOS'!H36-ROUND('DATOS'!H36,'REFERENCIAS'!$H$8))&gt;0.00000001,ABS('DATOS'!J36-ROUND('DATOS'!J36,'REFERENCIAS'!$K$8))&gt;0.00000001,IF(ISNUMBER('DATOS'!I36),ABS('DATOS'!I36-ROUND('DATOS'!I36,'REFERENCIAS'!$H$8))&gt;0.00000001,FALSE)),1,0)))),2)</f>
      </c>
      <c r="T36" s="29">
        <f>IFERROR(IF(N36=0,"",IF(NOT(AND(LEN(TRIM('DATOS'!F36&amp;""))&gt;0,TRIM('DATOS'!F36&amp;"")&lt;&gt;"Pendiente",TRIM('DATOS'!F36&amp;"")&lt;&gt;"Por confirmar",TRIM('DATOS'!F36&amp;"")&lt;&gt;"No consta",TRIM('DATOS'!F36&amp;"")&lt;&gt;"Desconocido",TRIM('DATOS'!F36&amp;"")&lt;&gt;"Sin confirmar",TRIM('DATOS'!F36&amp;"")&lt;&gt;"Por decidir",TRIM('DATOS'!F36&amp;"")&lt;&gt;"Por comprobar")),2,IF(COUNTIFS('REFERENCIAS'!$T$15:$T$34,"ID:"&amp;SUBSTITUTE(SUBSTITUTE(SUBSTITUTE(SUBSTITUTE(UPPER(TRIM('DATOS'!F36&amp;"")),"!","!E"),"*","!A"),"?","!B"),"~","!C"),'REFERENCIAS'!$H$15:$H$34,"&lt;&gt;")&gt;0,0,1))),2)</f>
      </c>
      <c r="U36" s="29" t="str">
        <f>'DATOS'!R36</f>
        <v>ID:</v>
      </c>
      <c r="V36" s="29" t="str">
        <f>'DATOS'!S36</f>
        <v>ID:</v>
      </c>
      <c r="W36" s="29" t="n">
        <f>IF(N36=0,0,COUNTIFS('REFERENCIAS'!$R$15:$R$64,U36))</f>
        <v>0</v>
      </c>
      <c r="X36" s="29" t="n">
        <f>IF(N36=0,0,COUNTIFS('DATOS'!$R$10:$R$509,U36,'DATOS'!$S$10:$S$509,V36))</f>
        <v>0</v>
      </c>
      <c r="Y36" s="29" t="n">
        <f>IF(AND(ISNUMBER('DATOS'!G36),ISNUMBER('DATOS'!H36),ISNUMBER('DATOS'!J36)),1,0)</f>
        <v>0</v>
      </c>
    </row>
    <row r="37" ht="64" customHeight="1">
      <c r="B37" s="26">
        <f>IF(N37=1,28,"")</f>
      </c>
      <c r="C37" s="26">
        <f>IF(AND(N37=1,LEN(TRIM('DATOS'!B37&amp;""))&gt;0),'DATOS'!B37,"")</f>
      </c>
      <c r="D37" s="26">
        <f>IF(AND(N37=1,LEN(TRIM('DATOS'!C37&amp;""))&gt;0),'DATOS'!C37,"")</f>
      </c>
      <c r="E37" s="26">
        <f>IF(NOT(ISNUMBER(P37)),"",IF(P37=2,"ROJO",IF(P37=1,"ÁMBAR","VERDE")))</f>
      </c>
      <c r="F37" s="26">
        <f>IF(NOT(ISNUMBER(Q37)),"",IF(Q37=2,"ROJO",IF(Q37=1,"ÁMBAR","VERDE")))</f>
      </c>
      <c r="G37" s="26">
        <f>IF(NOT(ISNUMBER(R37)),"",IF(R37=2,"ROJO",IF(R37=1,"ÁMBAR","VERDE")))</f>
      </c>
      <c r="H37" s="26">
        <f>IF(NOT(ISNUMBER(S37)),"",IF(S37=2,"ROJO",IF(S37=1,"ÁMBAR","VERDE")))</f>
      </c>
      <c r="I37" s="26">
        <f>IF(NOT(ISNUMBER(T37)),"",IF(T37=2,"ROJO",IF(T37=1,"ÁMBAR","VERDE")))</f>
      </c>
      <c r="J37" s="26">
        <f>IF(NOT(ISNUMBER(O37)),"",IF(O37=2,"ROJO",IF(O37=1,"ÁMBAR","VERDE")))</f>
      </c>
      <c r="K37" s="26">
        <f>IFERROR(IF(AND(N37=1,LEN(TRIM('DATOS'!N37&amp;""))&gt;0),'DATOS'!N37,""),"Hay una entrada con error. Corregimos el dato antes de cerrar la comprobación.")</f>
      </c>
      <c r="L37" s="26">
        <f>IFERROR(IF(N37=0,"",IF(O37&gt;0,"Completamos datos, claves o motivo. ","")&amp;IF(P37&gt;0,"Cotejamos precios e importe. ","")&amp;IF(Q37&gt;0,"Aclaramos el cero. ","")&amp;IF(R37&gt;0,"Comprobamos el texto. ","")&amp;IF(S37&gt;0,"Revisamos decimales visibles. ","")&amp;IF(T37&gt;0,"Confirmamos la unidad.","")),"Hay una entrada con error. Corregimos el dato antes de cerrar la comprobación.")</f>
      </c>
      <c r="N37" s="29" t="n">
        <f>IF(COUNTA('DATOS'!B37:O37)&gt;0,1,0)</f>
        <v>0</v>
      </c>
      <c r="O37" s="29">
        <f>IFERROR(IF(N37=0,"",IF(OR(NOT(AND(LEN(TRIM('DATOS'!B37&amp;""))&gt;0,TRIM('DATOS'!B37&amp;"")&lt;&gt;"Pendiente",TRIM('DATOS'!B37&amp;"")&lt;&gt;"Por confirmar",TRIM('DATOS'!B37&amp;"")&lt;&gt;"No consta",TRIM('DATOS'!B37&amp;"")&lt;&gt;"Desconocido",TRIM('DATOS'!B37&amp;"")&lt;&gt;"Sin confirmar",TRIM('DATOS'!B37&amp;"")&lt;&gt;"Por decidir",TRIM('DATOS'!B37&amp;"")&lt;&gt;"Por comprobar")),NOT(AND(LEN(TRIM('DATOS'!C37&amp;""))&gt;0,TRIM('DATOS'!C37&amp;"")&lt;&gt;"Pendiente",TRIM('DATOS'!C37&amp;"")&lt;&gt;"Por confirmar",TRIM('DATOS'!C37&amp;"")&lt;&gt;"No consta",TRIM('DATOS'!C37&amp;"")&lt;&gt;"Desconocido",TRIM('DATOS'!C37&amp;"")&lt;&gt;"Sin confirmar",TRIM('DATOS'!C37&amp;"")&lt;&gt;"Por decidir",TRIM('DATOS'!C37&amp;"")&lt;&gt;"Por comprobar")),NOT(AND(LEN(TRIM('DATOS'!D37&amp;""))&gt;0,TRIM('DATOS'!D37&amp;"")&lt;&gt;"Pendiente",TRIM('DATOS'!D37&amp;"")&lt;&gt;"Por confirmar",TRIM('DATOS'!D37&amp;"")&lt;&gt;"No consta",TRIM('DATOS'!D37&amp;"")&lt;&gt;"Desconocido",TRIM('DATOS'!D37&amp;"")&lt;&gt;"Sin confirmar",TRIM('DATOS'!D37&amp;"")&lt;&gt;"Por decidir",TRIM('DATOS'!D37&amp;"")&lt;&gt;"Por comprobar")),NOT(AND(LEN(TRIM('DATOS'!E37&amp;""))&gt;0,TRIM('DATOS'!E37&amp;"")&lt;&gt;"Pendiente",TRIM('DATOS'!E37&amp;"")&lt;&gt;"Por confirmar",TRIM('DATOS'!E37&amp;"")&lt;&gt;"No consta",TRIM('DATOS'!E37&amp;"")&lt;&gt;"Desconocido",TRIM('DATOS'!E37&amp;"")&lt;&gt;"Sin confirmar",TRIM('DATOS'!E37&amp;"")&lt;&gt;"Por decidir",TRIM('DATOS'!E37&amp;"")&lt;&gt;"Por comprobar")),NOT(AND(LEN(TRIM('DATOS'!F37&amp;""))&gt;0,TRIM('DATOS'!F37&amp;"")&lt;&gt;"Pendiente",TRIM('DATOS'!F37&amp;"")&lt;&gt;"Por confirmar",TRIM('DATOS'!F37&amp;"")&lt;&gt;"No consta",TRIM('DATOS'!F37&amp;"")&lt;&gt;"Desconocido",TRIM('DATOS'!F37&amp;"")&lt;&gt;"Sin confirmar",TRIM('DATOS'!F37&amp;"")&lt;&gt;"Por decidir",TRIM('DATOS'!F37&amp;"")&lt;&gt;"Por comprobar")),NOT(AND(LEN(TRIM('DATOS'!N37&amp;""))&gt;0,TRIM('DATOS'!N37&amp;"")&lt;&gt;"Pendiente",TRIM('DATOS'!N37&amp;"")&lt;&gt;"Por confirmar",TRIM('DATOS'!N37&amp;"")&lt;&gt;"No consta",TRIM('DATOS'!N37&amp;"")&lt;&gt;"Desconocido",TRIM('DATOS'!N37&amp;"")&lt;&gt;"Sin confirmar",TRIM('DATOS'!N37&amp;"")&lt;&gt;"Por decidir",TRIM('DATOS'!N37&amp;"")&lt;&gt;"Por comprobar")),NOT(Y37=1),W37&lt;&gt;1,X37&gt;1,NOT(OR(LEN(TRIM('DATOS'!K37&amp;""))=0,'DATOS'!K37="Sin valorar",'DATOS'!K37="Sin coste documentado",'DATOS'!K37="Incluido en otra partida",'DATOS'!K37="Por confirmar")),NOT(OR(LEN(TRIM('DATOS'!M37&amp;""))=0,'DATOS'!M37="Sí",'DATOS'!M37="No",'DATOS'!M37="Por confirmar")),NOT(OR(LEN(TRIM('DATOS'!O37&amp;""))=0,'DATOS'!O37="Comparamos",'DATOS'!O37="No existe",'DATOS'!O37="Por confirmar"))),2,IF(AND(OR('DATOS'!G37&lt;0,'DATOS'!H37&lt;0,'DATOS'!J37&lt;0),NOT(AND(LEN(TRIM('DATOS'!L37&amp;""))&gt;0,TRIM('DATOS'!L37&amp;"")&lt;&gt;"Pendiente",TRIM('DATOS'!L37&amp;"")&lt;&gt;"Por confirmar",TRIM('DATOS'!L37&amp;"")&lt;&gt;"No consta",TRIM('DATOS'!L37&amp;"")&lt;&gt;"Desconocido",TRIM('DATOS'!L37&amp;"")&lt;&gt;"Sin confirmar",TRIM('DATOS'!L37&amp;"")&lt;&gt;"Por decidir",TRIM('DATOS'!L37&amp;"")&lt;&gt;"Por comprobar"))),1,0))),2)</f>
      </c>
      <c r="P37" s="29">
        <f>IFERROR(IF(N37=0,"",IF(NOT(Y37=1),1,IF('REFERENCIAS'!$Q$8&lt;&gt;1,2,IF(ABS('DATOS'!J37-ROUND('DATOS'!G37*'DATOS'!H37,'REFERENCIAS'!$K$8))&gt;0.00000001,2,IF('DATOS'!O37="No existe",IF(LEN(TRIM('DATOS'!I37&amp;""))=0,0,2),IF('DATOS'!O37="Comparamos",IF(LEN(TRIM('DATOS'!I37&amp;""))=0,1,IF(ISNUMBER('DATOS'!I37),IF(ABS('DATOS'!H37-'DATOS'!I37)&gt;0.00000001,2,0),2)),1)))))),2)</f>
      </c>
      <c r="Q37" s="29">
        <f>IFERROR(IF(N37=0,"",IF(NOT(Y37=1),1,IF('DATOS'!K37="Sin valorar",2,IF('DATOS'!G37=0,1,IF(OR('DATOS'!H37=0,'DATOS'!J37=0),IF(AND(OR('DATOS'!K37="Sin coste documentado",'DATOS'!K37="Incluido en otra partida"),AND(LEN(TRIM('DATOS'!L37&amp;""))&gt;0,TRIM('DATOS'!L37&amp;"")&lt;&gt;"Pendiente",TRIM('DATOS'!L37&amp;"")&lt;&gt;"Por confirmar",TRIM('DATOS'!L37&amp;"")&lt;&gt;"No consta",TRIM('DATOS'!L37&amp;"")&lt;&gt;"Desconocido",TRIM('DATOS'!L37&amp;"")&lt;&gt;"Sin confirmar",TRIM('DATOS'!L37&amp;"")&lt;&gt;"Por decidir",TRIM('DATOS'!L37&amp;"")&lt;&gt;"Por comprobar")),0,1),0))))),2)</f>
      </c>
      <c r="R37" s="29">
        <f>IFERROR(IF(N37=0,"",IF(OR(NOT(AND(LEN(TRIM('DATOS'!D37&amp;""))&gt;0,TRIM('DATOS'!D37&amp;"")&lt;&gt;"Pendiente",TRIM('DATOS'!D37&amp;"")&lt;&gt;"Por confirmar",TRIM('DATOS'!D37&amp;"")&lt;&gt;"No consta",TRIM('DATOS'!D37&amp;"")&lt;&gt;"Desconocido",TRIM('DATOS'!D37&amp;"")&lt;&gt;"Sin confirmar",TRIM('DATOS'!D37&amp;"")&lt;&gt;"Por decidir",TRIM('DATOS'!D37&amp;"")&lt;&gt;"Por comprobar")),NOT(AND(LEN(TRIM('DATOS'!E37&amp;""))&gt;0,TRIM('DATOS'!E37&amp;"")&lt;&gt;"Pendiente",TRIM('DATOS'!E37&amp;"")&lt;&gt;"Por confirmar",TRIM('DATOS'!E37&amp;"")&lt;&gt;"No consta",TRIM('DATOS'!E37&amp;"")&lt;&gt;"Desconocido",TRIM('DATOS'!E37&amp;"")&lt;&gt;"Sin confirmar",TRIM('DATOS'!E37&amp;"")&lt;&gt;"Por decidir",TRIM('DATOS'!E37&amp;"")&lt;&gt;"Por comprobar"))),2,IF('DATOS'!M37="No",2,IF('DATOS'!M37="Sí",0,IF(OR('DATOS'!D37&lt;&gt;'DATOS'!E37,LEN('DATOS'!E37)&gt;300,RIGHT(TRIM('DATOS'!E37),3)="...",RIGHT(TRIM('DATOS'!E37),1)="…"),1,0))))),2)</f>
      </c>
      <c r="S37" s="29">
        <f>IFERROR(IF(N37=0,"",IF('REFERENCIAS'!$Q$8&lt;&gt;1,2,IF(NOT(Y37=1),1,IF(OR(ABS('DATOS'!G37-ROUND('DATOS'!G37,'REFERENCIAS'!$E$8))&gt;0.00000001,ABS('DATOS'!H37-ROUND('DATOS'!H37,'REFERENCIAS'!$H$8))&gt;0.00000001,ABS('DATOS'!J37-ROUND('DATOS'!J37,'REFERENCIAS'!$K$8))&gt;0.00000001,IF(ISNUMBER('DATOS'!I37),ABS('DATOS'!I37-ROUND('DATOS'!I37,'REFERENCIAS'!$H$8))&gt;0.00000001,FALSE)),1,0)))),2)</f>
      </c>
      <c r="T37" s="29">
        <f>IFERROR(IF(N37=0,"",IF(NOT(AND(LEN(TRIM('DATOS'!F37&amp;""))&gt;0,TRIM('DATOS'!F37&amp;"")&lt;&gt;"Pendiente",TRIM('DATOS'!F37&amp;"")&lt;&gt;"Por confirmar",TRIM('DATOS'!F37&amp;"")&lt;&gt;"No consta",TRIM('DATOS'!F37&amp;"")&lt;&gt;"Desconocido",TRIM('DATOS'!F37&amp;"")&lt;&gt;"Sin confirmar",TRIM('DATOS'!F37&amp;"")&lt;&gt;"Por decidir",TRIM('DATOS'!F37&amp;"")&lt;&gt;"Por comprobar")),2,IF(COUNTIFS('REFERENCIAS'!$T$15:$T$34,"ID:"&amp;SUBSTITUTE(SUBSTITUTE(SUBSTITUTE(SUBSTITUTE(UPPER(TRIM('DATOS'!F37&amp;"")),"!","!E"),"*","!A"),"?","!B"),"~","!C"),'REFERENCIAS'!$H$15:$H$34,"&lt;&gt;")&gt;0,0,1))),2)</f>
      </c>
      <c r="U37" s="29" t="str">
        <f>'DATOS'!R37</f>
        <v>ID:</v>
      </c>
      <c r="V37" s="29" t="str">
        <f>'DATOS'!S37</f>
        <v>ID:</v>
      </c>
      <c r="W37" s="29" t="n">
        <f>IF(N37=0,0,COUNTIFS('REFERENCIAS'!$R$15:$R$64,U37))</f>
        <v>0</v>
      </c>
      <c r="X37" s="29" t="n">
        <f>IF(N37=0,0,COUNTIFS('DATOS'!$R$10:$R$509,U37,'DATOS'!$S$10:$S$509,V37))</f>
        <v>0</v>
      </c>
      <c r="Y37" s="29" t="n">
        <f>IF(AND(ISNUMBER('DATOS'!G37),ISNUMBER('DATOS'!H37),ISNUMBER('DATOS'!J37)),1,0)</f>
        <v>0</v>
      </c>
    </row>
    <row r="38" ht="64" customHeight="1">
      <c r="B38" s="26">
        <f>IF(N38=1,29,"")</f>
      </c>
      <c r="C38" s="26">
        <f>IF(AND(N38=1,LEN(TRIM('DATOS'!B38&amp;""))&gt;0),'DATOS'!B38,"")</f>
      </c>
      <c r="D38" s="26">
        <f>IF(AND(N38=1,LEN(TRIM('DATOS'!C38&amp;""))&gt;0),'DATOS'!C38,"")</f>
      </c>
      <c r="E38" s="26">
        <f>IF(NOT(ISNUMBER(P38)),"",IF(P38=2,"ROJO",IF(P38=1,"ÁMBAR","VERDE")))</f>
      </c>
      <c r="F38" s="26">
        <f>IF(NOT(ISNUMBER(Q38)),"",IF(Q38=2,"ROJO",IF(Q38=1,"ÁMBAR","VERDE")))</f>
      </c>
      <c r="G38" s="26">
        <f>IF(NOT(ISNUMBER(R38)),"",IF(R38=2,"ROJO",IF(R38=1,"ÁMBAR","VERDE")))</f>
      </c>
      <c r="H38" s="26">
        <f>IF(NOT(ISNUMBER(S38)),"",IF(S38=2,"ROJO",IF(S38=1,"ÁMBAR","VERDE")))</f>
      </c>
      <c r="I38" s="26">
        <f>IF(NOT(ISNUMBER(T38)),"",IF(T38=2,"ROJO",IF(T38=1,"ÁMBAR","VERDE")))</f>
      </c>
      <c r="J38" s="26">
        <f>IF(NOT(ISNUMBER(O38)),"",IF(O38=2,"ROJO",IF(O38=1,"ÁMBAR","VERDE")))</f>
      </c>
      <c r="K38" s="26">
        <f>IFERROR(IF(AND(N38=1,LEN(TRIM('DATOS'!N38&amp;""))&gt;0),'DATOS'!N38,""),"Hay una entrada con error. Corregimos el dato antes de cerrar la comprobación.")</f>
      </c>
      <c r="L38" s="26">
        <f>IFERROR(IF(N38=0,"",IF(O38&gt;0,"Completamos datos, claves o motivo. ","")&amp;IF(P38&gt;0,"Cotejamos precios e importe. ","")&amp;IF(Q38&gt;0,"Aclaramos el cero. ","")&amp;IF(R38&gt;0,"Comprobamos el texto. ","")&amp;IF(S38&gt;0,"Revisamos decimales visibles. ","")&amp;IF(T38&gt;0,"Confirmamos la unidad.","")),"Hay una entrada con error. Corregimos el dato antes de cerrar la comprobación.")</f>
      </c>
      <c r="N38" s="29" t="n">
        <f>IF(COUNTA('DATOS'!B38:O38)&gt;0,1,0)</f>
        <v>0</v>
      </c>
      <c r="O38" s="29">
        <f>IFERROR(IF(N38=0,"",IF(OR(NOT(AND(LEN(TRIM('DATOS'!B38&amp;""))&gt;0,TRIM('DATOS'!B38&amp;"")&lt;&gt;"Pendiente",TRIM('DATOS'!B38&amp;"")&lt;&gt;"Por confirmar",TRIM('DATOS'!B38&amp;"")&lt;&gt;"No consta",TRIM('DATOS'!B38&amp;"")&lt;&gt;"Desconocido",TRIM('DATOS'!B38&amp;"")&lt;&gt;"Sin confirmar",TRIM('DATOS'!B38&amp;"")&lt;&gt;"Por decidir",TRIM('DATOS'!B38&amp;"")&lt;&gt;"Por comprobar")),NOT(AND(LEN(TRIM('DATOS'!C38&amp;""))&gt;0,TRIM('DATOS'!C38&amp;"")&lt;&gt;"Pendiente",TRIM('DATOS'!C38&amp;"")&lt;&gt;"Por confirmar",TRIM('DATOS'!C38&amp;"")&lt;&gt;"No consta",TRIM('DATOS'!C38&amp;"")&lt;&gt;"Desconocido",TRIM('DATOS'!C38&amp;"")&lt;&gt;"Sin confirmar",TRIM('DATOS'!C38&amp;"")&lt;&gt;"Por decidir",TRIM('DATOS'!C38&amp;"")&lt;&gt;"Por comprobar")),NOT(AND(LEN(TRIM('DATOS'!D38&amp;""))&gt;0,TRIM('DATOS'!D38&amp;"")&lt;&gt;"Pendiente",TRIM('DATOS'!D38&amp;"")&lt;&gt;"Por confirmar",TRIM('DATOS'!D38&amp;"")&lt;&gt;"No consta",TRIM('DATOS'!D38&amp;"")&lt;&gt;"Desconocido",TRIM('DATOS'!D38&amp;"")&lt;&gt;"Sin confirmar",TRIM('DATOS'!D38&amp;"")&lt;&gt;"Por decidir",TRIM('DATOS'!D38&amp;"")&lt;&gt;"Por comprobar")),NOT(AND(LEN(TRIM('DATOS'!E38&amp;""))&gt;0,TRIM('DATOS'!E38&amp;"")&lt;&gt;"Pendiente",TRIM('DATOS'!E38&amp;"")&lt;&gt;"Por confirmar",TRIM('DATOS'!E38&amp;"")&lt;&gt;"No consta",TRIM('DATOS'!E38&amp;"")&lt;&gt;"Desconocido",TRIM('DATOS'!E38&amp;"")&lt;&gt;"Sin confirmar",TRIM('DATOS'!E38&amp;"")&lt;&gt;"Por decidir",TRIM('DATOS'!E38&amp;"")&lt;&gt;"Por comprobar")),NOT(AND(LEN(TRIM('DATOS'!F38&amp;""))&gt;0,TRIM('DATOS'!F38&amp;"")&lt;&gt;"Pendiente",TRIM('DATOS'!F38&amp;"")&lt;&gt;"Por confirmar",TRIM('DATOS'!F38&amp;"")&lt;&gt;"No consta",TRIM('DATOS'!F38&amp;"")&lt;&gt;"Desconocido",TRIM('DATOS'!F38&amp;"")&lt;&gt;"Sin confirmar",TRIM('DATOS'!F38&amp;"")&lt;&gt;"Por decidir",TRIM('DATOS'!F38&amp;"")&lt;&gt;"Por comprobar")),NOT(AND(LEN(TRIM('DATOS'!N38&amp;""))&gt;0,TRIM('DATOS'!N38&amp;"")&lt;&gt;"Pendiente",TRIM('DATOS'!N38&amp;"")&lt;&gt;"Por confirmar",TRIM('DATOS'!N38&amp;"")&lt;&gt;"No consta",TRIM('DATOS'!N38&amp;"")&lt;&gt;"Desconocido",TRIM('DATOS'!N38&amp;"")&lt;&gt;"Sin confirmar",TRIM('DATOS'!N38&amp;"")&lt;&gt;"Por decidir",TRIM('DATOS'!N38&amp;"")&lt;&gt;"Por comprobar")),NOT(Y38=1),W38&lt;&gt;1,X38&gt;1,NOT(OR(LEN(TRIM('DATOS'!K38&amp;""))=0,'DATOS'!K38="Sin valorar",'DATOS'!K38="Sin coste documentado",'DATOS'!K38="Incluido en otra partida",'DATOS'!K38="Por confirmar")),NOT(OR(LEN(TRIM('DATOS'!M38&amp;""))=0,'DATOS'!M38="Sí",'DATOS'!M38="No",'DATOS'!M38="Por confirmar")),NOT(OR(LEN(TRIM('DATOS'!O38&amp;""))=0,'DATOS'!O38="Comparamos",'DATOS'!O38="No existe",'DATOS'!O38="Por confirmar"))),2,IF(AND(OR('DATOS'!G38&lt;0,'DATOS'!H38&lt;0,'DATOS'!J38&lt;0),NOT(AND(LEN(TRIM('DATOS'!L38&amp;""))&gt;0,TRIM('DATOS'!L38&amp;"")&lt;&gt;"Pendiente",TRIM('DATOS'!L38&amp;"")&lt;&gt;"Por confirmar",TRIM('DATOS'!L38&amp;"")&lt;&gt;"No consta",TRIM('DATOS'!L38&amp;"")&lt;&gt;"Desconocido",TRIM('DATOS'!L38&amp;"")&lt;&gt;"Sin confirmar",TRIM('DATOS'!L38&amp;"")&lt;&gt;"Por decidir",TRIM('DATOS'!L38&amp;"")&lt;&gt;"Por comprobar"))),1,0))),2)</f>
      </c>
      <c r="P38" s="29">
        <f>IFERROR(IF(N38=0,"",IF(NOT(Y38=1),1,IF('REFERENCIAS'!$Q$8&lt;&gt;1,2,IF(ABS('DATOS'!J38-ROUND('DATOS'!G38*'DATOS'!H38,'REFERENCIAS'!$K$8))&gt;0.00000001,2,IF('DATOS'!O38="No existe",IF(LEN(TRIM('DATOS'!I38&amp;""))=0,0,2),IF('DATOS'!O38="Comparamos",IF(LEN(TRIM('DATOS'!I38&amp;""))=0,1,IF(ISNUMBER('DATOS'!I38),IF(ABS('DATOS'!H38-'DATOS'!I38)&gt;0.00000001,2,0),2)),1)))))),2)</f>
      </c>
      <c r="Q38" s="29">
        <f>IFERROR(IF(N38=0,"",IF(NOT(Y38=1),1,IF('DATOS'!K38="Sin valorar",2,IF('DATOS'!G38=0,1,IF(OR('DATOS'!H38=0,'DATOS'!J38=0),IF(AND(OR('DATOS'!K38="Sin coste documentado",'DATOS'!K38="Incluido en otra partida"),AND(LEN(TRIM('DATOS'!L38&amp;""))&gt;0,TRIM('DATOS'!L38&amp;"")&lt;&gt;"Pendiente",TRIM('DATOS'!L38&amp;"")&lt;&gt;"Por confirmar",TRIM('DATOS'!L38&amp;"")&lt;&gt;"No consta",TRIM('DATOS'!L38&amp;"")&lt;&gt;"Desconocido",TRIM('DATOS'!L38&amp;"")&lt;&gt;"Sin confirmar",TRIM('DATOS'!L38&amp;"")&lt;&gt;"Por decidir",TRIM('DATOS'!L38&amp;"")&lt;&gt;"Por comprobar")),0,1),0))))),2)</f>
      </c>
      <c r="R38" s="29">
        <f>IFERROR(IF(N38=0,"",IF(OR(NOT(AND(LEN(TRIM('DATOS'!D38&amp;""))&gt;0,TRIM('DATOS'!D38&amp;"")&lt;&gt;"Pendiente",TRIM('DATOS'!D38&amp;"")&lt;&gt;"Por confirmar",TRIM('DATOS'!D38&amp;"")&lt;&gt;"No consta",TRIM('DATOS'!D38&amp;"")&lt;&gt;"Desconocido",TRIM('DATOS'!D38&amp;"")&lt;&gt;"Sin confirmar",TRIM('DATOS'!D38&amp;"")&lt;&gt;"Por decidir",TRIM('DATOS'!D38&amp;"")&lt;&gt;"Por comprobar")),NOT(AND(LEN(TRIM('DATOS'!E38&amp;""))&gt;0,TRIM('DATOS'!E38&amp;"")&lt;&gt;"Pendiente",TRIM('DATOS'!E38&amp;"")&lt;&gt;"Por confirmar",TRIM('DATOS'!E38&amp;"")&lt;&gt;"No consta",TRIM('DATOS'!E38&amp;"")&lt;&gt;"Desconocido",TRIM('DATOS'!E38&amp;"")&lt;&gt;"Sin confirmar",TRIM('DATOS'!E38&amp;"")&lt;&gt;"Por decidir",TRIM('DATOS'!E38&amp;"")&lt;&gt;"Por comprobar"))),2,IF('DATOS'!M38="No",2,IF('DATOS'!M38="Sí",0,IF(OR('DATOS'!D38&lt;&gt;'DATOS'!E38,LEN('DATOS'!E38)&gt;300,RIGHT(TRIM('DATOS'!E38),3)="...",RIGHT(TRIM('DATOS'!E38),1)="…"),1,0))))),2)</f>
      </c>
      <c r="S38" s="29">
        <f>IFERROR(IF(N38=0,"",IF('REFERENCIAS'!$Q$8&lt;&gt;1,2,IF(NOT(Y38=1),1,IF(OR(ABS('DATOS'!G38-ROUND('DATOS'!G38,'REFERENCIAS'!$E$8))&gt;0.00000001,ABS('DATOS'!H38-ROUND('DATOS'!H38,'REFERENCIAS'!$H$8))&gt;0.00000001,ABS('DATOS'!J38-ROUND('DATOS'!J38,'REFERENCIAS'!$K$8))&gt;0.00000001,IF(ISNUMBER('DATOS'!I38),ABS('DATOS'!I38-ROUND('DATOS'!I38,'REFERENCIAS'!$H$8))&gt;0.00000001,FALSE)),1,0)))),2)</f>
      </c>
      <c r="T38" s="29">
        <f>IFERROR(IF(N38=0,"",IF(NOT(AND(LEN(TRIM('DATOS'!F38&amp;""))&gt;0,TRIM('DATOS'!F38&amp;"")&lt;&gt;"Pendiente",TRIM('DATOS'!F38&amp;"")&lt;&gt;"Por confirmar",TRIM('DATOS'!F38&amp;"")&lt;&gt;"No consta",TRIM('DATOS'!F38&amp;"")&lt;&gt;"Desconocido",TRIM('DATOS'!F38&amp;"")&lt;&gt;"Sin confirmar",TRIM('DATOS'!F38&amp;"")&lt;&gt;"Por decidir",TRIM('DATOS'!F38&amp;"")&lt;&gt;"Por comprobar")),2,IF(COUNTIFS('REFERENCIAS'!$T$15:$T$34,"ID:"&amp;SUBSTITUTE(SUBSTITUTE(SUBSTITUTE(SUBSTITUTE(UPPER(TRIM('DATOS'!F38&amp;"")),"!","!E"),"*","!A"),"?","!B"),"~","!C"),'REFERENCIAS'!$H$15:$H$34,"&lt;&gt;")&gt;0,0,1))),2)</f>
      </c>
      <c r="U38" s="29" t="str">
        <f>'DATOS'!R38</f>
        <v>ID:</v>
      </c>
      <c r="V38" s="29" t="str">
        <f>'DATOS'!S38</f>
        <v>ID:</v>
      </c>
      <c r="W38" s="29" t="n">
        <f>IF(N38=0,0,COUNTIFS('REFERENCIAS'!$R$15:$R$64,U38))</f>
        <v>0</v>
      </c>
      <c r="X38" s="29" t="n">
        <f>IF(N38=0,0,COUNTIFS('DATOS'!$R$10:$R$509,U38,'DATOS'!$S$10:$S$509,V38))</f>
        <v>0</v>
      </c>
      <c r="Y38" s="29" t="n">
        <f>IF(AND(ISNUMBER('DATOS'!G38),ISNUMBER('DATOS'!H38),ISNUMBER('DATOS'!J38)),1,0)</f>
        <v>0</v>
      </c>
    </row>
    <row r="39" ht="64" customHeight="1">
      <c r="B39" s="26">
        <f>IF(N39=1,30,"")</f>
      </c>
      <c r="C39" s="26">
        <f>IF(AND(N39=1,LEN(TRIM('DATOS'!B39&amp;""))&gt;0),'DATOS'!B39,"")</f>
      </c>
      <c r="D39" s="26">
        <f>IF(AND(N39=1,LEN(TRIM('DATOS'!C39&amp;""))&gt;0),'DATOS'!C39,"")</f>
      </c>
      <c r="E39" s="26">
        <f>IF(NOT(ISNUMBER(P39)),"",IF(P39=2,"ROJO",IF(P39=1,"ÁMBAR","VERDE")))</f>
      </c>
      <c r="F39" s="26">
        <f>IF(NOT(ISNUMBER(Q39)),"",IF(Q39=2,"ROJO",IF(Q39=1,"ÁMBAR","VERDE")))</f>
      </c>
      <c r="G39" s="26">
        <f>IF(NOT(ISNUMBER(R39)),"",IF(R39=2,"ROJO",IF(R39=1,"ÁMBAR","VERDE")))</f>
      </c>
      <c r="H39" s="26">
        <f>IF(NOT(ISNUMBER(S39)),"",IF(S39=2,"ROJO",IF(S39=1,"ÁMBAR","VERDE")))</f>
      </c>
      <c r="I39" s="26">
        <f>IF(NOT(ISNUMBER(T39)),"",IF(T39=2,"ROJO",IF(T39=1,"ÁMBAR","VERDE")))</f>
      </c>
      <c r="J39" s="26">
        <f>IF(NOT(ISNUMBER(O39)),"",IF(O39=2,"ROJO",IF(O39=1,"ÁMBAR","VERDE")))</f>
      </c>
      <c r="K39" s="26">
        <f>IFERROR(IF(AND(N39=1,LEN(TRIM('DATOS'!N39&amp;""))&gt;0),'DATOS'!N39,""),"Hay una entrada con error. Corregimos el dato antes de cerrar la comprobación.")</f>
      </c>
      <c r="L39" s="26">
        <f>IFERROR(IF(N39=0,"",IF(O39&gt;0,"Completamos datos, claves o motivo. ","")&amp;IF(P39&gt;0,"Cotejamos precios e importe. ","")&amp;IF(Q39&gt;0,"Aclaramos el cero. ","")&amp;IF(R39&gt;0,"Comprobamos el texto. ","")&amp;IF(S39&gt;0,"Revisamos decimales visibles. ","")&amp;IF(T39&gt;0,"Confirmamos la unidad.","")),"Hay una entrada con error. Corregimos el dato antes de cerrar la comprobación.")</f>
      </c>
      <c r="N39" s="29" t="n">
        <f>IF(COUNTA('DATOS'!B39:O39)&gt;0,1,0)</f>
        <v>0</v>
      </c>
      <c r="O39" s="29">
        <f>IFERROR(IF(N39=0,"",IF(OR(NOT(AND(LEN(TRIM('DATOS'!B39&amp;""))&gt;0,TRIM('DATOS'!B39&amp;"")&lt;&gt;"Pendiente",TRIM('DATOS'!B39&amp;"")&lt;&gt;"Por confirmar",TRIM('DATOS'!B39&amp;"")&lt;&gt;"No consta",TRIM('DATOS'!B39&amp;"")&lt;&gt;"Desconocido",TRIM('DATOS'!B39&amp;"")&lt;&gt;"Sin confirmar",TRIM('DATOS'!B39&amp;"")&lt;&gt;"Por decidir",TRIM('DATOS'!B39&amp;"")&lt;&gt;"Por comprobar")),NOT(AND(LEN(TRIM('DATOS'!C39&amp;""))&gt;0,TRIM('DATOS'!C39&amp;"")&lt;&gt;"Pendiente",TRIM('DATOS'!C39&amp;"")&lt;&gt;"Por confirmar",TRIM('DATOS'!C39&amp;"")&lt;&gt;"No consta",TRIM('DATOS'!C39&amp;"")&lt;&gt;"Desconocido",TRIM('DATOS'!C39&amp;"")&lt;&gt;"Sin confirmar",TRIM('DATOS'!C39&amp;"")&lt;&gt;"Por decidir",TRIM('DATOS'!C39&amp;"")&lt;&gt;"Por comprobar")),NOT(AND(LEN(TRIM('DATOS'!D39&amp;""))&gt;0,TRIM('DATOS'!D39&amp;"")&lt;&gt;"Pendiente",TRIM('DATOS'!D39&amp;"")&lt;&gt;"Por confirmar",TRIM('DATOS'!D39&amp;"")&lt;&gt;"No consta",TRIM('DATOS'!D39&amp;"")&lt;&gt;"Desconocido",TRIM('DATOS'!D39&amp;"")&lt;&gt;"Sin confirmar",TRIM('DATOS'!D39&amp;"")&lt;&gt;"Por decidir",TRIM('DATOS'!D39&amp;"")&lt;&gt;"Por comprobar")),NOT(AND(LEN(TRIM('DATOS'!E39&amp;""))&gt;0,TRIM('DATOS'!E39&amp;"")&lt;&gt;"Pendiente",TRIM('DATOS'!E39&amp;"")&lt;&gt;"Por confirmar",TRIM('DATOS'!E39&amp;"")&lt;&gt;"No consta",TRIM('DATOS'!E39&amp;"")&lt;&gt;"Desconocido",TRIM('DATOS'!E39&amp;"")&lt;&gt;"Sin confirmar",TRIM('DATOS'!E39&amp;"")&lt;&gt;"Por decidir",TRIM('DATOS'!E39&amp;"")&lt;&gt;"Por comprobar")),NOT(AND(LEN(TRIM('DATOS'!F39&amp;""))&gt;0,TRIM('DATOS'!F39&amp;"")&lt;&gt;"Pendiente",TRIM('DATOS'!F39&amp;"")&lt;&gt;"Por confirmar",TRIM('DATOS'!F39&amp;"")&lt;&gt;"No consta",TRIM('DATOS'!F39&amp;"")&lt;&gt;"Desconocido",TRIM('DATOS'!F39&amp;"")&lt;&gt;"Sin confirmar",TRIM('DATOS'!F39&amp;"")&lt;&gt;"Por decidir",TRIM('DATOS'!F39&amp;"")&lt;&gt;"Por comprobar")),NOT(AND(LEN(TRIM('DATOS'!N39&amp;""))&gt;0,TRIM('DATOS'!N39&amp;"")&lt;&gt;"Pendiente",TRIM('DATOS'!N39&amp;"")&lt;&gt;"Por confirmar",TRIM('DATOS'!N39&amp;"")&lt;&gt;"No consta",TRIM('DATOS'!N39&amp;"")&lt;&gt;"Desconocido",TRIM('DATOS'!N39&amp;"")&lt;&gt;"Sin confirmar",TRIM('DATOS'!N39&amp;"")&lt;&gt;"Por decidir",TRIM('DATOS'!N39&amp;"")&lt;&gt;"Por comprobar")),NOT(Y39=1),W39&lt;&gt;1,X39&gt;1,NOT(OR(LEN(TRIM('DATOS'!K39&amp;""))=0,'DATOS'!K39="Sin valorar",'DATOS'!K39="Sin coste documentado",'DATOS'!K39="Incluido en otra partida",'DATOS'!K39="Por confirmar")),NOT(OR(LEN(TRIM('DATOS'!M39&amp;""))=0,'DATOS'!M39="Sí",'DATOS'!M39="No",'DATOS'!M39="Por confirmar")),NOT(OR(LEN(TRIM('DATOS'!O39&amp;""))=0,'DATOS'!O39="Comparamos",'DATOS'!O39="No existe",'DATOS'!O39="Por confirmar"))),2,IF(AND(OR('DATOS'!G39&lt;0,'DATOS'!H39&lt;0,'DATOS'!J39&lt;0),NOT(AND(LEN(TRIM('DATOS'!L39&amp;""))&gt;0,TRIM('DATOS'!L39&amp;"")&lt;&gt;"Pendiente",TRIM('DATOS'!L39&amp;"")&lt;&gt;"Por confirmar",TRIM('DATOS'!L39&amp;"")&lt;&gt;"No consta",TRIM('DATOS'!L39&amp;"")&lt;&gt;"Desconocido",TRIM('DATOS'!L39&amp;"")&lt;&gt;"Sin confirmar",TRIM('DATOS'!L39&amp;"")&lt;&gt;"Por decidir",TRIM('DATOS'!L39&amp;"")&lt;&gt;"Por comprobar"))),1,0))),2)</f>
      </c>
      <c r="P39" s="29">
        <f>IFERROR(IF(N39=0,"",IF(NOT(Y39=1),1,IF('REFERENCIAS'!$Q$8&lt;&gt;1,2,IF(ABS('DATOS'!J39-ROUND('DATOS'!G39*'DATOS'!H39,'REFERENCIAS'!$K$8))&gt;0.00000001,2,IF('DATOS'!O39="No existe",IF(LEN(TRIM('DATOS'!I39&amp;""))=0,0,2),IF('DATOS'!O39="Comparamos",IF(LEN(TRIM('DATOS'!I39&amp;""))=0,1,IF(ISNUMBER('DATOS'!I39),IF(ABS('DATOS'!H39-'DATOS'!I39)&gt;0.00000001,2,0),2)),1)))))),2)</f>
      </c>
      <c r="Q39" s="29">
        <f>IFERROR(IF(N39=0,"",IF(NOT(Y39=1),1,IF('DATOS'!K39="Sin valorar",2,IF('DATOS'!G39=0,1,IF(OR('DATOS'!H39=0,'DATOS'!J39=0),IF(AND(OR('DATOS'!K39="Sin coste documentado",'DATOS'!K39="Incluido en otra partida"),AND(LEN(TRIM('DATOS'!L39&amp;""))&gt;0,TRIM('DATOS'!L39&amp;"")&lt;&gt;"Pendiente",TRIM('DATOS'!L39&amp;"")&lt;&gt;"Por confirmar",TRIM('DATOS'!L39&amp;"")&lt;&gt;"No consta",TRIM('DATOS'!L39&amp;"")&lt;&gt;"Desconocido",TRIM('DATOS'!L39&amp;"")&lt;&gt;"Sin confirmar",TRIM('DATOS'!L39&amp;"")&lt;&gt;"Por decidir",TRIM('DATOS'!L39&amp;"")&lt;&gt;"Por comprobar")),0,1),0))))),2)</f>
      </c>
      <c r="R39" s="29">
        <f>IFERROR(IF(N39=0,"",IF(OR(NOT(AND(LEN(TRIM('DATOS'!D39&amp;""))&gt;0,TRIM('DATOS'!D39&amp;"")&lt;&gt;"Pendiente",TRIM('DATOS'!D39&amp;"")&lt;&gt;"Por confirmar",TRIM('DATOS'!D39&amp;"")&lt;&gt;"No consta",TRIM('DATOS'!D39&amp;"")&lt;&gt;"Desconocido",TRIM('DATOS'!D39&amp;"")&lt;&gt;"Sin confirmar",TRIM('DATOS'!D39&amp;"")&lt;&gt;"Por decidir",TRIM('DATOS'!D39&amp;"")&lt;&gt;"Por comprobar")),NOT(AND(LEN(TRIM('DATOS'!E39&amp;""))&gt;0,TRIM('DATOS'!E39&amp;"")&lt;&gt;"Pendiente",TRIM('DATOS'!E39&amp;"")&lt;&gt;"Por confirmar",TRIM('DATOS'!E39&amp;"")&lt;&gt;"No consta",TRIM('DATOS'!E39&amp;"")&lt;&gt;"Desconocido",TRIM('DATOS'!E39&amp;"")&lt;&gt;"Sin confirmar",TRIM('DATOS'!E39&amp;"")&lt;&gt;"Por decidir",TRIM('DATOS'!E39&amp;"")&lt;&gt;"Por comprobar"))),2,IF('DATOS'!M39="No",2,IF('DATOS'!M39="Sí",0,IF(OR('DATOS'!D39&lt;&gt;'DATOS'!E39,LEN('DATOS'!E39)&gt;300,RIGHT(TRIM('DATOS'!E39),3)="...",RIGHT(TRIM('DATOS'!E39),1)="…"),1,0))))),2)</f>
      </c>
      <c r="S39" s="29">
        <f>IFERROR(IF(N39=0,"",IF('REFERENCIAS'!$Q$8&lt;&gt;1,2,IF(NOT(Y39=1),1,IF(OR(ABS('DATOS'!G39-ROUND('DATOS'!G39,'REFERENCIAS'!$E$8))&gt;0.00000001,ABS('DATOS'!H39-ROUND('DATOS'!H39,'REFERENCIAS'!$H$8))&gt;0.00000001,ABS('DATOS'!J39-ROUND('DATOS'!J39,'REFERENCIAS'!$K$8))&gt;0.00000001,IF(ISNUMBER('DATOS'!I39),ABS('DATOS'!I39-ROUND('DATOS'!I39,'REFERENCIAS'!$H$8))&gt;0.00000001,FALSE)),1,0)))),2)</f>
      </c>
      <c r="T39" s="29">
        <f>IFERROR(IF(N39=0,"",IF(NOT(AND(LEN(TRIM('DATOS'!F39&amp;""))&gt;0,TRIM('DATOS'!F39&amp;"")&lt;&gt;"Pendiente",TRIM('DATOS'!F39&amp;"")&lt;&gt;"Por confirmar",TRIM('DATOS'!F39&amp;"")&lt;&gt;"No consta",TRIM('DATOS'!F39&amp;"")&lt;&gt;"Desconocido",TRIM('DATOS'!F39&amp;"")&lt;&gt;"Sin confirmar",TRIM('DATOS'!F39&amp;"")&lt;&gt;"Por decidir",TRIM('DATOS'!F39&amp;"")&lt;&gt;"Por comprobar")),2,IF(COUNTIFS('REFERENCIAS'!$T$15:$T$34,"ID:"&amp;SUBSTITUTE(SUBSTITUTE(SUBSTITUTE(SUBSTITUTE(UPPER(TRIM('DATOS'!F39&amp;"")),"!","!E"),"*","!A"),"?","!B"),"~","!C"),'REFERENCIAS'!$H$15:$H$34,"&lt;&gt;")&gt;0,0,1))),2)</f>
      </c>
      <c r="U39" s="29" t="str">
        <f>'DATOS'!R39</f>
        <v>ID:</v>
      </c>
      <c r="V39" s="29" t="str">
        <f>'DATOS'!S39</f>
        <v>ID:</v>
      </c>
      <c r="W39" s="29" t="n">
        <f>IF(N39=0,0,COUNTIFS('REFERENCIAS'!$R$15:$R$64,U39))</f>
        <v>0</v>
      </c>
      <c r="X39" s="29" t="n">
        <f>IF(N39=0,0,COUNTIFS('DATOS'!$R$10:$R$509,U39,'DATOS'!$S$10:$S$509,V39))</f>
        <v>0</v>
      </c>
      <c r="Y39" s="29" t="n">
        <f>IF(AND(ISNUMBER('DATOS'!G39),ISNUMBER('DATOS'!H39),ISNUMBER('DATOS'!J39)),1,0)</f>
        <v>0</v>
      </c>
    </row>
    <row r="40" ht="64" customHeight="1">
      <c r="B40" s="26">
        <f>IF(N40=1,31,"")</f>
      </c>
      <c r="C40" s="26">
        <f>IF(AND(N40=1,LEN(TRIM('DATOS'!B40&amp;""))&gt;0),'DATOS'!B40,"")</f>
      </c>
      <c r="D40" s="26">
        <f>IF(AND(N40=1,LEN(TRIM('DATOS'!C40&amp;""))&gt;0),'DATOS'!C40,"")</f>
      </c>
      <c r="E40" s="26">
        <f>IF(NOT(ISNUMBER(P40)),"",IF(P40=2,"ROJO",IF(P40=1,"ÁMBAR","VERDE")))</f>
      </c>
      <c r="F40" s="26">
        <f>IF(NOT(ISNUMBER(Q40)),"",IF(Q40=2,"ROJO",IF(Q40=1,"ÁMBAR","VERDE")))</f>
      </c>
      <c r="G40" s="26">
        <f>IF(NOT(ISNUMBER(R40)),"",IF(R40=2,"ROJO",IF(R40=1,"ÁMBAR","VERDE")))</f>
      </c>
      <c r="H40" s="26">
        <f>IF(NOT(ISNUMBER(S40)),"",IF(S40=2,"ROJO",IF(S40=1,"ÁMBAR","VERDE")))</f>
      </c>
      <c r="I40" s="26">
        <f>IF(NOT(ISNUMBER(T40)),"",IF(T40=2,"ROJO",IF(T40=1,"ÁMBAR","VERDE")))</f>
      </c>
      <c r="J40" s="26">
        <f>IF(NOT(ISNUMBER(O40)),"",IF(O40=2,"ROJO",IF(O40=1,"ÁMBAR","VERDE")))</f>
      </c>
      <c r="K40" s="26">
        <f>IFERROR(IF(AND(N40=1,LEN(TRIM('DATOS'!N40&amp;""))&gt;0),'DATOS'!N40,""),"Hay una entrada con error. Corregimos el dato antes de cerrar la comprobación.")</f>
      </c>
      <c r="L40" s="26">
        <f>IFERROR(IF(N40=0,"",IF(O40&gt;0,"Completamos datos, claves o motivo. ","")&amp;IF(P40&gt;0,"Cotejamos precios e importe. ","")&amp;IF(Q40&gt;0,"Aclaramos el cero. ","")&amp;IF(R40&gt;0,"Comprobamos el texto. ","")&amp;IF(S40&gt;0,"Revisamos decimales visibles. ","")&amp;IF(T40&gt;0,"Confirmamos la unidad.","")),"Hay una entrada con error. Corregimos el dato antes de cerrar la comprobación.")</f>
      </c>
      <c r="N40" s="29" t="n">
        <f>IF(COUNTA('DATOS'!B40:O40)&gt;0,1,0)</f>
        <v>0</v>
      </c>
      <c r="O40" s="29">
        <f>IFERROR(IF(N40=0,"",IF(OR(NOT(AND(LEN(TRIM('DATOS'!B40&amp;""))&gt;0,TRIM('DATOS'!B40&amp;"")&lt;&gt;"Pendiente",TRIM('DATOS'!B40&amp;"")&lt;&gt;"Por confirmar",TRIM('DATOS'!B40&amp;"")&lt;&gt;"No consta",TRIM('DATOS'!B40&amp;"")&lt;&gt;"Desconocido",TRIM('DATOS'!B40&amp;"")&lt;&gt;"Sin confirmar",TRIM('DATOS'!B40&amp;"")&lt;&gt;"Por decidir",TRIM('DATOS'!B40&amp;"")&lt;&gt;"Por comprobar")),NOT(AND(LEN(TRIM('DATOS'!C40&amp;""))&gt;0,TRIM('DATOS'!C40&amp;"")&lt;&gt;"Pendiente",TRIM('DATOS'!C40&amp;"")&lt;&gt;"Por confirmar",TRIM('DATOS'!C40&amp;"")&lt;&gt;"No consta",TRIM('DATOS'!C40&amp;"")&lt;&gt;"Desconocido",TRIM('DATOS'!C40&amp;"")&lt;&gt;"Sin confirmar",TRIM('DATOS'!C40&amp;"")&lt;&gt;"Por decidir",TRIM('DATOS'!C40&amp;"")&lt;&gt;"Por comprobar")),NOT(AND(LEN(TRIM('DATOS'!D40&amp;""))&gt;0,TRIM('DATOS'!D40&amp;"")&lt;&gt;"Pendiente",TRIM('DATOS'!D40&amp;"")&lt;&gt;"Por confirmar",TRIM('DATOS'!D40&amp;"")&lt;&gt;"No consta",TRIM('DATOS'!D40&amp;"")&lt;&gt;"Desconocido",TRIM('DATOS'!D40&amp;"")&lt;&gt;"Sin confirmar",TRIM('DATOS'!D40&amp;"")&lt;&gt;"Por decidir",TRIM('DATOS'!D40&amp;"")&lt;&gt;"Por comprobar")),NOT(AND(LEN(TRIM('DATOS'!E40&amp;""))&gt;0,TRIM('DATOS'!E40&amp;"")&lt;&gt;"Pendiente",TRIM('DATOS'!E40&amp;"")&lt;&gt;"Por confirmar",TRIM('DATOS'!E40&amp;"")&lt;&gt;"No consta",TRIM('DATOS'!E40&amp;"")&lt;&gt;"Desconocido",TRIM('DATOS'!E40&amp;"")&lt;&gt;"Sin confirmar",TRIM('DATOS'!E40&amp;"")&lt;&gt;"Por decidir",TRIM('DATOS'!E40&amp;"")&lt;&gt;"Por comprobar")),NOT(AND(LEN(TRIM('DATOS'!F40&amp;""))&gt;0,TRIM('DATOS'!F40&amp;"")&lt;&gt;"Pendiente",TRIM('DATOS'!F40&amp;"")&lt;&gt;"Por confirmar",TRIM('DATOS'!F40&amp;"")&lt;&gt;"No consta",TRIM('DATOS'!F40&amp;"")&lt;&gt;"Desconocido",TRIM('DATOS'!F40&amp;"")&lt;&gt;"Sin confirmar",TRIM('DATOS'!F40&amp;"")&lt;&gt;"Por decidir",TRIM('DATOS'!F40&amp;"")&lt;&gt;"Por comprobar")),NOT(AND(LEN(TRIM('DATOS'!N40&amp;""))&gt;0,TRIM('DATOS'!N40&amp;"")&lt;&gt;"Pendiente",TRIM('DATOS'!N40&amp;"")&lt;&gt;"Por confirmar",TRIM('DATOS'!N40&amp;"")&lt;&gt;"No consta",TRIM('DATOS'!N40&amp;"")&lt;&gt;"Desconocido",TRIM('DATOS'!N40&amp;"")&lt;&gt;"Sin confirmar",TRIM('DATOS'!N40&amp;"")&lt;&gt;"Por decidir",TRIM('DATOS'!N40&amp;"")&lt;&gt;"Por comprobar")),NOT(Y40=1),W40&lt;&gt;1,X40&gt;1,NOT(OR(LEN(TRIM('DATOS'!K40&amp;""))=0,'DATOS'!K40="Sin valorar",'DATOS'!K40="Sin coste documentado",'DATOS'!K40="Incluido en otra partida",'DATOS'!K40="Por confirmar")),NOT(OR(LEN(TRIM('DATOS'!M40&amp;""))=0,'DATOS'!M40="Sí",'DATOS'!M40="No",'DATOS'!M40="Por confirmar")),NOT(OR(LEN(TRIM('DATOS'!O40&amp;""))=0,'DATOS'!O40="Comparamos",'DATOS'!O40="No existe",'DATOS'!O40="Por confirmar"))),2,IF(AND(OR('DATOS'!G40&lt;0,'DATOS'!H40&lt;0,'DATOS'!J40&lt;0),NOT(AND(LEN(TRIM('DATOS'!L40&amp;""))&gt;0,TRIM('DATOS'!L40&amp;"")&lt;&gt;"Pendiente",TRIM('DATOS'!L40&amp;"")&lt;&gt;"Por confirmar",TRIM('DATOS'!L40&amp;"")&lt;&gt;"No consta",TRIM('DATOS'!L40&amp;"")&lt;&gt;"Desconocido",TRIM('DATOS'!L40&amp;"")&lt;&gt;"Sin confirmar",TRIM('DATOS'!L40&amp;"")&lt;&gt;"Por decidir",TRIM('DATOS'!L40&amp;"")&lt;&gt;"Por comprobar"))),1,0))),2)</f>
      </c>
      <c r="P40" s="29">
        <f>IFERROR(IF(N40=0,"",IF(NOT(Y40=1),1,IF('REFERENCIAS'!$Q$8&lt;&gt;1,2,IF(ABS('DATOS'!J40-ROUND('DATOS'!G40*'DATOS'!H40,'REFERENCIAS'!$K$8))&gt;0.00000001,2,IF('DATOS'!O40="No existe",IF(LEN(TRIM('DATOS'!I40&amp;""))=0,0,2),IF('DATOS'!O40="Comparamos",IF(LEN(TRIM('DATOS'!I40&amp;""))=0,1,IF(ISNUMBER('DATOS'!I40),IF(ABS('DATOS'!H40-'DATOS'!I40)&gt;0.00000001,2,0),2)),1)))))),2)</f>
      </c>
      <c r="Q40" s="29">
        <f>IFERROR(IF(N40=0,"",IF(NOT(Y40=1),1,IF('DATOS'!K40="Sin valorar",2,IF('DATOS'!G40=0,1,IF(OR('DATOS'!H40=0,'DATOS'!J40=0),IF(AND(OR('DATOS'!K40="Sin coste documentado",'DATOS'!K40="Incluido en otra partida"),AND(LEN(TRIM('DATOS'!L40&amp;""))&gt;0,TRIM('DATOS'!L40&amp;"")&lt;&gt;"Pendiente",TRIM('DATOS'!L40&amp;"")&lt;&gt;"Por confirmar",TRIM('DATOS'!L40&amp;"")&lt;&gt;"No consta",TRIM('DATOS'!L40&amp;"")&lt;&gt;"Desconocido",TRIM('DATOS'!L40&amp;"")&lt;&gt;"Sin confirmar",TRIM('DATOS'!L40&amp;"")&lt;&gt;"Por decidir",TRIM('DATOS'!L40&amp;"")&lt;&gt;"Por comprobar")),0,1),0))))),2)</f>
      </c>
      <c r="R40" s="29">
        <f>IFERROR(IF(N40=0,"",IF(OR(NOT(AND(LEN(TRIM('DATOS'!D40&amp;""))&gt;0,TRIM('DATOS'!D40&amp;"")&lt;&gt;"Pendiente",TRIM('DATOS'!D40&amp;"")&lt;&gt;"Por confirmar",TRIM('DATOS'!D40&amp;"")&lt;&gt;"No consta",TRIM('DATOS'!D40&amp;"")&lt;&gt;"Desconocido",TRIM('DATOS'!D40&amp;"")&lt;&gt;"Sin confirmar",TRIM('DATOS'!D40&amp;"")&lt;&gt;"Por decidir",TRIM('DATOS'!D40&amp;"")&lt;&gt;"Por comprobar")),NOT(AND(LEN(TRIM('DATOS'!E40&amp;""))&gt;0,TRIM('DATOS'!E40&amp;"")&lt;&gt;"Pendiente",TRIM('DATOS'!E40&amp;"")&lt;&gt;"Por confirmar",TRIM('DATOS'!E40&amp;"")&lt;&gt;"No consta",TRIM('DATOS'!E40&amp;"")&lt;&gt;"Desconocido",TRIM('DATOS'!E40&amp;"")&lt;&gt;"Sin confirmar",TRIM('DATOS'!E40&amp;"")&lt;&gt;"Por decidir",TRIM('DATOS'!E40&amp;"")&lt;&gt;"Por comprobar"))),2,IF('DATOS'!M40="No",2,IF('DATOS'!M40="Sí",0,IF(OR('DATOS'!D40&lt;&gt;'DATOS'!E40,LEN('DATOS'!E40)&gt;300,RIGHT(TRIM('DATOS'!E40),3)="...",RIGHT(TRIM('DATOS'!E40),1)="…"),1,0))))),2)</f>
      </c>
      <c r="S40" s="29">
        <f>IFERROR(IF(N40=0,"",IF('REFERENCIAS'!$Q$8&lt;&gt;1,2,IF(NOT(Y40=1),1,IF(OR(ABS('DATOS'!G40-ROUND('DATOS'!G40,'REFERENCIAS'!$E$8))&gt;0.00000001,ABS('DATOS'!H40-ROUND('DATOS'!H40,'REFERENCIAS'!$H$8))&gt;0.00000001,ABS('DATOS'!J40-ROUND('DATOS'!J40,'REFERENCIAS'!$K$8))&gt;0.00000001,IF(ISNUMBER('DATOS'!I40),ABS('DATOS'!I40-ROUND('DATOS'!I40,'REFERENCIAS'!$H$8))&gt;0.00000001,FALSE)),1,0)))),2)</f>
      </c>
      <c r="T40" s="29">
        <f>IFERROR(IF(N40=0,"",IF(NOT(AND(LEN(TRIM('DATOS'!F40&amp;""))&gt;0,TRIM('DATOS'!F40&amp;"")&lt;&gt;"Pendiente",TRIM('DATOS'!F40&amp;"")&lt;&gt;"Por confirmar",TRIM('DATOS'!F40&amp;"")&lt;&gt;"No consta",TRIM('DATOS'!F40&amp;"")&lt;&gt;"Desconocido",TRIM('DATOS'!F40&amp;"")&lt;&gt;"Sin confirmar",TRIM('DATOS'!F40&amp;"")&lt;&gt;"Por decidir",TRIM('DATOS'!F40&amp;"")&lt;&gt;"Por comprobar")),2,IF(COUNTIFS('REFERENCIAS'!$T$15:$T$34,"ID:"&amp;SUBSTITUTE(SUBSTITUTE(SUBSTITUTE(SUBSTITUTE(UPPER(TRIM('DATOS'!F40&amp;"")),"!","!E"),"*","!A"),"?","!B"),"~","!C"),'REFERENCIAS'!$H$15:$H$34,"&lt;&gt;")&gt;0,0,1))),2)</f>
      </c>
      <c r="U40" s="29" t="str">
        <f>'DATOS'!R40</f>
        <v>ID:</v>
      </c>
      <c r="V40" s="29" t="str">
        <f>'DATOS'!S40</f>
        <v>ID:</v>
      </c>
      <c r="W40" s="29" t="n">
        <f>IF(N40=0,0,COUNTIFS('REFERENCIAS'!$R$15:$R$64,U40))</f>
        <v>0</v>
      </c>
      <c r="X40" s="29" t="n">
        <f>IF(N40=0,0,COUNTIFS('DATOS'!$R$10:$R$509,U40,'DATOS'!$S$10:$S$509,V40))</f>
        <v>0</v>
      </c>
      <c r="Y40" s="29" t="n">
        <f>IF(AND(ISNUMBER('DATOS'!G40),ISNUMBER('DATOS'!H40),ISNUMBER('DATOS'!J40)),1,0)</f>
        <v>0</v>
      </c>
    </row>
    <row r="41" ht="64" customHeight="1">
      <c r="B41" s="26">
        <f>IF(N41=1,32,"")</f>
      </c>
      <c r="C41" s="26">
        <f>IF(AND(N41=1,LEN(TRIM('DATOS'!B41&amp;""))&gt;0),'DATOS'!B41,"")</f>
      </c>
      <c r="D41" s="26">
        <f>IF(AND(N41=1,LEN(TRIM('DATOS'!C41&amp;""))&gt;0),'DATOS'!C41,"")</f>
      </c>
      <c r="E41" s="26">
        <f>IF(NOT(ISNUMBER(P41)),"",IF(P41=2,"ROJO",IF(P41=1,"ÁMBAR","VERDE")))</f>
      </c>
      <c r="F41" s="26">
        <f>IF(NOT(ISNUMBER(Q41)),"",IF(Q41=2,"ROJO",IF(Q41=1,"ÁMBAR","VERDE")))</f>
      </c>
      <c r="G41" s="26">
        <f>IF(NOT(ISNUMBER(R41)),"",IF(R41=2,"ROJO",IF(R41=1,"ÁMBAR","VERDE")))</f>
      </c>
      <c r="H41" s="26">
        <f>IF(NOT(ISNUMBER(S41)),"",IF(S41=2,"ROJO",IF(S41=1,"ÁMBAR","VERDE")))</f>
      </c>
      <c r="I41" s="26">
        <f>IF(NOT(ISNUMBER(T41)),"",IF(T41=2,"ROJO",IF(T41=1,"ÁMBAR","VERDE")))</f>
      </c>
      <c r="J41" s="26">
        <f>IF(NOT(ISNUMBER(O41)),"",IF(O41=2,"ROJO",IF(O41=1,"ÁMBAR","VERDE")))</f>
      </c>
      <c r="K41" s="26">
        <f>IFERROR(IF(AND(N41=1,LEN(TRIM('DATOS'!N41&amp;""))&gt;0),'DATOS'!N41,""),"Hay una entrada con error. Corregimos el dato antes de cerrar la comprobación.")</f>
      </c>
      <c r="L41" s="26">
        <f>IFERROR(IF(N41=0,"",IF(O41&gt;0,"Completamos datos, claves o motivo. ","")&amp;IF(P41&gt;0,"Cotejamos precios e importe. ","")&amp;IF(Q41&gt;0,"Aclaramos el cero. ","")&amp;IF(R41&gt;0,"Comprobamos el texto. ","")&amp;IF(S41&gt;0,"Revisamos decimales visibles. ","")&amp;IF(T41&gt;0,"Confirmamos la unidad.","")),"Hay una entrada con error. Corregimos el dato antes de cerrar la comprobación.")</f>
      </c>
      <c r="N41" s="29" t="n">
        <f>IF(COUNTA('DATOS'!B41:O41)&gt;0,1,0)</f>
        <v>0</v>
      </c>
      <c r="O41" s="29">
        <f>IFERROR(IF(N41=0,"",IF(OR(NOT(AND(LEN(TRIM('DATOS'!B41&amp;""))&gt;0,TRIM('DATOS'!B41&amp;"")&lt;&gt;"Pendiente",TRIM('DATOS'!B41&amp;"")&lt;&gt;"Por confirmar",TRIM('DATOS'!B41&amp;"")&lt;&gt;"No consta",TRIM('DATOS'!B41&amp;"")&lt;&gt;"Desconocido",TRIM('DATOS'!B41&amp;"")&lt;&gt;"Sin confirmar",TRIM('DATOS'!B41&amp;"")&lt;&gt;"Por decidir",TRIM('DATOS'!B41&amp;"")&lt;&gt;"Por comprobar")),NOT(AND(LEN(TRIM('DATOS'!C41&amp;""))&gt;0,TRIM('DATOS'!C41&amp;"")&lt;&gt;"Pendiente",TRIM('DATOS'!C41&amp;"")&lt;&gt;"Por confirmar",TRIM('DATOS'!C41&amp;"")&lt;&gt;"No consta",TRIM('DATOS'!C41&amp;"")&lt;&gt;"Desconocido",TRIM('DATOS'!C41&amp;"")&lt;&gt;"Sin confirmar",TRIM('DATOS'!C41&amp;"")&lt;&gt;"Por decidir",TRIM('DATOS'!C41&amp;"")&lt;&gt;"Por comprobar")),NOT(AND(LEN(TRIM('DATOS'!D41&amp;""))&gt;0,TRIM('DATOS'!D41&amp;"")&lt;&gt;"Pendiente",TRIM('DATOS'!D41&amp;"")&lt;&gt;"Por confirmar",TRIM('DATOS'!D41&amp;"")&lt;&gt;"No consta",TRIM('DATOS'!D41&amp;"")&lt;&gt;"Desconocido",TRIM('DATOS'!D41&amp;"")&lt;&gt;"Sin confirmar",TRIM('DATOS'!D41&amp;"")&lt;&gt;"Por decidir",TRIM('DATOS'!D41&amp;"")&lt;&gt;"Por comprobar")),NOT(AND(LEN(TRIM('DATOS'!E41&amp;""))&gt;0,TRIM('DATOS'!E41&amp;"")&lt;&gt;"Pendiente",TRIM('DATOS'!E41&amp;"")&lt;&gt;"Por confirmar",TRIM('DATOS'!E41&amp;"")&lt;&gt;"No consta",TRIM('DATOS'!E41&amp;"")&lt;&gt;"Desconocido",TRIM('DATOS'!E41&amp;"")&lt;&gt;"Sin confirmar",TRIM('DATOS'!E41&amp;"")&lt;&gt;"Por decidir",TRIM('DATOS'!E41&amp;"")&lt;&gt;"Por comprobar")),NOT(AND(LEN(TRIM('DATOS'!F41&amp;""))&gt;0,TRIM('DATOS'!F41&amp;"")&lt;&gt;"Pendiente",TRIM('DATOS'!F41&amp;"")&lt;&gt;"Por confirmar",TRIM('DATOS'!F41&amp;"")&lt;&gt;"No consta",TRIM('DATOS'!F41&amp;"")&lt;&gt;"Desconocido",TRIM('DATOS'!F41&amp;"")&lt;&gt;"Sin confirmar",TRIM('DATOS'!F41&amp;"")&lt;&gt;"Por decidir",TRIM('DATOS'!F41&amp;"")&lt;&gt;"Por comprobar")),NOT(AND(LEN(TRIM('DATOS'!N41&amp;""))&gt;0,TRIM('DATOS'!N41&amp;"")&lt;&gt;"Pendiente",TRIM('DATOS'!N41&amp;"")&lt;&gt;"Por confirmar",TRIM('DATOS'!N41&amp;"")&lt;&gt;"No consta",TRIM('DATOS'!N41&amp;"")&lt;&gt;"Desconocido",TRIM('DATOS'!N41&amp;"")&lt;&gt;"Sin confirmar",TRIM('DATOS'!N41&amp;"")&lt;&gt;"Por decidir",TRIM('DATOS'!N41&amp;"")&lt;&gt;"Por comprobar")),NOT(Y41=1),W41&lt;&gt;1,X41&gt;1,NOT(OR(LEN(TRIM('DATOS'!K41&amp;""))=0,'DATOS'!K41="Sin valorar",'DATOS'!K41="Sin coste documentado",'DATOS'!K41="Incluido en otra partida",'DATOS'!K41="Por confirmar")),NOT(OR(LEN(TRIM('DATOS'!M41&amp;""))=0,'DATOS'!M41="Sí",'DATOS'!M41="No",'DATOS'!M41="Por confirmar")),NOT(OR(LEN(TRIM('DATOS'!O41&amp;""))=0,'DATOS'!O41="Comparamos",'DATOS'!O41="No existe",'DATOS'!O41="Por confirmar"))),2,IF(AND(OR('DATOS'!G41&lt;0,'DATOS'!H41&lt;0,'DATOS'!J41&lt;0),NOT(AND(LEN(TRIM('DATOS'!L41&amp;""))&gt;0,TRIM('DATOS'!L41&amp;"")&lt;&gt;"Pendiente",TRIM('DATOS'!L41&amp;"")&lt;&gt;"Por confirmar",TRIM('DATOS'!L41&amp;"")&lt;&gt;"No consta",TRIM('DATOS'!L41&amp;"")&lt;&gt;"Desconocido",TRIM('DATOS'!L41&amp;"")&lt;&gt;"Sin confirmar",TRIM('DATOS'!L41&amp;"")&lt;&gt;"Por decidir",TRIM('DATOS'!L41&amp;"")&lt;&gt;"Por comprobar"))),1,0))),2)</f>
      </c>
      <c r="P41" s="29">
        <f>IFERROR(IF(N41=0,"",IF(NOT(Y41=1),1,IF('REFERENCIAS'!$Q$8&lt;&gt;1,2,IF(ABS('DATOS'!J41-ROUND('DATOS'!G41*'DATOS'!H41,'REFERENCIAS'!$K$8))&gt;0.00000001,2,IF('DATOS'!O41="No existe",IF(LEN(TRIM('DATOS'!I41&amp;""))=0,0,2),IF('DATOS'!O41="Comparamos",IF(LEN(TRIM('DATOS'!I41&amp;""))=0,1,IF(ISNUMBER('DATOS'!I41),IF(ABS('DATOS'!H41-'DATOS'!I41)&gt;0.00000001,2,0),2)),1)))))),2)</f>
      </c>
      <c r="Q41" s="29">
        <f>IFERROR(IF(N41=0,"",IF(NOT(Y41=1),1,IF('DATOS'!K41="Sin valorar",2,IF('DATOS'!G41=0,1,IF(OR('DATOS'!H41=0,'DATOS'!J41=0),IF(AND(OR('DATOS'!K41="Sin coste documentado",'DATOS'!K41="Incluido en otra partida"),AND(LEN(TRIM('DATOS'!L41&amp;""))&gt;0,TRIM('DATOS'!L41&amp;"")&lt;&gt;"Pendiente",TRIM('DATOS'!L41&amp;"")&lt;&gt;"Por confirmar",TRIM('DATOS'!L41&amp;"")&lt;&gt;"No consta",TRIM('DATOS'!L41&amp;"")&lt;&gt;"Desconocido",TRIM('DATOS'!L41&amp;"")&lt;&gt;"Sin confirmar",TRIM('DATOS'!L41&amp;"")&lt;&gt;"Por decidir",TRIM('DATOS'!L41&amp;"")&lt;&gt;"Por comprobar")),0,1),0))))),2)</f>
      </c>
      <c r="R41" s="29">
        <f>IFERROR(IF(N41=0,"",IF(OR(NOT(AND(LEN(TRIM('DATOS'!D41&amp;""))&gt;0,TRIM('DATOS'!D41&amp;"")&lt;&gt;"Pendiente",TRIM('DATOS'!D41&amp;"")&lt;&gt;"Por confirmar",TRIM('DATOS'!D41&amp;"")&lt;&gt;"No consta",TRIM('DATOS'!D41&amp;"")&lt;&gt;"Desconocido",TRIM('DATOS'!D41&amp;"")&lt;&gt;"Sin confirmar",TRIM('DATOS'!D41&amp;"")&lt;&gt;"Por decidir",TRIM('DATOS'!D41&amp;"")&lt;&gt;"Por comprobar")),NOT(AND(LEN(TRIM('DATOS'!E41&amp;""))&gt;0,TRIM('DATOS'!E41&amp;"")&lt;&gt;"Pendiente",TRIM('DATOS'!E41&amp;"")&lt;&gt;"Por confirmar",TRIM('DATOS'!E41&amp;"")&lt;&gt;"No consta",TRIM('DATOS'!E41&amp;"")&lt;&gt;"Desconocido",TRIM('DATOS'!E41&amp;"")&lt;&gt;"Sin confirmar",TRIM('DATOS'!E41&amp;"")&lt;&gt;"Por decidir",TRIM('DATOS'!E41&amp;"")&lt;&gt;"Por comprobar"))),2,IF('DATOS'!M41="No",2,IF('DATOS'!M41="Sí",0,IF(OR('DATOS'!D41&lt;&gt;'DATOS'!E41,LEN('DATOS'!E41)&gt;300,RIGHT(TRIM('DATOS'!E41),3)="...",RIGHT(TRIM('DATOS'!E41),1)="…"),1,0))))),2)</f>
      </c>
      <c r="S41" s="29">
        <f>IFERROR(IF(N41=0,"",IF('REFERENCIAS'!$Q$8&lt;&gt;1,2,IF(NOT(Y41=1),1,IF(OR(ABS('DATOS'!G41-ROUND('DATOS'!G41,'REFERENCIAS'!$E$8))&gt;0.00000001,ABS('DATOS'!H41-ROUND('DATOS'!H41,'REFERENCIAS'!$H$8))&gt;0.00000001,ABS('DATOS'!J41-ROUND('DATOS'!J41,'REFERENCIAS'!$K$8))&gt;0.00000001,IF(ISNUMBER('DATOS'!I41),ABS('DATOS'!I41-ROUND('DATOS'!I41,'REFERENCIAS'!$H$8))&gt;0.00000001,FALSE)),1,0)))),2)</f>
      </c>
      <c r="T41" s="29">
        <f>IFERROR(IF(N41=0,"",IF(NOT(AND(LEN(TRIM('DATOS'!F41&amp;""))&gt;0,TRIM('DATOS'!F41&amp;"")&lt;&gt;"Pendiente",TRIM('DATOS'!F41&amp;"")&lt;&gt;"Por confirmar",TRIM('DATOS'!F41&amp;"")&lt;&gt;"No consta",TRIM('DATOS'!F41&amp;"")&lt;&gt;"Desconocido",TRIM('DATOS'!F41&amp;"")&lt;&gt;"Sin confirmar",TRIM('DATOS'!F41&amp;"")&lt;&gt;"Por decidir",TRIM('DATOS'!F41&amp;"")&lt;&gt;"Por comprobar")),2,IF(COUNTIFS('REFERENCIAS'!$T$15:$T$34,"ID:"&amp;SUBSTITUTE(SUBSTITUTE(SUBSTITUTE(SUBSTITUTE(UPPER(TRIM('DATOS'!F41&amp;"")),"!","!E"),"*","!A"),"?","!B"),"~","!C"),'REFERENCIAS'!$H$15:$H$34,"&lt;&gt;")&gt;0,0,1))),2)</f>
      </c>
      <c r="U41" s="29" t="str">
        <f>'DATOS'!R41</f>
        <v>ID:</v>
      </c>
      <c r="V41" s="29" t="str">
        <f>'DATOS'!S41</f>
        <v>ID:</v>
      </c>
      <c r="W41" s="29" t="n">
        <f>IF(N41=0,0,COUNTIFS('REFERENCIAS'!$R$15:$R$64,U41))</f>
        <v>0</v>
      </c>
      <c r="X41" s="29" t="n">
        <f>IF(N41=0,0,COUNTIFS('DATOS'!$R$10:$R$509,U41,'DATOS'!$S$10:$S$509,V41))</f>
        <v>0</v>
      </c>
      <c r="Y41" s="29" t="n">
        <f>IF(AND(ISNUMBER('DATOS'!G41),ISNUMBER('DATOS'!H41),ISNUMBER('DATOS'!J41)),1,0)</f>
        <v>0</v>
      </c>
    </row>
    <row r="42" ht="64" customHeight="1">
      <c r="B42" s="26">
        <f>IF(N42=1,33,"")</f>
      </c>
      <c r="C42" s="26">
        <f>IF(AND(N42=1,LEN(TRIM('DATOS'!B42&amp;""))&gt;0),'DATOS'!B42,"")</f>
      </c>
      <c r="D42" s="26">
        <f>IF(AND(N42=1,LEN(TRIM('DATOS'!C42&amp;""))&gt;0),'DATOS'!C42,"")</f>
      </c>
      <c r="E42" s="26">
        <f>IF(NOT(ISNUMBER(P42)),"",IF(P42=2,"ROJO",IF(P42=1,"ÁMBAR","VERDE")))</f>
      </c>
      <c r="F42" s="26">
        <f>IF(NOT(ISNUMBER(Q42)),"",IF(Q42=2,"ROJO",IF(Q42=1,"ÁMBAR","VERDE")))</f>
      </c>
      <c r="G42" s="26">
        <f>IF(NOT(ISNUMBER(R42)),"",IF(R42=2,"ROJO",IF(R42=1,"ÁMBAR","VERDE")))</f>
      </c>
      <c r="H42" s="26">
        <f>IF(NOT(ISNUMBER(S42)),"",IF(S42=2,"ROJO",IF(S42=1,"ÁMBAR","VERDE")))</f>
      </c>
      <c r="I42" s="26">
        <f>IF(NOT(ISNUMBER(T42)),"",IF(T42=2,"ROJO",IF(T42=1,"ÁMBAR","VERDE")))</f>
      </c>
      <c r="J42" s="26">
        <f>IF(NOT(ISNUMBER(O42)),"",IF(O42=2,"ROJO",IF(O42=1,"ÁMBAR","VERDE")))</f>
      </c>
      <c r="K42" s="26">
        <f>IFERROR(IF(AND(N42=1,LEN(TRIM('DATOS'!N42&amp;""))&gt;0),'DATOS'!N42,""),"Hay una entrada con error. Corregimos el dato antes de cerrar la comprobación.")</f>
      </c>
      <c r="L42" s="26">
        <f>IFERROR(IF(N42=0,"",IF(O42&gt;0,"Completamos datos, claves o motivo. ","")&amp;IF(P42&gt;0,"Cotejamos precios e importe. ","")&amp;IF(Q42&gt;0,"Aclaramos el cero. ","")&amp;IF(R42&gt;0,"Comprobamos el texto. ","")&amp;IF(S42&gt;0,"Revisamos decimales visibles. ","")&amp;IF(T42&gt;0,"Confirmamos la unidad.","")),"Hay una entrada con error. Corregimos el dato antes de cerrar la comprobación.")</f>
      </c>
      <c r="N42" s="29" t="n">
        <f>IF(COUNTA('DATOS'!B42:O42)&gt;0,1,0)</f>
        <v>0</v>
      </c>
      <c r="O42" s="29">
        <f>IFERROR(IF(N42=0,"",IF(OR(NOT(AND(LEN(TRIM('DATOS'!B42&amp;""))&gt;0,TRIM('DATOS'!B42&amp;"")&lt;&gt;"Pendiente",TRIM('DATOS'!B42&amp;"")&lt;&gt;"Por confirmar",TRIM('DATOS'!B42&amp;"")&lt;&gt;"No consta",TRIM('DATOS'!B42&amp;"")&lt;&gt;"Desconocido",TRIM('DATOS'!B42&amp;"")&lt;&gt;"Sin confirmar",TRIM('DATOS'!B42&amp;"")&lt;&gt;"Por decidir",TRIM('DATOS'!B42&amp;"")&lt;&gt;"Por comprobar")),NOT(AND(LEN(TRIM('DATOS'!C42&amp;""))&gt;0,TRIM('DATOS'!C42&amp;"")&lt;&gt;"Pendiente",TRIM('DATOS'!C42&amp;"")&lt;&gt;"Por confirmar",TRIM('DATOS'!C42&amp;"")&lt;&gt;"No consta",TRIM('DATOS'!C42&amp;"")&lt;&gt;"Desconocido",TRIM('DATOS'!C42&amp;"")&lt;&gt;"Sin confirmar",TRIM('DATOS'!C42&amp;"")&lt;&gt;"Por decidir",TRIM('DATOS'!C42&amp;"")&lt;&gt;"Por comprobar")),NOT(AND(LEN(TRIM('DATOS'!D42&amp;""))&gt;0,TRIM('DATOS'!D42&amp;"")&lt;&gt;"Pendiente",TRIM('DATOS'!D42&amp;"")&lt;&gt;"Por confirmar",TRIM('DATOS'!D42&amp;"")&lt;&gt;"No consta",TRIM('DATOS'!D42&amp;"")&lt;&gt;"Desconocido",TRIM('DATOS'!D42&amp;"")&lt;&gt;"Sin confirmar",TRIM('DATOS'!D42&amp;"")&lt;&gt;"Por decidir",TRIM('DATOS'!D42&amp;"")&lt;&gt;"Por comprobar")),NOT(AND(LEN(TRIM('DATOS'!E42&amp;""))&gt;0,TRIM('DATOS'!E42&amp;"")&lt;&gt;"Pendiente",TRIM('DATOS'!E42&amp;"")&lt;&gt;"Por confirmar",TRIM('DATOS'!E42&amp;"")&lt;&gt;"No consta",TRIM('DATOS'!E42&amp;"")&lt;&gt;"Desconocido",TRIM('DATOS'!E42&amp;"")&lt;&gt;"Sin confirmar",TRIM('DATOS'!E42&amp;"")&lt;&gt;"Por decidir",TRIM('DATOS'!E42&amp;"")&lt;&gt;"Por comprobar")),NOT(AND(LEN(TRIM('DATOS'!F42&amp;""))&gt;0,TRIM('DATOS'!F42&amp;"")&lt;&gt;"Pendiente",TRIM('DATOS'!F42&amp;"")&lt;&gt;"Por confirmar",TRIM('DATOS'!F42&amp;"")&lt;&gt;"No consta",TRIM('DATOS'!F42&amp;"")&lt;&gt;"Desconocido",TRIM('DATOS'!F42&amp;"")&lt;&gt;"Sin confirmar",TRIM('DATOS'!F42&amp;"")&lt;&gt;"Por decidir",TRIM('DATOS'!F42&amp;"")&lt;&gt;"Por comprobar")),NOT(AND(LEN(TRIM('DATOS'!N42&amp;""))&gt;0,TRIM('DATOS'!N42&amp;"")&lt;&gt;"Pendiente",TRIM('DATOS'!N42&amp;"")&lt;&gt;"Por confirmar",TRIM('DATOS'!N42&amp;"")&lt;&gt;"No consta",TRIM('DATOS'!N42&amp;"")&lt;&gt;"Desconocido",TRIM('DATOS'!N42&amp;"")&lt;&gt;"Sin confirmar",TRIM('DATOS'!N42&amp;"")&lt;&gt;"Por decidir",TRIM('DATOS'!N42&amp;"")&lt;&gt;"Por comprobar")),NOT(Y42=1),W42&lt;&gt;1,X42&gt;1,NOT(OR(LEN(TRIM('DATOS'!K42&amp;""))=0,'DATOS'!K42="Sin valorar",'DATOS'!K42="Sin coste documentado",'DATOS'!K42="Incluido en otra partida",'DATOS'!K42="Por confirmar")),NOT(OR(LEN(TRIM('DATOS'!M42&amp;""))=0,'DATOS'!M42="Sí",'DATOS'!M42="No",'DATOS'!M42="Por confirmar")),NOT(OR(LEN(TRIM('DATOS'!O42&amp;""))=0,'DATOS'!O42="Comparamos",'DATOS'!O42="No existe",'DATOS'!O42="Por confirmar"))),2,IF(AND(OR('DATOS'!G42&lt;0,'DATOS'!H42&lt;0,'DATOS'!J42&lt;0),NOT(AND(LEN(TRIM('DATOS'!L42&amp;""))&gt;0,TRIM('DATOS'!L42&amp;"")&lt;&gt;"Pendiente",TRIM('DATOS'!L42&amp;"")&lt;&gt;"Por confirmar",TRIM('DATOS'!L42&amp;"")&lt;&gt;"No consta",TRIM('DATOS'!L42&amp;"")&lt;&gt;"Desconocido",TRIM('DATOS'!L42&amp;"")&lt;&gt;"Sin confirmar",TRIM('DATOS'!L42&amp;"")&lt;&gt;"Por decidir",TRIM('DATOS'!L42&amp;"")&lt;&gt;"Por comprobar"))),1,0))),2)</f>
      </c>
      <c r="P42" s="29">
        <f>IFERROR(IF(N42=0,"",IF(NOT(Y42=1),1,IF('REFERENCIAS'!$Q$8&lt;&gt;1,2,IF(ABS('DATOS'!J42-ROUND('DATOS'!G42*'DATOS'!H42,'REFERENCIAS'!$K$8))&gt;0.00000001,2,IF('DATOS'!O42="No existe",IF(LEN(TRIM('DATOS'!I42&amp;""))=0,0,2),IF('DATOS'!O42="Comparamos",IF(LEN(TRIM('DATOS'!I42&amp;""))=0,1,IF(ISNUMBER('DATOS'!I42),IF(ABS('DATOS'!H42-'DATOS'!I42)&gt;0.00000001,2,0),2)),1)))))),2)</f>
      </c>
      <c r="Q42" s="29">
        <f>IFERROR(IF(N42=0,"",IF(NOT(Y42=1),1,IF('DATOS'!K42="Sin valorar",2,IF('DATOS'!G42=0,1,IF(OR('DATOS'!H42=0,'DATOS'!J42=0),IF(AND(OR('DATOS'!K42="Sin coste documentado",'DATOS'!K42="Incluido en otra partida"),AND(LEN(TRIM('DATOS'!L42&amp;""))&gt;0,TRIM('DATOS'!L42&amp;"")&lt;&gt;"Pendiente",TRIM('DATOS'!L42&amp;"")&lt;&gt;"Por confirmar",TRIM('DATOS'!L42&amp;"")&lt;&gt;"No consta",TRIM('DATOS'!L42&amp;"")&lt;&gt;"Desconocido",TRIM('DATOS'!L42&amp;"")&lt;&gt;"Sin confirmar",TRIM('DATOS'!L42&amp;"")&lt;&gt;"Por decidir",TRIM('DATOS'!L42&amp;"")&lt;&gt;"Por comprobar")),0,1),0))))),2)</f>
      </c>
      <c r="R42" s="29">
        <f>IFERROR(IF(N42=0,"",IF(OR(NOT(AND(LEN(TRIM('DATOS'!D42&amp;""))&gt;0,TRIM('DATOS'!D42&amp;"")&lt;&gt;"Pendiente",TRIM('DATOS'!D42&amp;"")&lt;&gt;"Por confirmar",TRIM('DATOS'!D42&amp;"")&lt;&gt;"No consta",TRIM('DATOS'!D42&amp;"")&lt;&gt;"Desconocido",TRIM('DATOS'!D42&amp;"")&lt;&gt;"Sin confirmar",TRIM('DATOS'!D42&amp;"")&lt;&gt;"Por decidir",TRIM('DATOS'!D42&amp;"")&lt;&gt;"Por comprobar")),NOT(AND(LEN(TRIM('DATOS'!E42&amp;""))&gt;0,TRIM('DATOS'!E42&amp;"")&lt;&gt;"Pendiente",TRIM('DATOS'!E42&amp;"")&lt;&gt;"Por confirmar",TRIM('DATOS'!E42&amp;"")&lt;&gt;"No consta",TRIM('DATOS'!E42&amp;"")&lt;&gt;"Desconocido",TRIM('DATOS'!E42&amp;"")&lt;&gt;"Sin confirmar",TRIM('DATOS'!E42&amp;"")&lt;&gt;"Por decidir",TRIM('DATOS'!E42&amp;"")&lt;&gt;"Por comprobar"))),2,IF('DATOS'!M42="No",2,IF('DATOS'!M42="Sí",0,IF(OR('DATOS'!D42&lt;&gt;'DATOS'!E42,LEN('DATOS'!E42)&gt;300,RIGHT(TRIM('DATOS'!E42),3)="...",RIGHT(TRIM('DATOS'!E42),1)="…"),1,0))))),2)</f>
      </c>
      <c r="S42" s="29">
        <f>IFERROR(IF(N42=0,"",IF('REFERENCIAS'!$Q$8&lt;&gt;1,2,IF(NOT(Y42=1),1,IF(OR(ABS('DATOS'!G42-ROUND('DATOS'!G42,'REFERENCIAS'!$E$8))&gt;0.00000001,ABS('DATOS'!H42-ROUND('DATOS'!H42,'REFERENCIAS'!$H$8))&gt;0.00000001,ABS('DATOS'!J42-ROUND('DATOS'!J42,'REFERENCIAS'!$K$8))&gt;0.00000001,IF(ISNUMBER('DATOS'!I42),ABS('DATOS'!I42-ROUND('DATOS'!I42,'REFERENCIAS'!$H$8))&gt;0.00000001,FALSE)),1,0)))),2)</f>
      </c>
      <c r="T42" s="29">
        <f>IFERROR(IF(N42=0,"",IF(NOT(AND(LEN(TRIM('DATOS'!F42&amp;""))&gt;0,TRIM('DATOS'!F42&amp;"")&lt;&gt;"Pendiente",TRIM('DATOS'!F42&amp;"")&lt;&gt;"Por confirmar",TRIM('DATOS'!F42&amp;"")&lt;&gt;"No consta",TRIM('DATOS'!F42&amp;"")&lt;&gt;"Desconocido",TRIM('DATOS'!F42&amp;"")&lt;&gt;"Sin confirmar",TRIM('DATOS'!F42&amp;"")&lt;&gt;"Por decidir",TRIM('DATOS'!F42&amp;"")&lt;&gt;"Por comprobar")),2,IF(COUNTIFS('REFERENCIAS'!$T$15:$T$34,"ID:"&amp;SUBSTITUTE(SUBSTITUTE(SUBSTITUTE(SUBSTITUTE(UPPER(TRIM('DATOS'!F42&amp;"")),"!","!E"),"*","!A"),"?","!B"),"~","!C"),'REFERENCIAS'!$H$15:$H$34,"&lt;&gt;")&gt;0,0,1))),2)</f>
      </c>
      <c r="U42" s="29" t="str">
        <f>'DATOS'!R42</f>
        <v>ID:</v>
      </c>
      <c r="V42" s="29" t="str">
        <f>'DATOS'!S42</f>
        <v>ID:</v>
      </c>
      <c r="W42" s="29" t="n">
        <f>IF(N42=0,0,COUNTIFS('REFERENCIAS'!$R$15:$R$64,U42))</f>
        <v>0</v>
      </c>
      <c r="X42" s="29" t="n">
        <f>IF(N42=0,0,COUNTIFS('DATOS'!$R$10:$R$509,U42,'DATOS'!$S$10:$S$509,V42))</f>
        <v>0</v>
      </c>
      <c r="Y42" s="29" t="n">
        <f>IF(AND(ISNUMBER('DATOS'!G42),ISNUMBER('DATOS'!H42),ISNUMBER('DATOS'!J42)),1,0)</f>
        <v>0</v>
      </c>
    </row>
    <row r="43" ht="64" customHeight="1">
      <c r="B43" s="26">
        <f>IF(N43=1,34,"")</f>
      </c>
      <c r="C43" s="26">
        <f>IF(AND(N43=1,LEN(TRIM('DATOS'!B43&amp;""))&gt;0),'DATOS'!B43,"")</f>
      </c>
      <c r="D43" s="26">
        <f>IF(AND(N43=1,LEN(TRIM('DATOS'!C43&amp;""))&gt;0),'DATOS'!C43,"")</f>
      </c>
      <c r="E43" s="26">
        <f>IF(NOT(ISNUMBER(P43)),"",IF(P43=2,"ROJO",IF(P43=1,"ÁMBAR","VERDE")))</f>
      </c>
      <c r="F43" s="26">
        <f>IF(NOT(ISNUMBER(Q43)),"",IF(Q43=2,"ROJO",IF(Q43=1,"ÁMBAR","VERDE")))</f>
      </c>
      <c r="G43" s="26">
        <f>IF(NOT(ISNUMBER(R43)),"",IF(R43=2,"ROJO",IF(R43=1,"ÁMBAR","VERDE")))</f>
      </c>
      <c r="H43" s="26">
        <f>IF(NOT(ISNUMBER(S43)),"",IF(S43=2,"ROJO",IF(S43=1,"ÁMBAR","VERDE")))</f>
      </c>
      <c r="I43" s="26">
        <f>IF(NOT(ISNUMBER(T43)),"",IF(T43=2,"ROJO",IF(T43=1,"ÁMBAR","VERDE")))</f>
      </c>
      <c r="J43" s="26">
        <f>IF(NOT(ISNUMBER(O43)),"",IF(O43=2,"ROJO",IF(O43=1,"ÁMBAR","VERDE")))</f>
      </c>
      <c r="K43" s="26">
        <f>IFERROR(IF(AND(N43=1,LEN(TRIM('DATOS'!N43&amp;""))&gt;0),'DATOS'!N43,""),"Hay una entrada con error. Corregimos el dato antes de cerrar la comprobación.")</f>
      </c>
      <c r="L43" s="26">
        <f>IFERROR(IF(N43=0,"",IF(O43&gt;0,"Completamos datos, claves o motivo. ","")&amp;IF(P43&gt;0,"Cotejamos precios e importe. ","")&amp;IF(Q43&gt;0,"Aclaramos el cero. ","")&amp;IF(R43&gt;0,"Comprobamos el texto. ","")&amp;IF(S43&gt;0,"Revisamos decimales visibles. ","")&amp;IF(T43&gt;0,"Confirmamos la unidad.","")),"Hay una entrada con error. Corregimos el dato antes de cerrar la comprobación.")</f>
      </c>
      <c r="N43" s="29" t="n">
        <f>IF(COUNTA('DATOS'!B43:O43)&gt;0,1,0)</f>
        <v>0</v>
      </c>
      <c r="O43" s="29">
        <f>IFERROR(IF(N43=0,"",IF(OR(NOT(AND(LEN(TRIM('DATOS'!B43&amp;""))&gt;0,TRIM('DATOS'!B43&amp;"")&lt;&gt;"Pendiente",TRIM('DATOS'!B43&amp;"")&lt;&gt;"Por confirmar",TRIM('DATOS'!B43&amp;"")&lt;&gt;"No consta",TRIM('DATOS'!B43&amp;"")&lt;&gt;"Desconocido",TRIM('DATOS'!B43&amp;"")&lt;&gt;"Sin confirmar",TRIM('DATOS'!B43&amp;"")&lt;&gt;"Por decidir",TRIM('DATOS'!B43&amp;"")&lt;&gt;"Por comprobar")),NOT(AND(LEN(TRIM('DATOS'!C43&amp;""))&gt;0,TRIM('DATOS'!C43&amp;"")&lt;&gt;"Pendiente",TRIM('DATOS'!C43&amp;"")&lt;&gt;"Por confirmar",TRIM('DATOS'!C43&amp;"")&lt;&gt;"No consta",TRIM('DATOS'!C43&amp;"")&lt;&gt;"Desconocido",TRIM('DATOS'!C43&amp;"")&lt;&gt;"Sin confirmar",TRIM('DATOS'!C43&amp;"")&lt;&gt;"Por decidir",TRIM('DATOS'!C43&amp;"")&lt;&gt;"Por comprobar")),NOT(AND(LEN(TRIM('DATOS'!D43&amp;""))&gt;0,TRIM('DATOS'!D43&amp;"")&lt;&gt;"Pendiente",TRIM('DATOS'!D43&amp;"")&lt;&gt;"Por confirmar",TRIM('DATOS'!D43&amp;"")&lt;&gt;"No consta",TRIM('DATOS'!D43&amp;"")&lt;&gt;"Desconocido",TRIM('DATOS'!D43&amp;"")&lt;&gt;"Sin confirmar",TRIM('DATOS'!D43&amp;"")&lt;&gt;"Por decidir",TRIM('DATOS'!D43&amp;"")&lt;&gt;"Por comprobar")),NOT(AND(LEN(TRIM('DATOS'!E43&amp;""))&gt;0,TRIM('DATOS'!E43&amp;"")&lt;&gt;"Pendiente",TRIM('DATOS'!E43&amp;"")&lt;&gt;"Por confirmar",TRIM('DATOS'!E43&amp;"")&lt;&gt;"No consta",TRIM('DATOS'!E43&amp;"")&lt;&gt;"Desconocido",TRIM('DATOS'!E43&amp;"")&lt;&gt;"Sin confirmar",TRIM('DATOS'!E43&amp;"")&lt;&gt;"Por decidir",TRIM('DATOS'!E43&amp;"")&lt;&gt;"Por comprobar")),NOT(AND(LEN(TRIM('DATOS'!F43&amp;""))&gt;0,TRIM('DATOS'!F43&amp;"")&lt;&gt;"Pendiente",TRIM('DATOS'!F43&amp;"")&lt;&gt;"Por confirmar",TRIM('DATOS'!F43&amp;"")&lt;&gt;"No consta",TRIM('DATOS'!F43&amp;"")&lt;&gt;"Desconocido",TRIM('DATOS'!F43&amp;"")&lt;&gt;"Sin confirmar",TRIM('DATOS'!F43&amp;"")&lt;&gt;"Por decidir",TRIM('DATOS'!F43&amp;"")&lt;&gt;"Por comprobar")),NOT(AND(LEN(TRIM('DATOS'!N43&amp;""))&gt;0,TRIM('DATOS'!N43&amp;"")&lt;&gt;"Pendiente",TRIM('DATOS'!N43&amp;"")&lt;&gt;"Por confirmar",TRIM('DATOS'!N43&amp;"")&lt;&gt;"No consta",TRIM('DATOS'!N43&amp;"")&lt;&gt;"Desconocido",TRIM('DATOS'!N43&amp;"")&lt;&gt;"Sin confirmar",TRIM('DATOS'!N43&amp;"")&lt;&gt;"Por decidir",TRIM('DATOS'!N43&amp;"")&lt;&gt;"Por comprobar")),NOT(Y43=1),W43&lt;&gt;1,X43&gt;1,NOT(OR(LEN(TRIM('DATOS'!K43&amp;""))=0,'DATOS'!K43="Sin valorar",'DATOS'!K43="Sin coste documentado",'DATOS'!K43="Incluido en otra partida",'DATOS'!K43="Por confirmar")),NOT(OR(LEN(TRIM('DATOS'!M43&amp;""))=0,'DATOS'!M43="Sí",'DATOS'!M43="No",'DATOS'!M43="Por confirmar")),NOT(OR(LEN(TRIM('DATOS'!O43&amp;""))=0,'DATOS'!O43="Comparamos",'DATOS'!O43="No existe",'DATOS'!O43="Por confirmar"))),2,IF(AND(OR('DATOS'!G43&lt;0,'DATOS'!H43&lt;0,'DATOS'!J43&lt;0),NOT(AND(LEN(TRIM('DATOS'!L43&amp;""))&gt;0,TRIM('DATOS'!L43&amp;"")&lt;&gt;"Pendiente",TRIM('DATOS'!L43&amp;"")&lt;&gt;"Por confirmar",TRIM('DATOS'!L43&amp;"")&lt;&gt;"No consta",TRIM('DATOS'!L43&amp;"")&lt;&gt;"Desconocido",TRIM('DATOS'!L43&amp;"")&lt;&gt;"Sin confirmar",TRIM('DATOS'!L43&amp;"")&lt;&gt;"Por decidir",TRIM('DATOS'!L43&amp;"")&lt;&gt;"Por comprobar"))),1,0))),2)</f>
      </c>
      <c r="P43" s="29">
        <f>IFERROR(IF(N43=0,"",IF(NOT(Y43=1),1,IF('REFERENCIAS'!$Q$8&lt;&gt;1,2,IF(ABS('DATOS'!J43-ROUND('DATOS'!G43*'DATOS'!H43,'REFERENCIAS'!$K$8))&gt;0.00000001,2,IF('DATOS'!O43="No existe",IF(LEN(TRIM('DATOS'!I43&amp;""))=0,0,2),IF('DATOS'!O43="Comparamos",IF(LEN(TRIM('DATOS'!I43&amp;""))=0,1,IF(ISNUMBER('DATOS'!I43),IF(ABS('DATOS'!H43-'DATOS'!I43)&gt;0.00000001,2,0),2)),1)))))),2)</f>
      </c>
      <c r="Q43" s="29">
        <f>IFERROR(IF(N43=0,"",IF(NOT(Y43=1),1,IF('DATOS'!K43="Sin valorar",2,IF('DATOS'!G43=0,1,IF(OR('DATOS'!H43=0,'DATOS'!J43=0),IF(AND(OR('DATOS'!K43="Sin coste documentado",'DATOS'!K43="Incluido en otra partida"),AND(LEN(TRIM('DATOS'!L43&amp;""))&gt;0,TRIM('DATOS'!L43&amp;"")&lt;&gt;"Pendiente",TRIM('DATOS'!L43&amp;"")&lt;&gt;"Por confirmar",TRIM('DATOS'!L43&amp;"")&lt;&gt;"No consta",TRIM('DATOS'!L43&amp;"")&lt;&gt;"Desconocido",TRIM('DATOS'!L43&amp;"")&lt;&gt;"Sin confirmar",TRIM('DATOS'!L43&amp;"")&lt;&gt;"Por decidir",TRIM('DATOS'!L43&amp;"")&lt;&gt;"Por comprobar")),0,1),0))))),2)</f>
      </c>
      <c r="R43" s="29">
        <f>IFERROR(IF(N43=0,"",IF(OR(NOT(AND(LEN(TRIM('DATOS'!D43&amp;""))&gt;0,TRIM('DATOS'!D43&amp;"")&lt;&gt;"Pendiente",TRIM('DATOS'!D43&amp;"")&lt;&gt;"Por confirmar",TRIM('DATOS'!D43&amp;"")&lt;&gt;"No consta",TRIM('DATOS'!D43&amp;"")&lt;&gt;"Desconocido",TRIM('DATOS'!D43&amp;"")&lt;&gt;"Sin confirmar",TRIM('DATOS'!D43&amp;"")&lt;&gt;"Por decidir",TRIM('DATOS'!D43&amp;"")&lt;&gt;"Por comprobar")),NOT(AND(LEN(TRIM('DATOS'!E43&amp;""))&gt;0,TRIM('DATOS'!E43&amp;"")&lt;&gt;"Pendiente",TRIM('DATOS'!E43&amp;"")&lt;&gt;"Por confirmar",TRIM('DATOS'!E43&amp;"")&lt;&gt;"No consta",TRIM('DATOS'!E43&amp;"")&lt;&gt;"Desconocido",TRIM('DATOS'!E43&amp;"")&lt;&gt;"Sin confirmar",TRIM('DATOS'!E43&amp;"")&lt;&gt;"Por decidir",TRIM('DATOS'!E43&amp;"")&lt;&gt;"Por comprobar"))),2,IF('DATOS'!M43="No",2,IF('DATOS'!M43="Sí",0,IF(OR('DATOS'!D43&lt;&gt;'DATOS'!E43,LEN('DATOS'!E43)&gt;300,RIGHT(TRIM('DATOS'!E43),3)="...",RIGHT(TRIM('DATOS'!E43),1)="…"),1,0))))),2)</f>
      </c>
      <c r="S43" s="29">
        <f>IFERROR(IF(N43=0,"",IF('REFERENCIAS'!$Q$8&lt;&gt;1,2,IF(NOT(Y43=1),1,IF(OR(ABS('DATOS'!G43-ROUND('DATOS'!G43,'REFERENCIAS'!$E$8))&gt;0.00000001,ABS('DATOS'!H43-ROUND('DATOS'!H43,'REFERENCIAS'!$H$8))&gt;0.00000001,ABS('DATOS'!J43-ROUND('DATOS'!J43,'REFERENCIAS'!$K$8))&gt;0.00000001,IF(ISNUMBER('DATOS'!I43),ABS('DATOS'!I43-ROUND('DATOS'!I43,'REFERENCIAS'!$H$8))&gt;0.00000001,FALSE)),1,0)))),2)</f>
      </c>
      <c r="T43" s="29">
        <f>IFERROR(IF(N43=0,"",IF(NOT(AND(LEN(TRIM('DATOS'!F43&amp;""))&gt;0,TRIM('DATOS'!F43&amp;"")&lt;&gt;"Pendiente",TRIM('DATOS'!F43&amp;"")&lt;&gt;"Por confirmar",TRIM('DATOS'!F43&amp;"")&lt;&gt;"No consta",TRIM('DATOS'!F43&amp;"")&lt;&gt;"Desconocido",TRIM('DATOS'!F43&amp;"")&lt;&gt;"Sin confirmar",TRIM('DATOS'!F43&amp;"")&lt;&gt;"Por decidir",TRIM('DATOS'!F43&amp;"")&lt;&gt;"Por comprobar")),2,IF(COUNTIFS('REFERENCIAS'!$T$15:$T$34,"ID:"&amp;SUBSTITUTE(SUBSTITUTE(SUBSTITUTE(SUBSTITUTE(UPPER(TRIM('DATOS'!F43&amp;"")),"!","!E"),"*","!A"),"?","!B"),"~","!C"),'REFERENCIAS'!$H$15:$H$34,"&lt;&gt;")&gt;0,0,1))),2)</f>
      </c>
      <c r="U43" s="29" t="str">
        <f>'DATOS'!R43</f>
        <v>ID:</v>
      </c>
      <c r="V43" s="29" t="str">
        <f>'DATOS'!S43</f>
        <v>ID:</v>
      </c>
      <c r="W43" s="29" t="n">
        <f>IF(N43=0,0,COUNTIFS('REFERENCIAS'!$R$15:$R$64,U43))</f>
        <v>0</v>
      </c>
      <c r="X43" s="29" t="n">
        <f>IF(N43=0,0,COUNTIFS('DATOS'!$R$10:$R$509,U43,'DATOS'!$S$10:$S$509,V43))</f>
        <v>0</v>
      </c>
      <c r="Y43" s="29" t="n">
        <f>IF(AND(ISNUMBER('DATOS'!G43),ISNUMBER('DATOS'!H43),ISNUMBER('DATOS'!J43)),1,0)</f>
        <v>0</v>
      </c>
    </row>
    <row r="44" ht="64" customHeight="1">
      <c r="B44" s="26">
        <f>IF(N44=1,35,"")</f>
      </c>
      <c r="C44" s="26">
        <f>IF(AND(N44=1,LEN(TRIM('DATOS'!B44&amp;""))&gt;0),'DATOS'!B44,"")</f>
      </c>
      <c r="D44" s="26">
        <f>IF(AND(N44=1,LEN(TRIM('DATOS'!C44&amp;""))&gt;0),'DATOS'!C44,"")</f>
      </c>
      <c r="E44" s="26">
        <f>IF(NOT(ISNUMBER(P44)),"",IF(P44=2,"ROJO",IF(P44=1,"ÁMBAR","VERDE")))</f>
      </c>
      <c r="F44" s="26">
        <f>IF(NOT(ISNUMBER(Q44)),"",IF(Q44=2,"ROJO",IF(Q44=1,"ÁMBAR","VERDE")))</f>
      </c>
      <c r="G44" s="26">
        <f>IF(NOT(ISNUMBER(R44)),"",IF(R44=2,"ROJO",IF(R44=1,"ÁMBAR","VERDE")))</f>
      </c>
      <c r="H44" s="26">
        <f>IF(NOT(ISNUMBER(S44)),"",IF(S44=2,"ROJO",IF(S44=1,"ÁMBAR","VERDE")))</f>
      </c>
      <c r="I44" s="26">
        <f>IF(NOT(ISNUMBER(T44)),"",IF(T44=2,"ROJO",IF(T44=1,"ÁMBAR","VERDE")))</f>
      </c>
      <c r="J44" s="26">
        <f>IF(NOT(ISNUMBER(O44)),"",IF(O44=2,"ROJO",IF(O44=1,"ÁMBAR","VERDE")))</f>
      </c>
      <c r="K44" s="26">
        <f>IFERROR(IF(AND(N44=1,LEN(TRIM('DATOS'!N44&amp;""))&gt;0),'DATOS'!N44,""),"Hay una entrada con error. Corregimos el dato antes de cerrar la comprobación.")</f>
      </c>
      <c r="L44" s="26">
        <f>IFERROR(IF(N44=0,"",IF(O44&gt;0,"Completamos datos, claves o motivo. ","")&amp;IF(P44&gt;0,"Cotejamos precios e importe. ","")&amp;IF(Q44&gt;0,"Aclaramos el cero. ","")&amp;IF(R44&gt;0,"Comprobamos el texto. ","")&amp;IF(S44&gt;0,"Revisamos decimales visibles. ","")&amp;IF(T44&gt;0,"Confirmamos la unidad.","")),"Hay una entrada con error. Corregimos el dato antes de cerrar la comprobación.")</f>
      </c>
      <c r="N44" s="29" t="n">
        <f>IF(COUNTA('DATOS'!B44:O44)&gt;0,1,0)</f>
        <v>0</v>
      </c>
      <c r="O44" s="29">
        <f>IFERROR(IF(N44=0,"",IF(OR(NOT(AND(LEN(TRIM('DATOS'!B44&amp;""))&gt;0,TRIM('DATOS'!B44&amp;"")&lt;&gt;"Pendiente",TRIM('DATOS'!B44&amp;"")&lt;&gt;"Por confirmar",TRIM('DATOS'!B44&amp;"")&lt;&gt;"No consta",TRIM('DATOS'!B44&amp;"")&lt;&gt;"Desconocido",TRIM('DATOS'!B44&amp;"")&lt;&gt;"Sin confirmar",TRIM('DATOS'!B44&amp;"")&lt;&gt;"Por decidir",TRIM('DATOS'!B44&amp;"")&lt;&gt;"Por comprobar")),NOT(AND(LEN(TRIM('DATOS'!C44&amp;""))&gt;0,TRIM('DATOS'!C44&amp;"")&lt;&gt;"Pendiente",TRIM('DATOS'!C44&amp;"")&lt;&gt;"Por confirmar",TRIM('DATOS'!C44&amp;"")&lt;&gt;"No consta",TRIM('DATOS'!C44&amp;"")&lt;&gt;"Desconocido",TRIM('DATOS'!C44&amp;"")&lt;&gt;"Sin confirmar",TRIM('DATOS'!C44&amp;"")&lt;&gt;"Por decidir",TRIM('DATOS'!C44&amp;"")&lt;&gt;"Por comprobar")),NOT(AND(LEN(TRIM('DATOS'!D44&amp;""))&gt;0,TRIM('DATOS'!D44&amp;"")&lt;&gt;"Pendiente",TRIM('DATOS'!D44&amp;"")&lt;&gt;"Por confirmar",TRIM('DATOS'!D44&amp;"")&lt;&gt;"No consta",TRIM('DATOS'!D44&amp;"")&lt;&gt;"Desconocido",TRIM('DATOS'!D44&amp;"")&lt;&gt;"Sin confirmar",TRIM('DATOS'!D44&amp;"")&lt;&gt;"Por decidir",TRIM('DATOS'!D44&amp;"")&lt;&gt;"Por comprobar")),NOT(AND(LEN(TRIM('DATOS'!E44&amp;""))&gt;0,TRIM('DATOS'!E44&amp;"")&lt;&gt;"Pendiente",TRIM('DATOS'!E44&amp;"")&lt;&gt;"Por confirmar",TRIM('DATOS'!E44&amp;"")&lt;&gt;"No consta",TRIM('DATOS'!E44&amp;"")&lt;&gt;"Desconocido",TRIM('DATOS'!E44&amp;"")&lt;&gt;"Sin confirmar",TRIM('DATOS'!E44&amp;"")&lt;&gt;"Por decidir",TRIM('DATOS'!E44&amp;"")&lt;&gt;"Por comprobar")),NOT(AND(LEN(TRIM('DATOS'!F44&amp;""))&gt;0,TRIM('DATOS'!F44&amp;"")&lt;&gt;"Pendiente",TRIM('DATOS'!F44&amp;"")&lt;&gt;"Por confirmar",TRIM('DATOS'!F44&amp;"")&lt;&gt;"No consta",TRIM('DATOS'!F44&amp;"")&lt;&gt;"Desconocido",TRIM('DATOS'!F44&amp;"")&lt;&gt;"Sin confirmar",TRIM('DATOS'!F44&amp;"")&lt;&gt;"Por decidir",TRIM('DATOS'!F44&amp;"")&lt;&gt;"Por comprobar")),NOT(AND(LEN(TRIM('DATOS'!N44&amp;""))&gt;0,TRIM('DATOS'!N44&amp;"")&lt;&gt;"Pendiente",TRIM('DATOS'!N44&amp;"")&lt;&gt;"Por confirmar",TRIM('DATOS'!N44&amp;"")&lt;&gt;"No consta",TRIM('DATOS'!N44&amp;"")&lt;&gt;"Desconocido",TRIM('DATOS'!N44&amp;"")&lt;&gt;"Sin confirmar",TRIM('DATOS'!N44&amp;"")&lt;&gt;"Por decidir",TRIM('DATOS'!N44&amp;"")&lt;&gt;"Por comprobar")),NOT(Y44=1),W44&lt;&gt;1,X44&gt;1,NOT(OR(LEN(TRIM('DATOS'!K44&amp;""))=0,'DATOS'!K44="Sin valorar",'DATOS'!K44="Sin coste documentado",'DATOS'!K44="Incluido en otra partida",'DATOS'!K44="Por confirmar")),NOT(OR(LEN(TRIM('DATOS'!M44&amp;""))=0,'DATOS'!M44="Sí",'DATOS'!M44="No",'DATOS'!M44="Por confirmar")),NOT(OR(LEN(TRIM('DATOS'!O44&amp;""))=0,'DATOS'!O44="Comparamos",'DATOS'!O44="No existe",'DATOS'!O44="Por confirmar"))),2,IF(AND(OR('DATOS'!G44&lt;0,'DATOS'!H44&lt;0,'DATOS'!J44&lt;0),NOT(AND(LEN(TRIM('DATOS'!L44&amp;""))&gt;0,TRIM('DATOS'!L44&amp;"")&lt;&gt;"Pendiente",TRIM('DATOS'!L44&amp;"")&lt;&gt;"Por confirmar",TRIM('DATOS'!L44&amp;"")&lt;&gt;"No consta",TRIM('DATOS'!L44&amp;"")&lt;&gt;"Desconocido",TRIM('DATOS'!L44&amp;"")&lt;&gt;"Sin confirmar",TRIM('DATOS'!L44&amp;"")&lt;&gt;"Por decidir",TRIM('DATOS'!L44&amp;"")&lt;&gt;"Por comprobar"))),1,0))),2)</f>
      </c>
      <c r="P44" s="29">
        <f>IFERROR(IF(N44=0,"",IF(NOT(Y44=1),1,IF('REFERENCIAS'!$Q$8&lt;&gt;1,2,IF(ABS('DATOS'!J44-ROUND('DATOS'!G44*'DATOS'!H44,'REFERENCIAS'!$K$8))&gt;0.00000001,2,IF('DATOS'!O44="No existe",IF(LEN(TRIM('DATOS'!I44&amp;""))=0,0,2),IF('DATOS'!O44="Comparamos",IF(LEN(TRIM('DATOS'!I44&amp;""))=0,1,IF(ISNUMBER('DATOS'!I44),IF(ABS('DATOS'!H44-'DATOS'!I44)&gt;0.00000001,2,0),2)),1)))))),2)</f>
      </c>
      <c r="Q44" s="29">
        <f>IFERROR(IF(N44=0,"",IF(NOT(Y44=1),1,IF('DATOS'!K44="Sin valorar",2,IF('DATOS'!G44=0,1,IF(OR('DATOS'!H44=0,'DATOS'!J44=0),IF(AND(OR('DATOS'!K44="Sin coste documentado",'DATOS'!K44="Incluido en otra partida"),AND(LEN(TRIM('DATOS'!L44&amp;""))&gt;0,TRIM('DATOS'!L44&amp;"")&lt;&gt;"Pendiente",TRIM('DATOS'!L44&amp;"")&lt;&gt;"Por confirmar",TRIM('DATOS'!L44&amp;"")&lt;&gt;"No consta",TRIM('DATOS'!L44&amp;"")&lt;&gt;"Desconocido",TRIM('DATOS'!L44&amp;"")&lt;&gt;"Sin confirmar",TRIM('DATOS'!L44&amp;"")&lt;&gt;"Por decidir",TRIM('DATOS'!L44&amp;"")&lt;&gt;"Por comprobar")),0,1),0))))),2)</f>
      </c>
      <c r="R44" s="29">
        <f>IFERROR(IF(N44=0,"",IF(OR(NOT(AND(LEN(TRIM('DATOS'!D44&amp;""))&gt;0,TRIM('DATOS'!D44&amp;"")&lt;&gt;"Pendiente",TRIM('DATOS'!D44&amp;"")&lt;&gt;"Por confirmar",TRIM('DATOS'!D44&amp;"")&lt;&gt;"No consta",TRIM('DATOS'!D44&amp;"")&lt;&gt;"Desconocido",TRIM('DATOS'!D44&amp;"")&lt;&gt;"Sin confirmar",TRIM('DATOS'!D44&amp;"")&lt;&gt;"Por decidir",TRIM('DATOS'!D44&amp;"")&lt;&gt;"Por comprobar")),NOT(AND(LEN(TRIM('DATOS'!E44&amp;""))&gt;0,TRIM('DATOS'!E44&amp;"")&lt;&gt;"Pendiente",TRIM('DATOS'!E44&amp;"")&lt;&gt;"Por confirmar",TRIM('DATOS'!E44&amp;"")&lt;&gt;"No consta",TRIM('DATOS'!E44&amp;"")&lt;&gt;"Desconocido",TRIM('DATOS'!E44&amp;"")&lt;&gt;"Sin confirmar",TRIM('DATOS'!E44&amp;"")&lt;&gt;"Por decidir",TRIM('DATOS'!E44&amp;"")&lt;&gt;"Por comprobar"))),2,IF('DATOS'!M44="No",2,IF('DATOS'!M44="Sí",0,IF(OR('DATOS'!D44&lt;&gt;'DATOS'!E44,LEN('DATOS'!E44)&gt;300,RIGHT(TRIM('DATOS'!E44),3)="...",RIGHT(TRIM('DATOS'!E44),1)="…"),1,0))))),2)</f>
      </c>
      <c r="S44" s="29">
        <f>IFERROR(IF(N44=0,"",IF('REFERENCIAS'!$Q$8&lt;&gt;1,2,IF(NOT(Y44=1),1,IF(OR(ABS('DATOS'!G44-ROUND('DATOS'!G44,'REFERENCIAS'!$E$8))&gt;0.00000001,ABS('DATOS'!H44-ROUND('DATOS'!H44,'REFERENCIAS'!$H$8))&gt;0.00000001,ABS('DATOS'!J44-ROUND('DATOS'!J44,'REFERENCIAS'!$K$8))&gt;0.00000001,IF(ISNUMBER('DATOS'!I44),ABS('DATOS'!I44-ROUND('DATOS'!I44,'REFERENCIAS'!$H$8))&gt;0.00000001,FALSE)),1,0)))),2)</f>
      </c>
      <c r="T44" s="29">
        <f>IFERROR(IF(N44=0,"",IF(NOT(AND(LEN(TRIM('DATOS'!F44&amp;""))&gt;0,TRIM('DATOS'!F44&amp;"")&lt;&gt;"Pendiente",TRIM('DATOS'!F44&amp;"")&lt;&gt;"Por confirmar",TRIM('DATOS'!F44&amp;"")&lt;&gt;"No consta",TRIM('DATOS'!F44&amp;"")&lt;&gt;"Desconocido",TRIM('DATOS'!F44&amp;"")&lt;&gt;"Sin confirmar",TRIM('DATOS'!F44&amp;"")&lt;&gt;"Por decidir",TRIM('DATOS'!F44&amp;"")&lt;&gt;"Por comprobar")),2,IF(COUNTIFS('REFERENCIAS'!$T$15:$T$34,"ID:"&amp;SUBSTITUTE(SUBSTITUTE(SUBSTITUTE(SUBSTITUTE(UPPER(TRIM('DATOS'!F44&amp;"")),"!","!E"),"*","!A"),"?","!B"),"~","!C"),'REFERENCIAS'!$H$15:$H$34,"&lt;&gt;")&gt;0,0,1))),2)</f>
      </c>
      <c r="U44" s="29" t="str">
        <f>'DATOS'!R44</f>
        <v>ID:</v>
      </c>
      <c r="V44" s="29" t="str">
        <f>'DATOS'!S44</f>
        <v>ID:</v>
      </c>
      <c r="W44" s="29" t="n">
        <f>IF(N44=0,0,COUNTIFS('REFERENCIAS'!$R$15:$R$64,U44))</f>
        <v>0</v>
      </c>
      <c r="X44" s="29" t="n">
        <f>IF(N44=0,0,COUNTIFS('DATOS'!$R$10:$R$509,U44,'DATOS'!$S$10:$S$509,V44))</f>
        <v>0</v>
      </c>
      <c r="Y44" s="29" t="n">
        <f>IF(AND(ISNUMBER('DATOS'!G44),ISNUMBER('DATOS'!H44),ISNUMBER('DATOS'!J44)),1,0)</f>
        <v>0</v>
      </c>
    </row>
    <row r="45" ht="64" customHeight="1">
      <c r="B45" s="26">
        <f>IF(N45=1,36,"")</f>
      </c>
      <c r="C45" s="26">
        <f>IF(AND(N45=1,LEN(TRIM('DATOS'!B45&amp;""))&gt;0),'DATOS'!B45,"")</f>
      </c>
      <c r="D45" s="26">
        <f>IF(AND(N45=1,LEN(TRIM('DATOS'!C45&amp;""))&gt;0),'DATOS'!C45,"")</f>
      </c>
      <c r="E45" s="26">
        <f>IF(NOT(ISNUMBER(P45)),"",IF(P45=2,"ROJO",IF(P45=1,"ÁMBAR","VERDE")))</f>
      </c>
      <c r="F45" s="26">
        <f>IF(NOT(ISNUMBER(Q45)),"",IF(Q45=2,"ROJO",IF(Q45=1,"ÁMBAR","VERDE")))</f>
      </c>
      <c r="G45" s="26">
        <f>IF(NOT(ISNUMBER(R45)),"",IF(R45=2,"ROJO",IF(R45=1,"ÁMBAR","VERDE")))</f>
      </c>
      <c r="H45" s="26">
        <f>IF(NOT(ISNUMBER(S45)),"",IF(S45=2,"ROJO",IF(S45=1,"ÁMBAR","VERDE")))</f>
      </c>
      <c r="I45" s="26">
        <f>IF(NOT(ISNUMBER(T45)),"",IF(T45=2,"ROJO",IF(T45=1,"ÁMBAR","VERDE")))</f>
      </c>
      <c r="J45" s="26">
        <f>IF(NOT(ISNUMBER(O45)),"",IF(O45=2,"ROJO",IF(O45=1,"ÁMBAR","VERDE")))</f>
      </c>
      <c r="K45" s="26">
        <f>IFERROR(IF(AND(N45=1,LEN(TRIM('DATOS'!N45&amp;""))&gt;0),'DATOS'!N45,""),"Hay una entrada con error. Corregimos el dato antes de cerrar la comprobación.")</f>
      </c>
      <c r="L45" s="26">
        <f>IFERROR(IF(N45=0,"",IF(O45&gt;0,"Completamos datos, claves o motivo. ","")&amp;IF(P45&gt;0,"Cotejamos precios e importe. ","")&amp;IF(Q45&gt;0,"Aclaramos el cero. ","")&amp;IF(R45&gt;0,"Comprobamos el texto. ","")&amp;IF(S45&gt;0,"Revisamos decimales visibles. ","")&amp;IF(T45&gt;0,"Confirmamos la unidad.","")),"Hay una entrada con error. Corregimos el dato antes de cerrar la comprobación.")</f>
      </c>
      <c r="N45" s="29" t="n">
        <f>IF(COUNTA('DATOS'!B45:O45)&gt;0,1,0)</f>
        <v>0</v>
      </c>
      <c r="O45" s="29">
        <f>IFERROR(IF(N45=0,"",IF(OR(NOT(AND(LEN(TRIM('DATOS'!B45&amp;""))&gt;0,TRIM('DATOS'!B45&amp;"")&lt;&gt;"Pendiente",TRIM('DATOS'!B45&amp;"")&lt;&gt;"Por confirmar",TRIM('DATOS'!B45&amp;"")&lt;&gt;"No consta",TRIM('DATOS'!B45&amp;"")&lt;&gt;"Desconocido",TRIM('DATOS'!B45&amp;"")&lt;&gt;"Sin confirmar",TRIM('DATOS'!B45&amp;"")&lt;&gt;"Por decidir",TRIM('DATOS'!B45&amp;"")&lt;&gt;"Por comprobar")),NOT(AND(LEN(TRIM('DATOS'!C45&amp;""))&gt;0,TRIM('DATOS'!C45&amp;"")&lt;&gt;"Pendiente",TRIM('DATOS'!C45&amp;"")&lt;&gt;"Por confirmar",TRIM('DATOS'!C45&amp;"")&lt;&gt;"No consta",TRIM('DATOS'!C45&amp;"")&lt;&gt;"Desconocido",TRIM('DATOS'!C45&amp;"")&lt;&gt;"Sin confirmar",TRIM('DATOS'!C45&amp;"")&lt;&gt;"Por decidir",TRIM('DATOS'!C45&amp;"")&lt;&gt;"Por comprobar")),NOT(AND(LEN(TRIM('DATOS'!D45&amp;""))&gt;0,TRIM('DATOS'!D45&amp;"")&lt;&gt;"Pendiente",TRIM('DATOS'!D45&amp;"")&lt;&gt;"Por confirmar",TRIM('DATOS'!D45&amp;"")&lt;&gt;"No consta",TRIM('DATOS'!D45&amp;"")&lt;&gt;"Desconocido",TRIM('DATOS'!D45&amp;"")&lt;&gt;"Sin confirmar",TRIM('DATOS'!D45&amp;"")&lt;&gt;"Por decidir",TRIM('DATOS'!D45&amp;"")&lt;&gt;"Por comprobar")),NOT(AND(LEN(TRIM('DATOS'!E45&amp;""))&gt;0,TRIM('DATOS'!E45&amp;"")&lt;&gt;"Pendiente",TRIM('DATOS'!E45&amp;"")&lt;&gt;"Por confirmar",TRIM('DATOS'!E45&amp;"")&lt;&gt;"No consta",TRIM('DATOS'!E45&amp;"")&lt;&gt;"Desconocido",TRIM('DATOS'!E45&amp;"")&lt;&gt;"Sin confirmar",TRIM('DATOS'!E45&amp;"")&lt;&gt;"Por decidir",TRIM('DATOS'!E45&amp;"")&lt;&gt;"Por comprobar")),NOT(AND(LEN(TRIM('DATOS'!F45&amp;""))&gt;0,TRIM('DATOS'!F45&amp;"")&lt;&gt;"Pendiente",TRIM('DATOS'!F45&amp;"")&lt;&gt;"Por confirmar",TRIM('DATOS'!F45&amp;"")&lt;&gt;"No consta",TRIM('DATOS'!F45&amp;"")&lt;&gt;"Desconocido",TRIM('DATOS'!F45&amp;"")&lt;&gt;"Sin confirmar",TRIM('DATOS'!F45&amp;"")&lt;&gt;"Por decidir",TRIM('DATOS'!F45&amp;"")&lt;&gt;"Por comprobar")),NOT(AND(LEN(TRIM('DATOS'!N45&amp;""))&gt;0,TRIM('DATOS'!N45&amp;"")&lt;&gt;"Pendiente",TRIM('DATOS'!N45&amp;"")&lt;&gt;"Por confirmar",TRIM('DATOS'!N45&amp;"")&lt;&gt;"No consta",TRIM('DATOS'!N45&amp;"")&lt;&gt;"Desconocido",TRIM('DATOS'!N45&amp;"")&lt;&gt;"Sin confirmar",TRIM('DATOS'!N45&amp;"")&lt;&gt;"Por decidir",TRIM('DATOS'!N45&amp;"")&lt;&gt;"Por comprobar")),NOT(Y45=1),W45&lt;&gt;1,X45&gt;1,NOT(OR(LEN(TRIM('DATOS'!K45&amp;""))=0,'DATOS'!K45="Sin valorar",'DATOS'!K45="Sin coste documentado",'DATOS'!K45="Incluido en otra partida",'DATOS'!K45="Por confirmar")),NOT(OR(LEN(TRIM('DATOS'!M45&amp;""))=0,'DATOS'!M45="Sí",'DATOS'!M45="No",'DATOS'!M45="Por confirmar")),NOT(OR(LEN(TRIM('DATOS'!O45&amp;""))=0,'DATOS'!O45="Comparamos",'DATOS'!O45="No existe",'DATOS'!O45="Por confirmar"))),2,IF(AND(OR('DATOS'!G45&lt;0,'DATOS'!H45&lt;0,'DATOS'!J45&lt;0),NOT(AND(LEN(TRIM('DATOS'!L45&amp;""))&gt;0,TRIM('DATOS'!L45&amp;"")&lt;&gt;"Pendiente",TRIM('DATOS'!L45&amp;"")&lt;&gt;"Por confirmar",TRIM('DATOS'!L45&amp;"")&lt;&gt;"No consta",TRIM('DATOS'!L45&amp;"")&lt;&gt;"Desconocido",TRIM('DATOS'!L45&amp;"")&lt;&gt;"Sin confirmar",TRIM('DATOS'!L45&amp;"")&lt;&gt;"Por decidir",TRIM('DATOS'!L45&amp;"")&lt;&gt;"Por comprobar"))),1,0))),2)</f>
      </c>
      <c r="P45" s="29">
        <f>IFERROR(IF(N45=0,"",IF(NOT(Y45=1),1,IF('REFERENCIAS'!$Q$8&lt;&gt;1,2,IF(ABS('DATOS'!J45-ROUND('DATOS'!G45*'DATOS'!H45,'REFERENCIAS'!$K$8))&gt;0.00000001,2,IF('DATOS'!O45="No existe",IF(LEN(TRIM('DATOS'!I45&amp;""))=0,0,2),IF('DATOS'!O45="Comparamos",IF(LEN(TRIM('DATOS'!I45&amp;""))=0,1,IF(ISNUMBER('DATOS'!I45),IF(ABS('DATOS'!H45-'DATOS'!I45)&gt;0.00000001,2,0),2)),1)))))),2)</f>
      </c>
      <c r="Q45" s="29">
        <f>IFERROR(IF(N45=0,"",IF(NOT(Y45=1),1,IF('DATOS'!K45="Sin valorar",2,IF('DATOS'!G45=0,1,IF(OR('DATOS'!H45=0,'DATOS'!J45=0),IF(AND(OR('DATOS'!K45="Sin coste documentado",'DATOS'!K45="Incluido en otra partida"),AND(LEN(TRIM('DATOS'!L45&amp;""))&gt;0,TRIM('DATOS'!L45&amp;"")&lt;&gt;"Pendiente",TRIM('DATOS'!L45&amp;"")&lt;&gt;"Por confirmar",TRIM('DATOS'!L45&amp;"")&lt;&gt;"No consta",TRIM('DATOS'!L45&amp;"")&lt;&gt;"Desconocido",TRIM('DATOS'!L45&amp;"")&lt;&gt;"Sin confirmar",TRIM('DATOS'!L45&amp;"")&lt;&gt;"Por decidir",TRIM('DATOS'!L45&amp;"")&lt;&gt;"Por comprobar")),0,1),0))))),2)</f>
      </c>
      <c r="R45" s="29">
        <f>IFERROR(IF(N45=0,"",IF(OR(NOT(AND(LEN(TRIM('DATOS'!D45&amp;""))&gt;0,TRIM('DATOS'!D45&amp;"")&lt;&gt;"Pendiente",TRIM('DATOS'!D45&amp;"")&lt;&gt;"Por confirmar",TRIM('DATOS'!D45&amp;"")&lt;&gt;"No consta",TRIM('DATOS'!D45&amp;"")&lt;&gt;"Desconocido",TRIM('DATOS'!D45&amp;"")&lt;&gt;"Sin confirmar",TRIM('DATOS'!D45&amp;"")&lt;&gt;"Por decidir",TRIM('DATOS'!D45&amp;"")&lt;&gt;"Por comprobar")),NOT(AND(LEN(TRIM('DATOS'!E45&amp;""))&gt;0,TRIM('DATOS'!E45&amp;"")&lt;&gt;"Pendiente",TRIM('DATOS'!E45&amp;"")&lt;&gt;"Por confirmar",TRIM('DATOS'!E45&amp;"")&lt;&gt;"No consta",TRIM('DATOS'!E45&amp;"")&lt;&gt;"Desconocido",TRIM('DATOS'!E45&amp;"")&lt;&gt;"Sin confirmar",TRIM('DATOS'!E45&amp;"")&lt;&gt;"Por decidir",TRIM('DATOS'!E45&amp;"")&lt;&gt;"Por comprobar"))),2,IF('DATOS'!M45="No",2,IF('DATOS'!M45="Sí",0,IF(OR('DATOS'!D45&lt;&gt;'DATOS'!E45,LEN('DATOS'!E45)&gt;300,RIGHT(TRIM('DATOS'!E45),3)="...",RIGHT(TRIM('DATOS'!E45),1)="…"),1,0))))),2)</f>
      </c>
      <c r="S45" s="29">
        <f>IFERROR(IF(N45=0,"",IF('REFERENCIAS'!$Q$8&lt;&gt;1,2,IF(NOT(Y45=1),1,IF(OR(ABS('DATOS'!G45-ROUND('DATOS'!G45,'REFERENCIAS'!$E$8))&gt;0.00000001,ABS('DATOS'!H45-ROUND('DATOS'!H45,'REFERENCIAS'!$H$8))&gt;0.00000001,ABS('DATOS'!J45-ROUND('DATOS'!J45,'REFERENCIAS'!$K$8))&gt;0.00000001,IF(ISNUMBER('DATOS'!I45),ABS('DATOS'!I45-ROUND('DATOS'!I45,'REFERENCIAS'!$H$8))&gt;0.00000001,FALSE)),1,0)))),2)</f>
      </c>
      <c r="T45" s="29">
        <f>IFERROR(IF(N45=0,"",IF(NOT(AND(LEN(TRIM('DATOS'!F45&amp;""))&gt;0,TRIM('DATOS'!F45&amp;"")&lt;&gt;"Pendiente",TRIM('DATOS'!F45&amp;"")&lt;&gt;"Por confirmar",TRIM('DATOS'!F45&amp;"")&lt;&gt;"No consta",TRIM('DATOS'!F45&amp;"")&lt;&gt;"Desconocido",TRIM('DATOS'!F45&amp;"")&lt;&gt;"Sin confirmar",TRIM('DATOS'!F45&amp;"")&lt;&gt;"Por decidir",TRIM('DATOS'!F45&amp;"")&lt;&gt;"Por comprobar")),2,IF(COUNTIFS('REFERENCIAS'!$T$15:$T$34,"ID:"&amp;SUBSTITUTE(SUBSTITUTE(SUBSTITUTE(SUBSTITUTE(UPPER(TRIM('DATOS'!F45&amp;"")),"!","!E"),"*","!A"),"?","!B"),"~","!C"),'REFERENCIAS'!$H$15:$H$34,"&lt;&gt;")&gt;0,0,1))),2)</f>
      </c>
      <c r="U45" s="29" t="str">
        <f>'DATOS'!R45</f>
        <v>ID:</v>
      </c>
      <c r="V45" s="29" t="str">
        <f>'DATOS'!S45</f>
        <v>ID:</v>
      </c>
      <c r="W45" s="29" t="n">
        <f>IF(N45=0,0,COUNTIFS('REFERENCIAS'!$R$15:$R$64,U45))</f>
        <v>0</v>
      </c>
      <c r="X45" s="29" t="n">
        <f>IF(N45=0,0,COUNTIFS('DATOS'!$R$10:$R$509,U45,'DATOS'!$S$10:$S$509,V45))</f>
        <v>0</v>
      </c>
      <c r="Y45" s="29" t="n">
        <f>IF(AND(ISNUMBER('DATOS'!G45),ISNUMBER('DATOS'!H45),ISNUMBER('DATOS'!J45)),1,0)</f>
        <v>0</v>
      </c>
    </row>
    <row r="46" ht="64" customHeight="1">
      <c r="B46" s="26">
        <f>IF(N46=1,37,"")</f>
      </c>
      <c r="C46" s="26">
        <f>IF(AND(N46=1,LEN(TRIM('DATOS'!B46&amp;""))&gt;0),'DATOS'!B46,"")</f>
      </c>
      <c r="D46" s="26">
        <f>IF(AND(N46=1,LEN(TRIM('DATOS'!C46&amp;""))&gt;0),'DATOS'!C46,"")</f>
      </c>
      <c r="E46" s="26">
        <f>IF(NOT(ISNUMBER(P46)),"",IF(P46=2,"ROJO",IF(P46=1,"ÁMBAR","VERDE")))</f>
      </c>
      <c r="F46" s="26">
        <f>IF(NOT(ISNUMBER(Q46)),"",IF(Q46=2,"ROJO",IF(Q46=1,"ÁMBAR","VERDE")))</f>
      </c>
      <c r="G46" s="26">
        <f>IF(NOT(ISNUMBER(R46)),"",IF(R46=2,"ROJO",IF(R46=1,"ÁMBAR","VERDE")))</f>
      </c>
      <c r="H46" s="26">
        <f>IF(NOT(ISNUMBER(S46)),"",IF(S46=2,"ROJO",IF(S46=1,"ÁMBAR","VERDE")))</f>
      </c>
      <c r="I46" s="26">
        <f>IF(NOT(ISNUMBER(T46)),"",IF(T46=2,"ROJO",IF(T46=1,"ÁMBAR","VERDE")))</f>
      </c>
      <c r="J46" s="26">
        <f>IF(NOT(ISNUMBER(O46)),"",IF(O46=2,"ROJO",IF(O46=1,"ÁMBAR","VERDE")))</f>
      </c>
      <c r="K46" s="26">
        <f>IFERROR(IF(AND(N46=1,LEN(TRIM('DATOS'!N46&amp;""))&gt;0),'DATOS'!N46,""),"Hay una entrada con error. Corregimos el dato antes de cerrar la comprobación.")</f>
      </c>
      <c r="L46" s="26">
        <f>IFERROR(IF(N46=0,"",IF(O46&gt;0,"Completamos datos, claves o motivo. ","")&amp;IF(P46&gt;0,"Cotejamos precios e importe. ","")&amp;IF(Q46&gt;0,"Aclaramos el cero. ","")&amp;IF(R46&gt;0,"Comprobamos el texto. ","")&amp;IF(S46&gt;0,"Revisamos decimales visibles. ","")&amp;IF(T46&gt;0,"Confirmamos la unidad.","")),"Hay una entrada con error. Corregimos el dato antes de cerrar la comprobación.")</f>
      </c>
      <c r="N46" s="29" t="n">
        <f>IF(COUNTA('DATOS'!B46:O46)&gt;0,1,0)</f>
        <v>0</v>
      </c>
      <c r="O46" s="29">
        <f>IFERROR(IF(N46=0,"",IF(OR(NOT(AND(LEN(TRIM('DATOS'!B46&amp;""))&gt;0,TRIM('DATOS'!B46&amp;"")&lt;&gt;"Pendiente",TRIM('DATOS'!B46&amp;"")&lt;&gt;"Por confirmar",TRIM('DATOS'!B46&amp;"")&lt;&gt;"No consta",TRIM('DATOS'!B46&amp;"")&lt;&gt;"Desconocido",TRIM('DATOS'!B46&amp;"")&lt;&gt;"Sin confirmar",TRIM('DATOS'!B46&amp;"")&lt;&gt;"Por decidir",TRIM('DATOS'!B46&amp;"")&lt;&gt;"Por comprobar")),NOT(AND(LEN(TRIM('DATOS'!C46&amp;""))&gt;0,TRIM('DATOS'!C46&amp;"")&lt;&gt;"Pendiente",TRIM('DATOS'!C46&amp;"")&lt;&gt;"Por confirmar",TRIM('DATOS'!C46&amp;"")&lt;&gt;"No consta",TRIM('DATOS'!C46&amp;"")&lt;&gt;"Desconocido",TRIM('DATOS'!C46&amp;"")&lt;&gt;"Sin confirmar",TRIM('DATOS'!C46&amp;"")&lt;&gt;"Por decidir",TRIM('DATOS'!C46&amp;"")&lt;&gt;"Por comprobar")),NOT(AND(LEN(TRIM('DATOS'!D46&amp;""))&gt;0,TRIM('DATOS'!D46&amp;"")&lt;&gt;"Pendiente",TRIM('DATOS'!D46&amp;"")&lt;&gt;"Por confirmar",TRIM('DATOS'!D46&amp;"")&lt;&gt;"No consta",TRIM('DATOS'!D46&amp;"")&lt;&gt;"Desconocido",TRIM('DATOS'!D46&amp;"")&lt;&gt;"Sin confirmar",TRIM('DATOS'!D46&amp;"")&lt;&gt;"Por decidir",TRIM('DATOS'!D46&amp;"")&lt;&gt;"Por comprobar")),NOT(AND(LEN(TRIM('DATOS'!E46&amp;""))&gt;0,TRIM('DATOS'!E46&amp;"")&lt;&gt;"Pendiente",TRIM('DATOS'!E46&amp;"")&lt;&gt;"Por confirmar",TRIM('DATOS'!E46&amp;"")&lt;&gt;"No consta",TRIM('DATOS'!E46&amp;"")&lt;&gt;"Desconocido",TRIM('DATOS'!E46&amp;"")&lt;&gt;"Sin confirmar",TRIM('DATOS'!E46&amp;"")&lt;&gt;"Por decidir",TRIM('DATOS'!E46&amp;"")&lt;&gt;"Por comprobar")),NOT(AND(LEN(TRIM('DATOS'!F46&amp;""))&gt;0,TRIM('DATOS'!F46&amp;"")&lt;&gt;"Pendiente",TRIM('DATOS'!F46&amp;"")&lt;&gt;"Por confirmar",TRIM('DATOS'!F46&amp;"")&lt;&gt;"No consta",TRIM('DATOS'!F46&amp;"")&lt;&gt;"Desconocido",TRIM('DATOS'!F46&amp;"")&lt;&gt;"Sin confirmar",TRIM('DATOS'!F46&amp;"")&lt;&gt;"Por decidir",TRIM('DATOS'!F46&amp;"")&lt;&gt;"Por comprobar")),NOT(AND(LEN(TRIM('DATOS'!N46&amp;""))&gt;0,TRIM('DATOS'!N46&amp;"")&lt;&gt;"Pendiente",TRIM('DATOS'!N46&amp;"")&lt;&gt;"Por confirmar",TRIM('DATOS'!N46&amp;"")&lt;&gt;"No consta",TRIM('DATOS'!N46&amp;"")&lt;&gt;"Desconocido",TRIM('DATOS'!N46&amp;"")&lt;&gt;"Sin confirmar",TRIM('DATOS'!N46&amp;"")&lt;&gt;"Por decidir",TRIM('DATOS'!N46&amp;"")&lt;&gt;"Por comprobar")),NOT(Y46=1),W46&lt;&gt;1,X46&gt;1,NOT(OR(LEN(TRIM('DATOS'!K46&amp;""))=0,'DATOS'!K46="Sin valorar",'DATOS'!K46="Sin coste documentado",'DATOS'!K46="Incluido en otra partida",'DATOS'!K46="Por confirmar")),NOT(OR(LEN(TRIM('DATOS'!M46&amp;""))=0,'DATOS'!M46="Sí",'DATOS'!M46="No",'DATOS'!M46="Por confirmar")),NOT(OR(LEN(TRIM('DATOS'!O46&amp;""))=0,'DATOS'!O46="Comparamos",'DATOS'!O46="No existe",'DATOS'!O46="Por confirmar"))),2,IF(AND(OR('DATOS'!G46&lt;0,'DATOS'!H46&lt;0,'DATOS'!J46&lt;0),NOT(AND(LEN(TRIM('DATOS'!L46&amp;""))&gt;0,TRIM('DATOS'!L46&amp;"")&lt;&gt;"Pendiente",TRIM('DATOS'!L46&amp;"")&lt;&gt;"Por confirmar",TRIM('DATOS'!L46&amp;"")&lt;&gt;"No consta",TRIM('DATOS'!L46&amp;"")&lt;&gt;"Desconocido",TRIM('DATOS'!L46&amp;"")&lt;&gt;"Sin confirmar",TRIM('DATOS'!L46&amp;"")&lt;&gt;"Por decidir",TRIM('DATOS'!L46&amp;"")&lt;&gt;"Por comprobar"))),1,0))),2)</f>
      </c>
      <c r="P46" s="29">
        <f>IFERROR(IF(N46=0,"",IF(NOT(Y46=1),1,IF('REFERENCIAS'!$Q$8&lt;&gt;1,2,IF(ABS('DATOS'!J46-ROUND('DATOS'!G46*'DATOS'!H46,'REFERENCIAS'!$K$8))&gt;0.00000001,2,IF('DATOS'!O46="No existe",IF(LEN(TRIM('DATOS'!I46&amp;""))=0,0,2),IF('DATOS'!O46="Comparamos",IF(LEN(TRIM('DATOS'!I46&amp;""))=0,1,IF(ISNUMBER('DATOS'!I46),IF(ABS('DATOS'!H46-'DATOS'!I46)&gt;0.00000001,2,0),2)),1)))))),2)</f>
      </c>
      <c r="Q46" s="29">
        <f>IFERROR(IF(N46=0,"",IF(NOT(Y46=1),1,IF('DATOS'!K46="Sin valorar",2,IF('DATOS'!G46=0,1,IF(OR('DATOS'!H46=0,'DATOS'!J46=0),IF(AND(OR('DATOS'!K46="Sin coste documentado",'DATOS'!K46="Incluido en otra partida"),AND(LEN(TRIM('DATOS'!L46&amp;""))&gt;0,TRIM('DATOS'!L46&amp;"")&lt;&gt;"Pendiente",TRIM('DATOS'!L46&amp;"")&lt;&gt;"Por confirmar",TRIM('DATOS'!L46&amp;"")&lt;&gt;"No consta",TRIM('DATOS'!L46&amp;"")&lt;&gt;"Desconocido",TRIM('DATOS'!L46&amp;"")&lt;&gt;"Sin confirmar",TRIM('DATOS'!L46&amp;"")&lt;&gt;"Por decidir",TRIM('DATOS'!L46&amp;"")&lt;&gt;"Por comprobar")),0,1),0))))),2)</f>
      </c>
      <c r="R46" s="29">
        <f>IFERROR(IF(N46=0,"",IF(OR(NOT(AND(LEN(TRIM('DATOS'!D46&amp;""))&gt;0,TRIM('DATOS'!D46&amp;"")&lt;&gt;"Pendiente",TRIM('DATOS'!D46&amp;"")&lt;&gt;"Por confirmar",TRIM('DATOS'!D46&amp;"")&lt;&gt;"No consta",TRIM('DATOS'!D46&amp;"")&lt;&gt;"Desconocido",TRIM('DATOS'!D46&amp;"")&lt;&gt;"Sin confirmar",TRIM('DATOS'!D46&amp;"")&lt;&gt;"Por decidir",TRIM('DATOS'!D46&amp;"")&lt;&gt;"Por comprobar")),NOT(AND(LEN(TRIM('DATOS'!E46&amp;""))&gt;0,TRIM('DATOS'!E46&amp;"")&lt;&gt;"Pendiente",TRIM('DATOS'!E46&amp;"")&lt;&gt;"Por confirmar",TRIM('DATOS'!E46&amp;"")&lt;&gt;"No consta",TRIM('DATOS'!E46&amp;"")&lt;&gt;"Desconocido",TRIM('DATOS'!E46&amp;"")&lt;&gt;"Sin confirmar",TRIM('DATOS'!E46&amp;"")&lt;&gt;"Por decidir",TRIM('DATOS'!E46&amp;"")&lt;&gt;"Por comprobar"))),2,IF('DATOS'!M46="No",2,IF('DATOS'!M46="Sí",0,IF(OR('DATOS'!D46&lt;&gt;'DATOS'!E46,LEN('DATOS'!E46)&gt;300,RIGHT(TRIM('DATOS'!E46),3)="...",RIGHT(TRIM('DATOS'!E46),1)="…"),1,0))))),2)</f>
      </c>
      <c r="S46" s="29">
        <f>IFERROR(IF(N46=0,"",IF('REFERENCIAS'!$Q$8&lt;&gt;1,2,IF(NOT(Y46=1),1,IF(OR(ABS('DATOS'!G46-ROUND('DATOS'!G46,'REFERENCIAS'!$E$8))&gt;0.00000001,ABS('DATOS'!H46-ROUND('DATOS'!H46,'REFERENCIAS'!$H$8))&gt;0.00000001,ABS('DATOS'!J46-ROUND('DATOS'!J46,'REFERENCIAS'!$K$8))&gt;0.00000001,IF(ISNUMBER('DATOS'!I46),ABS('DATOS'!I46-ROUND('DATOS'!I46,'REFERENCIAS'!$H$8))&gt;0.00000001,FALSE)),1,0)))),2)</f>
      </c>
      <c r="T46" s="29">
        <f>IFERROR(IF(N46=0,"",IF(NOT(AND(LEN(TRIM('DATOS'!F46&amp;""))&gt;0,TRIM('DATOS'!F46&amp;"")&lt;&gt;"Pendiente",TRIM('DATOS'!F46&amp;"")&lt;&gt;"Por confirmar",TRIM('DATOS'!F46&amp;"")&lt;&gt;"No consta",TRIM('DATOS'!F46&amp;"")&lt;&gt;"Desconocido",TRIM('DATOS'!F46&amp;"")&lt;&gt;"Sin confirmar",TRIM('DATOS'!F46&amp;"")&lt;&gt;"Por decidir",TRIM('DATOS'!F46&amp;"")&lt;&gt;"Por comprobar")),2,IF(COUNTIFS('REFERENCIAS'!$T$15:$T$34,"ID:"&amp;SUBSTITUTE(SUBSTITUTE(SUBSTITUTE(SUBSTITUTE(UPPER(TRIM('DATOS'!F46&amp;"")),"!","!E"),"*","!A"),"?","!B"),"~","!C"),'REFERENCIAS'!$H$15:$H$34,"&lt;&gt;")&gt;0,0,1))),2)</f>
      </c>
      <c r="U46" s="29" t="str">
        <f>'DATOS'!R46</f>
        <v>ID:</v>
      </c>
      <c r="V46" s="29" t="str">
        <f>'DATOS'!S46</f>
        <v>ID:</v>
      </c>
      <c r="W46" s="29" t="n">
        <f>IF(N46=0,0,COUNTIFS('REFERENCIAS'!$R$15:$R$64,U46))</f>
        <v>0</v>
      </c>
      <c r="X46" s="29" t="n">
        <f>IF(N46=0,0,COUNTIFS('DATOS'!$R$10:$R$509,U46,'DATOS'!$S$10:$S$509,V46))</f>
        <v>0</v>
      </c>
      <c r="Y46" s="29" t="n">
        <f>IF(AND(ISNUMBER('DATOS'!G46),ISNUMBER('DATOS'!H46),ISNUMBER('DATOS'!J46)),1,0)</f>
        <v>0</v>
      </c>
    </row>
    <row r="47" ht="64" customHeight="1">
      <c r="B47" s="26">
        <f>IF(N47=1,38,"")</f>
      </c>
      <c r="C47" s="26">
        <f>IF(AND(N47=1,LEN(TRIM('DATOS'!B47&amp;""))&gt;0),'DATOS'!B47,"")</f>
      </c>
      <c r="D47" s="26">
        <f>IF(AND(N47=1,LEN(TRIM('DATOS'!C47&amp;""))&gt;0),'DATOS'!C47,"")</f>
      </c>
      <c r="E47" s="26">
        <f>IF(NOT(ISNUMBER(P47)),"",IF(P47=2,"ROJO",IF(P47=1,"ÁMBAR","VERDE")))</f>
      </c>
      <c r="F47" s="26">
        <f>IF(NOT(ISNUMBER(Q47)),"",IF(Q47=2,"ROJO",IF(Q47=1,"ÁMBAR","VERDE")))</f>
      </c>
      <c r="G47" s="26">
        <f>IF(NOT(ISNUMBER(R47)),"",IF(R47=2,"ROJO",IF(R47=1,"ÁMBAR","VERDE")))</f>
      </c>
      <c r="H47" s="26">
        <f>IF(NOT(ISNUMBER(S47)),"",IF(S47=2,"ROJO",IF(S47=1,"ÁMBAR","VERDE")))</f>
      </c>
      <c r="I47" s="26">
        <f>IF(NOT(ISNUMBER(T47)),"",IF(T47=2,"ROJO",IF(T47=1,"ÁMBAR","VERDE")))</f>
      </c>
      <c r="J47" s="26">
        <f>IF(NOT(ISNUMBER(O47)),"",IF(O47=2,"ROJO",IF(O47=1,"ÁMBAR","VERDE")))</f>
      </c>
      <c r="K47" s="26">
        <f>IFERROR(IF(AND(N47=1,LEN(TRIM('DATOS'!N47&amp;""))&gt;0),'DATOS'!N47,""),"Hay una entrada con error. Corregimos el dato antes de cerrar la comprobación.")</f>
      </c>
      <c r="L47" s="26">
        <f>IFERROR(IF(N47=0,"",IF(O47&gt;0,"Completamos datos, claves o motivo. ","")&amp;IF(P47&gt;0,"Cotejamos precios e importe. ","")&amp;IF(Q47&gt;0,"Aclaramos el cero. ","")&amp;IF(R47&gt;0,"Comprobamos el texto. ","")&amp;IF(S47&gt;0,"Revisamos decimales visibles. ","")&amp;IF(T47&gt;0,"Confirmamos la unidad.","")),"Hay una entrada con error. Corregimos el dato antes de cerrar la comprobación.")</f>
      </c>
      <c r="N47" s="29" t="n">
        <f>IF(COUNTA('DATOS'!B47:O47)&gt;0,1,0)</f>
        <v>0</v>
      </c>
      <c r="O47" s="29">
        <f>IFERROR(IF(N47=0,"",IF(OR(NOT(AND(LEN(TRIM('DATOS'!B47&amp;""))&gt;0,TRIM('DATOS'!B47&amp;"")&lt;&gt;"Pendiente",TRIM('DATOS'!B47&amp;"")&lt;&gt;"Por confirmar",TRIM('DATOS'!B47&amp;"")&lt;&gt;"No consta",TRIM('DATOS'!B47&amp;"")&lt;&gt;"Desconocido",TRIM('DATOS'!B47&amp;"")&lt;&gt;"Sin confirmar",TRIM('DATOS'!B47&amp;"")&lt;&gt;"Por decidir",TRIM('DATOS'!B47&amp;"")&lt;&gt;"Por comprobar")),NOT(AND(LEN(TRIM('DATOS'!C47&amp;""))&gt;0,TRIM('DATOS'!C47&amp;"")&lt;&gt;"Pendiente",TRIM('DATOS'!C47&amp;"")&lt;&gt;"Por confirmar",TRIM('DATOS'!C47&amp;"")&lt;&gt;"No consta",TRIM('DATOS'!C47&amp;"")&lt;&gt;"Desconocido",TRIM('DATOS'!C47&amp;"")&lt;&gt;"Sin confirmar",TRIM('DATOS'!C47&amp;"")&lt;&gt;"Por decidir",TRIM('DATOS'!C47&amp;"")&lt;&gt;"Por comprobar")),NOT(AND(LEN(TRIM('DATOS'!D47&amp;""))&gt;0,TRIM('DATOS'!D47&amp;"")&lt;&gt;"Pendiente",TRIM('DATOS'!D47&amp;"")&lt;&gt;"Por confirmar",TRIM('DATOS'!D47&amp;"")&lt;&gt;"No consta",TRIM('DATOS'!D47&amp;"")&lt;&gt;"Desconocido",TRIM('DATOS'!D47&amp;"")&lt;&gt;"Sin confirmar",TRIM('DATOS'!D47&amp;"")&lt;&gt;"Por decidir",TRIM('DATOS'!D47&amp;"")&lt;&gt;"Por comprobar")),NOT(AND(LEN(TRIM('DATOS'!E47&amp;""))&gt;0,TRIM('DATOS'!E47&amp;"")&lt;&gt;"Pendiente",TRIM('DATOS'!E47&amp;"")&lt;&gt;"Por confirmar",TRIM('DATOS'!E47&amp;"")&lt;&gt;"No consta",TRIM('DATOS'!E47&amp;"")&lt;&gt;"Desconocido",TRIM('DATOS'!E47&amp;"")&lt;&gt;"Sin confirmar",TRIM('DATOS'!E47&amp;"")&lt;&gt;"Por decidir",TRIM('DATOS'!E47&amp;"")&lt;&gt;"Por comprobar")),NOT(AND(LEN(TRIM('DATOS'!F47&amp;""))&gt;0,TRIM('DATOS'!F47&amp;"")&lt;&gt;"Pendiente",TRIM('DATOS'!F47&amp;"")&lt;&gt;"Por confirmar",TRIM('DATOS'!F47&amp;"")&lt;&gt;"No consta",TRIM('DATOS'!F47&amp;"")&lt;&gt;"Desconocido",TRIM('DATOS'!F47&amp;"")&lt;&gt;"Sin confirmar",TRIM('DATOS'!F47&amp;"")&lt;&gt;"Por decidir",TRIM('DATOS'!F47&amp;"")&lt;&gt;"Por comprobar")),NOT(AND(LEN(TRIM('DATOS'!N47&amp;""))&gt;0,TRIM('DATOS'!N47&amp;"")&lt;&gt;"Pendiente",TRIM('DATOS'!N47&amp;"")&lt;&gt;"Por confirmar",TRIM('DATOS'!N47&amp;"")&lt;&gt;"No consta",TRIM('DATOS'!N47&amp;"")&lt;&gt;"Desconocido",TRIM('DATOS'!N47&amp;"")&lt;&gt;"Sin confirmar",TRIM('DATOS'!N47&amp;"")&lt;&gt;"Por decidir",TRIM('DATOS'!N47&amp;"")&lt;&gt;"Por comprobar")),NOT(Y47=1),W47&lt;&gt;1,X47&gt;1,NOT(OR(LEN(TRIM('DATOS'!K47&amp;""))=0,'DATOS'!K47="Sin valorar",'DATOS'!K47="Sin coste documentado",'DATOS'!K47="Incluido en otra partida",'DATOS'!K47="Por confirmar")),NOT(OR(LEN(TRIM('DATOS'!M47&amp;""))=0,'DATOS'!M47="Sí",'DATOS'!M47="No",'DATOS'!M47="Por confirmar")),NOT(OR(LEN(TRIM('DATOS'!O47&amp;""))=0,'DATOS'!O47="Comparamos",'DATOS'!O47="No existe",'DATOS'!O47="Por confirmar"))),2,IF(AND(OR('DATOS'!G47&lt;0,'DATOS'!H47&lt;0,'DATOS'!J47&lt;0),NOT(AND(LEN(TRIM('DATOS'!L47&amp;""))&gt;0,TRIM('DATOS'!L47&amp;"")&lt;&gt;"Pendiente",TRIM('DATOS'!L47&amp;"")&lt;&gt;"Por confirmar",TRIM('DATOS'!L47&amp;"")&lt;&gt;"No consta",TRIM('DATOS'!L47&amp;"")&lt;&gt;"Desconocido",TRIM('DATOS'!L47&amp;"")&lt;&gt;"Sin confirmar",TRIM('DATOS'!L47&amp;"")&lt;&gt;"Por decidir",TRIM('DATOS'!L47&amp;"")&lt;&gt;"Por comprobar"))),1,0))),2)</f>
      </c>
      <c r="P47" s="29">
        <f>IFERROR(IF(N47=0,"",IF(NOT(Y47=1),1,IF('REFERENCIAS'!$Q$8&lt;&gt;1,2,IF(ABS('DATOS'!J47-ROUND('DATOS'!G47*'DATOS'!H47,'REFERENCIAS'!$K$8))&gt;0.00000001,2,IF('DATOS'!O47="No existe",IF(LEN(TRIM('DATOS'!I47&amp;""))=0,0,2),IF('DATOS'!O47="Comparamos",IF(LEN(TRIM('DATOS'!I47&amp;""))=0,1,IF(ISNUMBER('DATOS'!I47),IF(ABS('DATOS'!H47-'DATOS'!I47)&gt;0.00000001,2,0),2)),1)))))),2)</f>
      </c>
      <c r="Q47" s="29">
        <f>IFERROR(IF(N47=0,"",IF(NOT(Y47=1),1,IF('DATOS'!K47="Sin valorar",2,IF('DATOS'!G47=0,1,IF(OR('DATOS'!H47=0,'DATOS'!J47=0),IF(AND(OR('DATOS'!K47="Sin coste documentado",'DATOS'!K47="Incluido en otra partida"),AND(LEN(TRIM('DATOS'!L47&amp;""))&gt;0,TRIM('DATOS'!L47&amp;"")&lt;&gt;"Pendiente",TRIM('DATOS'!L47&amp;"")&lt;&gt;"Por confirmar",TRIM('DATOS'!L47&amp;"")&lt;&gt;"No consta",TRIM('DATOS'!L47&amp;"")&lt;&gt;"Desconocido",TRIM('DATOS'!L47&amp;"")&lt;&gt;"Sin confirmar",TRIM('DATOS'!L47&amp;"")&lt;&gt;"Por decidir",TRIM('DATOS'!L47&amp;"")&lt;&gt;"Por comprobar")),0,1),0))))),2)</f>
      </c>
      <c r="R47" s="29">
        <f>IFERROR(IF(N47=0,"",IF(OR(NOT(AND(LEN(TRIM('DATOS'!D47&amp;""))&gt;0,TRIM('DATOS'!D47&amp;"")&lt;&gt;"Pendiente",TRIM('DATOS'!D47&amp;"")&lt;&gt;"Por confirmar",TRIM('DATOS'!D47&amp;"")&lt;&gt;"No consta",TRIM('DATOS'!D47&amp;"")&lt;&gt;"Desconocido",TRIM('DATOS'!D47&amp;"")&lt;&gt;"Sin confirmar",TRIM('DATOS'!D47&amp;"")&lt;&gt;"Por decidir",TRIM('DATOS'!D47&amp;"")&lt;&gt;"Por comprobar")),NOT(AND(LEN(TRIM('DATOS'!E47&amp;""))&gt;0,TRIM('DATOS'!E47&amp;"")&lt;&gt;"Pendiente",TRIM('DATOS'!E47&amp;"")&lt;&gt;"Por confirmar",TRIM('DATOS'!E47&amp;"")&lt;&gt;"No consta",TRIM('DATOS'!E47&amp;"")&lt;&gt;"Desconocido",TRIM('DATOS'!E47&amp;"")&lt;&gt;"Sin confirmar",TRIM('DATOS'!E47&amp;"")&lt;&gt;"Por decidir",TRIM('DATOS'!E47&amp;"")&lt;&gt;"Por comprobar"))),2,IF('DATOS'!M47="No",2,IF('DATOS'!M47="Sí",0,IF(OR('DATOS'!D47&lt;&gt;'DATOS'!E47,LEN('DATOS'!E47)&gt;300,RIGHT(TRIM('DATOS'!E47),3)="...",RIGHT(TRIM('DATOS'!E47),1)="…"),1,0))))),2)</f>
      </c>
      <c r="S47" s="29">
        <f>IFERROR(IF(N47=0,"",IF('REFERENCIAS'!$Q$8&lt;&gt;1,2,IF(NOT(Y47=1),1,IF(OR(ABS('DATOS'!G47-ROUND('DATOS'!G47,'REFERENCIAS'!$E$8))&gt;0.00000001,ABS('DATOS'!H47-ROUND('DATOS'!H47,'REFERENCIAS'!$H$8))&gt;0.00000001,ABS('DATOS'!J47-ROUND('DATOS'!J47,'REFERENCIAS'!$K$8))&gt;0.00000001,IF(ISNUMBER('DATOS'!I47),ABS('DATOS'!I47-ROUND('DATOS'!I47,'REFERENCIAS'!$H$8))&gt;0.00000001,FALSE)),1,0)))),2)</f>
      </c>
      <c r="T47" s="29">
        <f>IFERROR(IF(N47=0,"",IF(NOT(AND(LEN(TRIM('DATOS'!F47&amp;""))&gt;0,TRIM('DATOS'!F47&amp;"")&lt;&gt;"Pendiente",TRIM('DATOS'!F47&amp;"")&lt;&gt;"Por confirmar",TRIM('DATOS'!F47&amp;"")&lt;&gt;"No consta",TRIM('DATOS'!F47&amp;"")&lt;&gt;"Desconocido",TRIM('DATOS'!F47&amp;"")&lt;&gt;"Sin confirmar",TRIM('DATOS'!F47&amp;"")&lt;&gt;"Por decidir",TRIM('DATOS'!F47&amp;"")&lt;&gt;"Por comprobar")),2,IF(COUNTIFS('REFERENCIAS'!$T$15:$T$34,"ID:"&amp;SUBSTITUTE(SUBSTITUTE(SUBSTITUTE(SUBSTITUTE(UPPER(TRIM('DATOS'!F47&amp;"")),"!","!E"),"*","!A"),"?","!B"),"~","!C"),'REFERENCIAS'!$H$15:$H$34,"&lt;&gt;")&gt;0,0,1))),2)</f>
      </c>
      <c r="U47" s="29" t="str">
        <f>'DATOS'!R47</f>
        <v>ID:</v>
      </c>
      <c r="V47" s="29" t="str">
        <f>'DATOS'!S47</f>
        <v>ID:</v>
      </c>
      <c r="W47" s="29" t="n">
        <f>IF(N47=0,0,COUNTIFS('REFERENCIAS'!$R$15:$R$64,U47))</f>
        <v>0</v>
      </c>
      <c r="X47" s="29" t="n">
        <f>IF(N47=0,0,COUNTIFS('DATOS'!$R$10:$R$509,U47,'DATOS'!$S$10:$S$509,V47))</f>
        <v>0</v>
      </c>
      <c r="Y47" s="29" t="n">
        <f>IF(AND(ISNUMBER('DATOS'!G47),ISNUMBER('DATOS'!H47),ISNUMBER('DATOS'!J47)),1,0)</f>
        <v>0</v>
      </c>
    </row>
    <row r="48" ht="64" customHeight="1">
      <c r="B48" s="26">
        <f>IF(N48=1,39,"")</f>
      </c>
      <c r="C48" s="26">
        <f>IF(AND(N48=1,LEN(TRIM('DATOS'!B48&amp;""))&gt;0),'DATOS'!B48,"")</f>
      </c>
      <c r="D48" s="26">
        <f>IF(AND(N48=1,LEN(TRIM('DATOS'!C48&amp;""))&gt;0),'DATOS'!C48,"")</f>
      </c>
      <c r="E48" s="26">
        <f>IF(NOT(ISNUMBER(P48)),"",IF(P48=2,"ROJO",IF(P48=1,"ÁMBAR","VERDE")))</f>
      </c>
      <c r="F48" s="26">
        <f>IF(NOT(ISNUMBER(Q48)),"",IF(Q48=2,"ROJO",IF(Q48=1,"ÁMBAR","VERDE")))</f>
      </c>
      <c r="G48" s="26">
        <f>IF(NOT(ISNUMBER(R48)),"",IF(R48=2,"ROJO",IF(R48=1,"ÁMBAR","VERDE")))</f>
      </c>
      <c r="H48" s="26">
        <f>IF(NOT(ISNUMBER(S48)),"",IF(S48=2,"ROJO",IF(S48=1,"ÁMBAR","VERDE")))</f>
      </c>
      <c r="I48" s="26">
        <f>IF(NOT(ISNUMBER(T48)),"",IF(T48=2,"ROJO",IF(T48=1,"ÁMBAR","VERDE")))</f>
      </c>
      <c r="J48" s="26">
        <f>IF(NOT(ISNUMBER(O48)),"",IF(O48=2,"ROJO",IF(O48=1,"ÁMBAR","VERDE")))</f>
      </c>
      <c r="K48" s="26">
        <f>IFERROR(IF(AND(N48=1,LEN(TRIM('DATOS'!N48&amp;""))&gt;0),'DATOS'!N48,""),"Hay una entrada con error. Corregimos el dato antes de cerrar la comprobación.")</f>
      </c>
      <c r="L48" s="26">
        <f>IFERROR(IF(N48=0,"",IF(O48&gt;0,"Completamos datos, claves o motivo. ","")&amp;IF(P48&gt;0,"Cotejamos precios e importe. ","")&amp;IF(Q48&gt;0,"Aclaramos el cero. ","")&amp;IF(R48&gt;0,"Comprobamos el texto. ","")&amp;IF(S48&gt;0,"Revisamos decimales visibles. ","")&amp;IF(T48&gt;0,"Confirmamos la unidad.","")),"Hay una entrada con error. Corregimos el dato antes de cerrar la comprobación.")</f>
      </c>
      <c r="N48" s="29" t="n">
        <f>IF(COUNTA('DATOS'!B48:O48)&gt;0,1,0)</f>
        <v>0</v>
      </c>
      <c r="O48" s="29">
        <f>IFERROR(IF(N48=0,"",IF(OR(NOT(AND(LEN(TRIM('DATOS'!B48&amp;""))&gt;0,TRIM('DATOS'!B48&amp;"")&lt;&gt;"Pendiente",TRIM('DATOS'!B48&amp;"")&lt;&gt;"Por confirmar",TRIM('DATOS'!B48&amp;"")&lt;&gt;"No consta",TRIM('DATOS'!B48&amp;"")&lt;&gt;"Desconocido",TRIM('DATOS'!B48&amp;"")&lt;&gt;"Sin confirmar",TRIM('DATOS'!B48&amp;"")&lt;&gt;"Por decidir",TRIM('DATOS'!B48&amp;"")&lt;&gt;"Por comprobar")),NOT(AND(LEN(TRIM('DATOS'!C48&amp;""))&gt;0,TRIM('DATOS'!C48&amp;"")&lt;&gt;"Pendiente",TRIM('DATOS'!C48&amp;"")&lt;&gt;"Por confirmar",TRIM('DATOS'!C48&amp;"")&lt;&gt;"No consta",TRIM('DATOS'!C48&amp;"")&lt;&gt;"Desconocido",TRIM('DATOS'!C48&amp;"")&lt;&gt;"Sin confirmar",TRIM('DATOS'!C48&amp;"")&lt;&gt;"Por decidir",TRIM('DATOS'!C48&amp;"")&lt;&gt;"Por comprobar")),NOT(AND(LEN(TRIM('DATOS'!D48&amp;""))&gt;0,TRIM('DATOS'!D48&amp;"")&lt;&gt;"Pendiente",TRIM('DATOS'!D48&amp;"")&lt;&gt;"Por confirmar",TRIM('DATOS'!D48&amp;"")&lt;&gt;"No consta",TRIM('DATOS'!D48&amp;"")&lt;&gt;"Desconocido",TRIM('DATOS'!D48&amp;"")&lt;&gt;"Sin confirmar",TRIM('DATOS'!D48&amp;"")&lt;&gt;"Por decidir",TRIM('DATOS'!D48&amp;"")&lt;&gt;"Por comprobar")),NOT(AND(LEN(TRIM('DATOS'!E48&amp;""))&gt;0,TRIM('DATOS'!E48&amp;"")&lt;&gt;"Pendiente",TRIM('DATOS'!E48&amp;"")&lt;&gt;"Por confirmar",TRIM('DATOS'!E48&amp;"")&lt;&gt;"No consta",TRIM('DATOS'!E48&amp;"")&lt;&gt;"Desconocido",TRIM('DATOS'!E48&amp;"")&lt;&gt;"Sin confirmar",TRIM('DATOS'!E48&amp;"")&lt;&gt;"Por decidir",TRIM('DATOS'!E48&amp;"")&lt;&gt;"Por comprobar")),NOT(AND(LEN(TRIM('DATOS'!F48&amp;""))&gt;0,TRIM('DATOS'!F48&amp;"")&lt;&gt;"Pendiente",TRIM('DATOS'!F48&amp;"")&lt;&gt;"Por confirmar",TRIM('DATOS'!F48&amp;"")&lt;&gt;"No consta",TRIM('DATOS'!F48&amp;"")&lt;&gt;"Desconocido",TRIM('DATOS'!F48&amp;"")&lt;&gt;"Sin confirmar",TRIM('DATOS'!F48&amp;"")&lt;&gt;"Por decidir",TRIM('DATOS'!F48&amp;"")&lt;&gt;"Por comprobar")),NOT(AND(LEN(TRIM('DATOS'!N48&amp;""))&gt;0,TRIM('DATOS'!N48&amp;"")&lt;&gt;"Pendiente",TRIM('DATOS'!N48&amp;"")&lt;&gt;"Por confirmar",TRIM('DATOS'!N48&amp;"")&lt;&gt;"No consta",TRIM('DATOS'!N48&amp;"")&lt;&gt;"Desconocido",TRIM('DATOS'!N48&amp;"")&lt;&gt;"Sin confirmar",TRIM('DATOS'!N48&amp;"")&lt;&gt;"Por decidir",TRIM('DATOS'!N48&amp;"")&lt;&gt;"Por comprobar")),NOT(Y48=1),W48&lt;&gt;1,X48&gt;1,NOT(OR(LEN(TRIM('DATOS'!K48&amp;""))=0,'DATOS'!K48="Sin valorar",'DATOS'!K48="Sin coste documentado",'DATOS'!K48="Incluido en otra partida",'DATOS'!K48="Por confirmar")),NOT(OR(LEN(TRIM('DATOS'!M48&amp;""))=0,'DATOS'!M48="Sí",'DATOS'!M48="No",'DATOS'!M48="Por confirmar")),NOT(OR(LEN(TRIM('DATOS'!O48&amp;""))=0,'DATOS'!O48="Comparamos",'DATOS'!O48="No existe",'DATOS'!O48="Por confirmar"))),2,IF(AND(OR('DATOS'!G48&lt;0,'DATOS'!H48&lt;0,'DATOS'!J48&lt;0),NOT(AND(LEN(TRIM('DATOS'!L48&amp;""))&gt;0,TRIM('DATOS'!L48&amp;"")&lt;&gt;"Pendiente",TRIM('DATOS'!L48&amp;"")&lt;&gt;"Por confirmar",TRIM('DATOS'!L48&amp;"")&lt;&gt;"No consta",TRIM('DATOS'!L48&amp;"")&lt;&gt;"Desconocido",TRIM('DATOS'!L48&amp;"")&lt;&gt;"Sin confirmar",TRIM('DATOS'!L48&amp;"")&lt;&gt;"Por decidir",TRIM('DATOS'!L48&amp;"")&lt;&gt;"Por comprobar"))),1,0))),2)</f>
      </c>
      <c r="P48" s="29">
        <f>IFERROR(IF(N48=0,"",IF(NOT(Y48=1),1,IF('REFERENCIAS'!$Q$8&lt;&gt;1,2,IF(ABS('DATOS'!J48-ROUND('DATOS'!G48*'DATOS'!H48,'REFERENCIAS'!$K$8))&gt;0.00000001,2,IF('DATOS'!O48="No existe",IF(LEN(TRIM('DATOS'!I48&amp;""))=0,0,2),IF('DATOS'!O48="Comparamos",IF(LEN(TRIM('DATOS'!I48&amp;""))=0,1,IF(ISNUMBER('DATOS'!I48),IF(ABS('DATOS'!H48-'DATOS'!I48)&gt;0.00000001,2,0),2)),1)))))),2)</f>
      </c>
      <c r="Q48" s="29">
        <f>IFERROR(IF(N48=0,"",IF(NOT(Y48=1),1,IF('DATOS'!K48="Sin valorar",2,IF('DATOS'!G48=0,1,IF(OR('DATOS'!H48=0,'DATOS'!J48=0),IF(AND(OR('DATOS'!K48="Sin coste documentado",'DATOS'!K48="Incluido en otra partida"),AND(LEN(TRIM('DATOS'!L48&amp;""))&gt;0,TRIM('DATOS'!L48&amp;"")&lt;&gt;"Pendiente",TRIM('DATOS'!L48&amp;"")&lt;&gt;"Por confirmar",TRIM('DATOS'!L48&amp;"")&lt;&gt;"No consta",TRIM('DATOS'!L48&amp;"")&lt;&gt;"Desconocido",TRIM('DATOS'!L48&amp;"")&lt;&gt;"Sin confirmar",TRIM('DATOS'!L48&amp;"")&lt;&gt;"Por decidir",TRIM('DATOS'!L48&amp;"")&lt;&gt;"Por comprobar")),0,1),0))))),2)</f>
      </c>
      <c r="R48" s="29">
        <f>IFERROR(IF(N48=0,"",IF(OR(NOT(AND(LEN(TRIM('DATOS'!D48&amp;""))&gt;0,TRIM('DATOS'!D48&amp;"")&lt;&gt;"Pendiente",TRIM('DATOS'!D48&amp;"")&lt;&gt;"Por confirmar",TRIM('DATOS'!D48&amp;"")&lt;&gt;"No consta",TRIM('DATOS'!D48&amp;"")&lt;&gt;"Desconocido",TRIM('DATOS'!D48&amp;"")&lt;&gt;"Sin confirmar",TRIM('DATOS'!D48&amp;"")&lt;&gt;"Por decidir",TRIM('DATOS'!D48&amp;"")&lt;&gt;"Por comprobar")),NOT(AND(LEN(TRIM('DATOS'!E48&amp;""))&gt;0,TRIM('DATOS'!E48&amp;"")&lt;&gt;"Pendiente",TRIM('DATOS'!E48&amp;"")&lt;&gt;"Por confirmar",TRIM('DATOS'!E48&amp;"")&lt;&gt;"No consta",TRIM('DATOS'!E48&amp;"")&lt;&gt;"Desconocido",TRIM('DATOS'!E48&amp;"")&lt;&gt;"Sin confirmar",TRIM('DATOS'!E48&amp;"")&lt;&gt;"Por decidir",TRIM('DATOS'!E48&amp;"")&lt;&gt;"Por comprobar"))),2,IF('DATOS'!M48="No",2,IF('DATOS'!M48="Sí",0,IF(OR('DATOS'!D48&lt;&gt;'DATOS'!E48,LEN('DATOS'!E48)&gt;300,RIGHT(TRIM('DATOS'!E48),3)="...",RIGHT(TRIM('DATOS'!E48),1)="…"),1,0))))),2)</f>
      </c>
      <c r="S48" s="29">
        <f>IFERROR(IF(N48=0,"",IF('REFERENCIAS'!$Q$8&lt;&gt;1,2,IF(NOT(Y48=1),1,IF(OR(ABS('DATOS'!G48-ROUND('DATOS'!G48,'REFERENCIAS'!$E$8))&gt;0.00000001,ABS('DATOS'!H48-ROUND('DATOS'!H48,'REFERENCIAS'!$H$8))&gt;0.00000001,ABS('DATOS'!J48-ROUND('DATOS'!J48,'REFERENCIAS'!$K$8))&gt;0.00000001,IF(ISNUMBER('DATOS'!I48),ABS('DATOS'!I48-ROUND('DATOS'!I48,'REFERENCIAS'!$H$8))&gt;0.00000001,FALSE)),1,0)))),2)</f>
      </c>
      <c r="T48" s="29">
        <f>IFERROR(IF(N48=0,"",IF(NOT(AND(LEN(TRIM('DATOS'!F48&amp;""))&gt;0,TRIM('DATOS'!F48&amp;"")&lt;&gt;"Pendiente",TRIM('DATOS'!F48&amp;"")&lt;&gt;"Por confirmar",TRIM('DATOS'!F48&amp;"")&lt;&gt;"No consta",TRIM('DATOS'!F48&amp;"")&lt;&gt;"Desconocido",TRIM('DATOS'!F48&amp;"")&lt;&gt;"Sin confirmar",TRIM('DATOS'!F48&amp;"")&lt;&gt;"Por decidir",TRIM('DATOS'!F48&amp;"")&lt;&gt;"Por comprobar")),2,IF(COUNTIFS('REFERENCIAS'!$T$15:$T$34,"ID:"&amp;SUBSTITUTE(SUBSTITUTE(SUBSTITUTE(SUBSTITUTE(UPPER(TRIM('DATOS'!F48&amp;"")),"!","!E"),"*","!A"),"?","!B"),"~","!C"),'REFERENCIAS'!$H$15:$H$34,"&lt;&gt;")&gt;0,0,1))),2)</f>
      </c>
      <c r="U48" s="29" t="str">
        <f>'DATOS'!R48</f>
        <v>ID:</v>
      </c>
      <c r="V48" s="29" t="str">
        <f>'DATOS'!S48</f>
        <v>ID:</v>
      </c>
      <c r="W48" s="29" t="n">
        <f>IF(N48=0,0,COUNTIFS('REFERENCIAS'!$R$15:$R$64,U48))</f>
        <v>0</v>
      </c>
      <c r="X48" s="29" t="n">
        <f>IF(N48=0,0,COUNTIFS('DATOS'!$R$10:$R$509,U48,'DATOS'!$S$10:$S$509,V48))</f>
        <v>0</v>
      </c>
      <c r="Y48" s="29" t="n">
        <f>IF(AND(ISNUMBER('DATOS'!G48),ISNUMBER('DATOS'!H48),ISNUMBER('DATOS'!J48)),1,0)</f>
        <v>0</v>
      </c>
    </row>
    <row r="49" ht="64" customHeight="1">
      <c r="B49" s="26">
        <f>IF(N49=1,40,"")</f>
      </c>
      <c r="C49" s="26">
        <f>IF(AND(N49=1,LEN(TRIM('DATOS'!B49&amp;""))&gt;0),'DATOS'!B49,"")</f>
      </c>
      <c r="D49" s="26">
        <f>IF(AND(N49=1,LEN(TRIM('DATOS'!C49&amp;""))&gt;0),'DATOS'!C49,"")</f>
      </c>
      <c r="E49" s="26">
        <f>IF(NOT(ISNUMBER(P49)),"",IF(P49=2,"ROJO",IF(P49=1,"ÁMBAR","VERDE")))</f>
      </c>
      <c r="F49" s="26">
        <f>IF(NOT(ISNUMBER(Q49)),"",IF(Q49=2,"ROJO",IF(Q49=1,"ÁMBAR","VERDE")))</f>
      </c>
      <c r="G49" s="26">
        <f>IF(NOT(ISNUMBER(R49)),"",IF(R49=2,"ROJO",IF(R49=1,"ÁMBAR","VERDE")))</f>
      </c>
      <c r="H49" s="26">
        <f>IF(NOT(ISNUMBER(S49)),"",IF(S49=2,"ROJO",IF(S49=1,"ÁMBAR","VERDE")))</f>
      </c>
      <c r="I49" s="26">
        <f>IF(NOT(ISNUMBER(T49)),"",IF(T49=2,"ROJO",IF(T49=1,"ÁMBAR","VERDE")))</f>
      </c>
      <c r="J49" s="26">
        <f>IF(NOT(ISNUMBER(O49)),"",IF(O49=2,"ROJO",IF(O49=1,"ÁMBAR","VERDE")))</f>
      </c>
      <c r="K49" s="26">
        <f>IFERROR(IF(AND(N49=1,LEN(TRIM('DATOS'!N49&amp;""))&gt;0),'DATOS'!N49,""),"Hay una entrada con error. Corregimos el dato antes de cerrar la comprobación.")</f>
      </c>
      <c r="L49" s="26">
        <f>IFERROR(IF(N49=0,"",IF(O49&gt;0,"Completamos datos, claves o motivo. ","")&amp;IF(P49&gt;0,"Cotejamos precios e importe. ","")&amp;IF(Q49&gt;0,"Aclaramos el cero. ","")&amp;IF(R49&gt;0,"Comprobamos el texto. ","")&amp;IF(S49&gt;0,"Revisamos decimales visibles. ","")&amp;IF(T49&gt;0,"Confirmamos la unidad.","")),"Hay una entrada con error. Corregimos el dato antes de cerrar la comprobación.")</f>
      </c>
      <c r="N49" s="29" t="n">
        <f>IF(COUNTA('DATOS'!B49:O49)&gt;0,1,0)</f>
        <v>0</v>
      </c>
      <c r="O49" s="29">
        <f>IFERROR(IF(N49=0,"",IF(OR(NOT(AND(LEN(TRIM('DATOS'!B49&amp;""))&gt;0,TRIM('DATOS'!B49&amp;"")&lt;&gt;"Pendiente",TRIM('DATOS'!B49&amp;"")&lt;&gt;"Por confirmar",TRIM('DATOS'!B49&amp;"")&lt;&gt;"No consta",TRIM('DATOS'!B49&amp;"")&lt;&gt;"Desconocido",TRIM('DATOS'!B49&amp;"")&lt;&gt;"Sin confirmar",TRIM('DATOS'!B49&amp;"")&lt;&gt;"Por decidir",TRIM('DATOS'!B49&amp;"")&lt;&gt;"Por comprobar")),NOT(AND(LEN(TRIM('DATOS'!C49&amp;""))&gt;0,TRIM('DATOS'!C49&amp;"")&lt;&gt;"Pendiente",TRIM('DATOS'!C49&amp;"")&lt;&gt;"Por confirmar",TRIM('DATOS'!C49&amp;"")&lt;&gt;"No consta",TRIM('DATOS'!C49&amp;"")&lt;&gt;"Desconocido",TRIM('DATOS'!C49&amp;"")&lt;&gt;"Sin confirmar",TRIM('DATOS'!C49&amp;"")&lt;&gt;"Por decidir",TRIM('DATOS'!C49&amp;"")&lt;&gt;"Por comprobar")),NOT(AND(LEN(TRIM('DATOS'!D49&amp;""))&gt;0,TRIM('DATOS'!D49&amp;"")&lt;&gt;"Pendiente",TRIM('DATOS'!D49&amp;"")&lt;&gt;"Por confirmar",TRIM('DATOS'!D49&amp;"")&lt;&gt;"No consta",TRIM('DATOS'!D49&amp;"")&lt;&gt;"Desconocido",TRIM('DATOS'!D49&amp;"")&lt;&gt;"Sin confirmar",TRIM('DATOS'!D49&amp;"")&lt;&gt;"Por decidir",TRIM('DATOS'!D49&amp;"")&lt;&gt;"Por comprobar")),NOT(AND(LEN(TRIM('DATOS'!E49&amp;""))&gt;0,TRIM('DATOS'!E49&amp;"")&lt;&gt;"Pendiente",TRIM('DATOS'!E49&amp;"")&lt;&gt;"Por confirmar",TRIM('DATOS'!E49&amp;"")&lt;&gt;"No consta",TRIM('DATOS'!E49&amp;"")&lt;&gt;"Desconocido",TRIM('DATOS'!E49&amp;"")&lt;&gt;"Sin confirmar",TRIM('DATOS'!E49&amp;"")&lt;&gt;"Por decidir",TRIM('DATOS'!E49&amp;"")&lt;&gt;"Por comprobar")),NOT(AND(LEN(TRIM('DATOS'!F49&amp;""))&gt;0,TRIM('DATOS'!F49&amp;"")&lt;&gt;"Pendiente",TRIM('DATOS'!F49&amp;"")&lt;&gt;"Por confirmar",TRIM('DATOS'!F49&amp;"")&lt;&gt;"No consta",TRIM('DATOS'!F49&amp;"")&lt;&gt;"Desconocido",TRIM('DATOS'!F49&amp;"")&lt;&gt;"Sin confirmar",TRIM('DATOS'!F49&amp;"")&lt;&gt;"Por decidir",TRIM('DATOS'!F49&amp;"")&lt;&gt;"Por comprobar")),NOT(AND(LEN(TRIM('DATOS'!N49&amp;""))&gt;0,TRIM('DATOS'!N49&amp;"")&lt;&gt;"Pendiente",TRIM('DATOS'!N49&amp;"")&lt;&gt;"Por confirmar",TRIM('DATOS'!N49&amp;"")&lt;&gt;"No consta",TRIM('DATOS'!N49&amp;"")&lt;&gt;"Desconocido",TRIM('DATOS'!N49&amp;"")&lt;&gt;"Sin confirmar",TRIM('DATOS'!N49&amp;"")&lt;&gt;"Por decidir",TRIM('DATOS'!N49&amp;"")&lt;&gt;"Por comprobar")),NOT(Y49=1),W49&lt;&gt;1,X49&gt;1,NOT(OR(LEN(TRIM('DATOS'!K49&amp;""))=0,'DATOS'!K49="Sin valorar",'DATOS'!K49="Sin coste documentado",'DATOS'!K49="Incluido en otra partida",'DATOS'!K49="Por confirmar")),NOT(OR(LEN(TRIM('DATOS'!M49&amp;""))=0,'DATOS'!M49="Sí",'DATOS'!M49="No",'DATOS'!M49="Por confirmar")),NOT(OR(LEN(TRIM('DATOS'!O49&amp;""))=0,'DATOS'!O49="Comparamos",'DATOS'!O49="No existe",'DATOS'!O49="Por confirmar"))),2,IF(AND(OR('DATOS'!G49&lt;0,'DATOS'!H49&lt;0,'DATOS'!J49&lt;0),NOT(AND(LEN(TRIM('DATOS'!L49&amp;""))&gt;0,TRIM('DATOS'!L49&amp;"")&lt;&gt;"Pendiente",TRIM('DATOS'!L49&amp;"")&lt;&gt;"Por confirmar",TRIM('DATOS'!L49&amp;"")&lt;&gt;"No consta",TRIM('DATOS'!L49&amp;"")&lt;&gt;"Desconocido",TRIM('DATOS'!L49&amp;"")&lt;&gt;"Sin confirmar",TRIM('DATOS'!L49&amp;"")&lt;&gt;"Por decidir",TRIM('DATOS'!L49&amp;"")&lt;&gt;"Por comprobar"))),1,0))),2)</f>
      </c>
      <c r="P49" s="29">
        <f>IFERROR(IF(N49=0,"",IF(NOT(Y49=1),1,IF('REFERENCIAS'!$Q$8&lt;&gt;1,2,IF(ABS('DATOS'!J49-ROUND('DATOS'!G49*'DATOS'!H49,'REFERENCIAS'!$K$8))&gt;0.00000001,2,IF('DATOS'!O49="No existe",IF(LEN(TRIM('DATOS'!I49&amp;""))=0,0,2),IF('DATOS'!O49="Comparamos",IF(LEN(TRIM('DATOS'!I49&amp;""))=0,1,IF(ISNUMBER('DATOS'!I49),IF(ABS('DATOS'!H49-'DATOS'!I49)&gt;0.00000001,2,0),2)),1)))))),2)</f>
      </c>
      <c r="Q49" s="29">
        <f>IFERROR(IF(N49=0,"",IF(NOT(Y49=1),1,IF('DATOS'!K49="Sin valorar",2,IF('DATOS'!G49=0,1,IF(OR('DATOS'!H49=0,'DATOS'!J49=0),IF(AND(OR('DATOS'!K49="Sin coste documentado",'DATOS'!K49="Incluido en otra partida"),AND(LEN(TRIM('DATOS'!L49&amp;""))&gt;0,TRIM('DATOS'!L49&amp;"")&lt;&gt;"Pendiente",TRIM('DATOS'!L49&amp;"")&lt;&gt;"Por confirmar",TRIM('DATOS'!L49&amp;"")&lt;&gt;"No consta",TRIM('DATOS'!L49&amp;"")&lt;&gt;"Desconocido",TRIM('DATOS'!L49&amp;"")&lt;&gt;"Sin confirmar",TRIM('DATOS'!L49&amp;"")&lt;&gt;"Por decidir",TRIM('DATOS'!L49&amp;"")&lt;&gt;"Por comprobar")),0,1),0))))),2)</f>
      </c>
      <c r="R49" s="29">
        <f>IFERROR(IF(N49=0,"",IF(OR(NOT(AND(LEN(TRIM('DATOS'!D49&amp;""))&gt;0,TRIM('DATOS'!D49&amp;"")&lt;&gt;"Pendiente",TRIM('DATOS'!D49&amp;"")&lt;&gt;"Por confirmar",TRIM('DATOS'!D49&amp;"")&lt;&gt;"No consta",TRIM('DATOS'!D49&amp;"")&lt;&gt;"Desconocido",TRIM('DATOS'!D49&amp;"")&lt;&gt;"Sin confirmar",TRIM('DATOS'!D49&amp;"")&lt;&gt;"Por decidir",TRIM('DATOS'!D49&amp;"")&lt;&gt;"Por comprobar")),NOT(AND(LEN(TRIM('DATOS'!E49&amp;""))&gt;0,TRIM('DATOS'!E49&amp;"")&lt;&gt;"Pendiente",TRIM('DATOS'!E49&amp;"")&lt;&gt;"Por confirmar",TRIM('DATOS'!E49&amp;"")&lt;&gt;"No consta",TRIM('DATOS'!E49&amp;"")&lt;&gt;"Desconocido",TRIM('DATOS'!E49&amp;"")&lt;&gt;"Sin confirmar",TRIM('DATOS'!E49&amp;"")&lt;&gt;"Por decidir",TRIM('DATOS'!E49&amp;"")&lt;&gt;"Por comprobar"))),2,IF('DATOS'!M49="No",2,IF('DATOS'!M49="Sí",0,IF(OR('DATOS'!D49&lt;&gt;'DATOS'!E49,LEN('DATOS'!E49)&gt;300,RIGHT(TRIM('DATOS'!E49),3)="...",RIGHT(TRIM('DATOS'!E49),1)="…"),1,0))))),2)</f>
      </c>
      <c r="S49" s="29">
        <f>IFERROR(IF(N49=0,"",IF('REFERENCIAS'!$Q$8&lt;&gt;1,2,IF(NOT(Y49=1),1,IF(OR(ABS('DATOS'!G49-ROUND('DATOS'!G49,'REFERENCIAS'!$E$8))&gt;0.00000001,ABS('DATOS'!H49-ROUND('DATOS'!H49,'REFERENCIAS'!$H$8))&gt;0.00000001,ABS('DATOS'!J49-ROUND('DATOS'!J49,'REFERENCIAS'!$K$8))&gt;0.00000001,IF(ISNUMBER('DATOS'!I49),ABS('DATOS'!I49-ROUND('DATOS'!I49,'REFERENCIAS'!$H$8))&gt;0.00000001,FALSE)),1,0)))),2)</f>
      </c>
      <c r="T49" s="29">
        <f>IFERROR(IF(N49=0,"",IF(NOT(AND(LEN(TRIM('DATOS'!F49&amp;""))&gt;0,TRIM('DATOS'!F49&amp;"")&lt;&gt;"Pendiente",TRIM('DATOS'!F49&amp;"")&lt;&gt;"Por confirmar",TRIM('DATOS'!F49&amp;"")&lt;&gt;"No consta",TRIM('DATOS'!F49&amp;"")&lt;&gt;"Desconocido",TRIM('DATOS'!F49&amp;"")&lt;&gt;"Sin confirmar",TRIM('DATOS'!F49&amp;"")&lt;&gt;"Por decidir",TRIM('DATOS'!F49&amp;"")&lt;&gt;"Por comprobar")),2,IF(COUNTIFS('REFERENCIAS'!$T$15:$T$34,"ID:"&amp;SUBSTITUTE(SUBSTITUTE(SUBSTITUTE(SUBSTITUTE(UPPER(TRIM('DATOS'!F49&amp;"")),"!","!E"),"*","!A"),"?","!B"),"~","!C"),'REFERENCIAS'!$H$15:$H$34,"&lt;&gt;")&gt;0,0,1))),2)</f>
      </c>
      <c r="U49" s="29" t="str">
        <f>'DATOS'!R49</f>
        <v>ID:</v>
      </c>
      <c r="V49" s="29" t="str">
        <f>'DATOS'!S49</f>
        <v>ID:</v>
      </c>
      <c r="W49" s="29" t="n">
        <f>IF(N49=0,0,COUNTIFS('REFERENCIAS'!$R$15:$R$64,U49))</f>
        <v>0</v>
      </c>
      <c r="X49" s="29" t="n">
        <f>IF(N49=0,0,COUNTIFS('DATOS'!$R$10:$R$509,U49,'DATOS'!$S$10:$S$509,V49))</f>
        <v>0</v>
      </c>
      <c r="Y49" s="29" t="n">
        <f>IF(AND(ISNUMBER('DATOS'!G49),ISNUMBER('DATOS'!H49),ISNUMBER('DATOS'!J49)),1,0)</f>
        <v>0</v>
      </c>
    </row>
    <row r="50" ht="64" customHeight="1">
      <c r="B50" s="26">
        <f>IF(N50=1,41,"")</f>
      </c>
      <c r="C50" s="26">
        <f>IF(AND(N50=1,LEN(TRIM('DATOS'!B50&amp;""))&gt;0),'DATOS'!B50,"")</f>
      </c>
      <c r="D50" s="26">
        <f>IF(AND(N50=1,LEN(TRIM('DATOS'!C50&amp;""))&gt;0),'DATOS'!C50,"")</f>
      </c>
      <c r="E50" s="26">
        <f>IF(NOT(ISNUMBER(P50)),"",IF(P50=2,"ROJO",IF(P50=1,"ÁMBAR","VERDE")))</f>
      </c>
      <c r="F50" s="26">
        <f>IF(NOT(ISNUMBER(Q50)),"",IF(Q50=2,"ROJO",IF(Q50=1,"ÁMBAR","VERDE")))</f>
      </c>
      <c r="G50" s="26">
        <f>IF(NOT(ISNUMBER(R50)),"",IF(R50=2,"ROJO",IF(R50=1,"ÁMBAR","VERDE")))</f>
      </c>
      <c r="H50" s="26">
        <f>IF(NOT(ISNUMBER(S50)),"",IF(S50=2,"ROJO",IF(S50=1,"ÁMBAR","VERDE")))</f>
      </c>
      <c r="I50" s="26">
        <f>IF(NOT(ISNUMBER(T50)),"",IF(T50=2,"ROJO",IF(T50=1,"ÁMBAR","VERDE")))</f>
      </c>
      <c r="J50" s="26">
        <f>IF(NOT(ISNUMBER(O50)),"",IF(O50=2,"ROJO",IF(O50=1,"ÁMBAR","VERDE")))</f>
      </c>
      <c r="K50" s="26">
        <f>IFERROR(IF(AND(N50=1,LEN(TRIM('DATOS'!N50&amp;""))&gt;0),'DATOS'!N50,""),"Hay una entrada con error. Corregimos el dato antes de cerrar la comprobación.")</f>
      </c>
      <c r="L50" s="26">
        <f>IFERROR(IF(N50=0,"",IF(O50&gt;0,"Completamos datos, claves o motivo. ","")&amp;IF(P50&gt;0,"Cotejamos precios e importe. ","")&amp;IF(Q50&gt;0,"Aclaramos el cero. ","")&amp;IF(R50&gt;0,"Comprobamos el texto. ","")&amp;IF(S50&gt;0,"Revisamos decimales visibles. ","")&amp;IF(T50&gt;0,"Confirmamos la unidad.","")),"Hay una entrada con error. Corregimos el dato antes de cerrar la comprobación.")</f>
      </c>
      <c r="N50" s="29" t="n">
        <f>IF(COUNTA('DATOS'!B50:O50)&gt;0,1,0)</f>
        <v>0</v>
      </c>
      <c r="O50" s="29">
        <f>IFERROR(IF(N50=0,"",IF(OR(NOT(AND(LEN(TRIM('DATOS'!B50&amp;""))&gt;0,TRIM('DATOS'!B50&amp;"")&lt;&gt;"Pendiente",TRIM('DATOS'!B50&amp;"")&lt;&gt;"Por confirmar",TRIM('DATOS'!B50&amp;"")&lt;&gt;"No consta",TRIM('DATOS'!B50&amp;"")&lt;&gt;"Desconocido",TRIM('DATOS'!B50&amp;"")&lt;&gt;"Sin confirmar",TRIM('DATOS'!B50&amp;"")&lt;&gt;"Por decidir",TRIM('DATOS'!B50&amp;"")&lt;&gt;"Por comprobar")),NOT(AND(LEN(TRIM('DATOS'!C50&amp;""))&gt;0,TRIM('DATOS'!C50&amp;"")&lt;&gt;"Pendiente",TRIM('DATOS'!C50&amp;"")&lt;&gt;"Por confirmar",TRIM('DATOS'!C50&amp;"")&lt;&gt;"No consta",TRIM('DATOS'!C50&amp;"")&lt;&gt;"Desconocido",TRIM('DATOS'!C50&amp;"")&lt;&gt;"Sin confirmar",TRIM('DATOS'!C50&amp;"")&lt;&gt;"Por decidir",TRIM('DATOS'!C50&amp;"")&lt;&gt;"Por comprobar")),NOT(AND(LEN(TRIM('DATOS'!D50&amp;""))&gt;0,TRIM('DATOS'!D50&amp;"")&lt;&gt;"Pendiente",TRIM('DATOS'!D50&amp;"")&lt;&gt;"Por confirmar",TRIM('DATOS'!D50&amp;"")&lt;&gt;"No consta",TRIM('DATOS'!D50&amp;"")&lt;&gt;"Desconocido",TRIM('DATOS'!D50&amp;"")&lt;&gt;"Sin confirmar",TRIM('DATOS'!D50&amp;"")&lt;&gt;"Por decidir",TRIM('DATOS'!D50&amp;"")&lt;&gt;"Por comprobar")),NOT(AND(LEN(TRIM('DATOS'!E50&amp;""))&gt;0,TRIM('DATOS'!E50&amp;"")&lt;&gt;"Pendiente",TRIM('DATOS'!E50&amp;"")&lt;&gt;"Por confirmar",TRIM('DATOS'!E50&amp;"")&lt;&gt;"No consta",TRIM('DATOS'!E50&amp;"")&lt;&gt;"Desconocido",TRIM('DATOS'!E50&amp;"")&lt;&gt;"Sin confirmar",TRIM('DATOS'!E50&amp;"")&lt;&gt;"Por decidir",TRIM('DATOS'!E50&amp;"")&lt;&gt;"Por comprobar")),NOT(AND(LEN(TRIM('DATOS'!F50&amp;""))&gt;0,TRIM('DATOS'!F50&amp;"")&lt;&gt;"Pendiente",TRIM('DATOS'!F50&amp;"")&lt;&gt;"Por confirmar",TRIM('DATOS'!F50&amp;"")&lt;&gt;"No consta",TRIM('DATOS'!F50&amp;"")&lt;&gt;"Desconocido",TRIM('DATOS'!F50&amp;"")&lt;&gt;"Sin confirmar",TRIM('DATOS'!F50&amp;"")&lt;&gt;"Por decidir",TRIM('DATOS'!F50&amp;"")&lt;&gt;"Por comprobar")),NOT(AND(LEN(TRIM('DATOS'!N50&amp;""))&gt;0,TRIM('DATOS'!N50&amp;"")&lt;&gt;"Pendiente",TRIM('DATOS'!N50&amp;"")&lt;&gt;"Por confirmar",TRIM('DATOS'!N50&amp;"")&lt;&gt;"No consta",TRIM('DATOS'!N50&amp;"")&lt;&gt;"Desconocido",TRIM('DATOS'!N50&amp;"")&lt;&gt;"Sin confirmar",TRIM('DATOS'!N50&amp;"")&lt;&gt;"Por decidir",TRIM('DATOS'!N50&amp;"")&lt;&gt;"Por comprobar")),NOT(Y50=1),W50&lt;&gt;1,X50&gt;1,NOT(OR(LEN(TRIM('DATOS'!K50&amp;""))=0,'DATOS'!K50="Sin valorar",'DATOS'!K50="Sin coste documentado",'DATOS'!K50="Incluido en otra partida",'DATOS'!K50="Por confirmar")),NOT(OR(LEN(TRIM('DATOS'!M50&amp;""))=0,'DATOS'!M50="Sí",'DATOS'!M50="No",'DATOS'!M50="Por confirmar")),NOT(OR(LEN(TRIM('DATOS'!O50&amp;""))=0,'DATOS'!O50="Comparamos",'DATOS'!O50="No existe",'DATOS'!O50="Por confirmar"))),2,IF(AND(OR('DATOS'!G50&lt;0,'DATOS'!H50&lt;0,'DATOS'!J50&lt;0),NOT(AND(LEN(TRIM('DATOS'!L50&amp;""))&gt;0,TRIM('DATOS'!L50&amp;"")&lt;&gt;"Pendiente",TRIM('DATOS'!L50&amp;"")&lt;&gt;"Por confirmar",TRIM('DATOS'!L50&amp;"")&lt;&gt;"No consta",TRIM('DATOS'!L50&amp;"")&lt;&gt;"Desconocido",TRIM('DATOS'!L50&amp;"")&lt;&gt;"Sin confirmar",TRIM('DATOS'!L50&amp;"")&lt;&gt;"Por decidir",TRIM('DATOS'!L50&amp;"")&lt;&gt;"Por comprobar"))),1,0))),2)</f>
      </c>
      <c r="P50" s="29">
        <f>IFERROR(IF(N50=0,"",IF(NOT(Y50=1),1,IF('REFERENCIAS'!$Q$8&lt;&gt;1,2,IF(ABS('DATOS'!J50-ROUND('DATOS'!G50*'DATOS'!H50,'REFERENCIAS'!$K$8))&gt;0.00000001,2,IF('DATOS'!O50="No existe",IF(LEN(TRIM('DATOS'!I50&amp;""))=0,0,2),IF('DATOS'!O50="Comparamos",IF(LEN(TRIM('DATOS'!I50&amp;""))=0,1,IF(ISNUMBER('DATOS'!I50),IF(ABS('DATOS'!H50-'DATOS'!I50)&gt;0.00000001,2,0),2)),1)))))),2)</f>
      </c>
      <c r="Q50" s="29">
        <f>IFERROR(IF(N50=0,"",IF(NOT(Y50=1),1,IF('DATOS'!K50="Sin valorar",2,IF('DATOS'!G50=0,1,IF(OR('DATOS'!H50=0,'DATOS'!J50=0),IF(AND(OR('DATOS'!K50="Sin coste documentado",'DATOS'!K50="Incluido en otra partida"),AND(LEN(TRIM('DATOS'!L50&amp;""))&gt;0,TRIM('DATOS'!L50&amp;"")&lt;&gt;"Pendiente",TRIM('DATOS'!L50&amp;"")&lt;&gt;"Por confirmar",TRIM('DATOS'!L50&amp;"")&lt;&gt;"No consta",TRIM('DATOS'!L50&amp;"")&lt;&gt;"Desconocido",TRIM('DATOS'!L50&amp;"")&lt;&gt;"Sin confirmar",TRIM('DATOS'!L50&amp;"")&lt;&gt;"Por decidir",TRIM('DATOS'!L50&amp;"")&lt;&gt;"Por comprobar")),0,1),0))))),2)</f>
      </c>
      <c r="R50" s="29">
        <f>IFERROR(IF(N50=0,"",IF(OR(NOT(AND(LEN(TRIM('DATOS'!D50&amp;""))&gt;0,TRIM('DATOS'!D50&amp;"")&lt;&gt;"Pendiente",TRIM('DATOS'!D50&amp;"")&lt;&gt;"Por confirmar",TRIM('DATOS'!D50&amp;"")&lt;&gt;"No consta",TRIM('DATOS'!D50&amp;"")&lt;&gt;"Desconocido",TRIM('DATOS'!D50&amp;"")&lt;&gt;"Sin confirmar",TRIM('DATOS'!D50&amp;"")&lt;&gt;"Por decidir",TRIM('DATOS'!D50&amp;"")&lt;&gt;"Por comprobar")),NOT(AND(LEN(TRIM('DATOS'!E50&amp;""))&gt;0,TRIM('DATOS'!E50&amp;"")&lt;&gt;"Pendiente",TRIM('DATOS'!E50&amp;"")&lt;&gt;"Por confirmar",TRIM('DATOS'!E50&amp;"")&lt;&gt;"No consta",TRIM('DATOS'!E50&amp;"")&lt;&gt;"Desconocido",TRIM('DATOS'!E50&amp;"")&lt;&gt;"Sin confirmar",TRIM('DATOS'!E50&amp;"")&lt;&gt;"Por decidir",TRIM('DATOS'!E50&amp;"")&lt;&gt;"Por comprobar"))),2,IF('DATOS'!M50="No",2,IF('DATOS'!M50="Sí",0,IF(OR('DATOS'!D50&lt;&gt;'DATOS'!E50,LEN('DATOS'!E50)&gt;300,RIGHT(TRIM('DATOS'!E50),3)="...",RIGHT(TRIM('DATOS'!E50),1)="…"),1,0))))),2)</f>
      </c>
      <c r="S50" s="29">
        <f>IFERROR(IF(N50=0,"",IF('REFERENCIAS'!$Q$8&lt;&gt;1,2,IF(NOT(Y50=1),1,IF(OR(ABS('DATOS'!G50-ROUND('DATOS'!G50,'REFERENCIAS'!$E$8))&gt;0.00000001,ABS('DATOS'!H50-ROUND('DATOS'!H50,'REFERENCIAS'!$H$8))&gt;0.00000001,ABS('DATOS'!J50-ROUND('DATOS'!J50,'REFERENCIAS'!$K$8))&gt;0.00000001,IF(ISNUMBER('DATOS'!I50),ABS('DATOS'!I50-ROUND('DATOS'!I50,'REFERENCIAS'!$H$8))&gt;0.00000001,FALSE)),1,0)))),2)</f>
      </c>
      <c r="T50" s="29">
        <f>IFERROR(IF(N50=0,"",IF(NOT(AND(LEN(TRIM('DATOS'!F50&amp;""))&gt;0,TRIM('DATOS'!F50&amp;"")&lt;&gt;"Pendiente",TRIM('DATOS'!F50&amp;"")&lt;&gt;"Por confirmar",TRIM('DATOS'!F50&amp;"")&lt;&gt;"No consta",TRIM('DATOS'!F50&amp;"")&lt;&gt;"Desconocido",TRIM('DATOS'!F50&amp;"")&lt;&gt;"Sin confirmar",TRIM('DATOS'!F50&amp;"")&lt;&gt;"Por decidir",TRIM('DATOS'!F50&amp;"")&lt;&gt;"Por comprobar")),2,IF(COUNTIFS('REFERENCIAS'!$T$15:$T$34,"ID:"&amp;SUBSTITUTE(SUBSTITUTE(SUBSTITUTE(SUBSTITUTE(UPPER(TRIM('DATOS'!F50&amp;"")),"!","!E"),"*","!A"),"?","!B"),"~","!C"),'REFERENCIAS'!$H$15:$H$34,"&lt;&gt;")&gt;0,0,1))),2)</f>
      </c>
      <c r="U50" s="29" t="str">
        <f>'DATOS'!R50</f>
        <v>ID:</v>
      </c>
      <c r="V50" s="29" t="str">
        <f>'DATOS'!S50</f>
        <v>ID:</v>
      </c>
      <c r="W50" s="29" t="n">
        <f>IF(N50=0,0,COUNTIFS('REFERENCIAS'!$R$15:$R$64,U50))</f>
        <v>0</v>
      </c>
      <c r="X50" s="29" t="n">
        <f>IF(N50=0,0,COUNTIFS('DATOS'!$R$10:$R$509,U50,'DATOS'!$S$10:$S$509,V50))</f>
        <v>0</v>
      </c>
      <c r="Y50" s="29" t="n">
        <f>IF(AND(ISNUMBER('DATOS'!G50),ISNUMBER('DATOS'!H50),ISNUMBER('DATOS'!J50)),1,0)</f>
        <v>0</v>
      </c>
    </row>
    <row r="51" ht="64" customHeight="1">
      <c r="B51" s="26">
        <f>IF(N51=1,42,"")</f>
      </c>
      <c r="C51" s="26">
        <f>IF(AND(N51=1,LEN(TRIM('DATOS'!B51&amp;""))&gt;0),'DATOS'!B51,"")</f>
      </c>
      <c r="D51" s="26">
        <f>IF(AND(N51=1,LEN(TRIM('DATOS'!C51&amp;""))&gt;0),'DATOS'!C51,"")</f>
      </c>
      <c r="E51" s="26">
        <f>IF(NOT(ISNUMBER(P51)),"",IF(P51=2,"ROJO",IF(P51=1,"ÁMBAR","VERDE")))</f>
      </c>
      <c r="F51" s="26">
        <f>IF(NOT(ISNUMBER(Q51)),"",IF(Q51=2,"ROJO",IF(Q51=1,"ÁMBAR","VERDE")))</f>
      </c>
      <c r="G51" s="26">
        <f>IF(NOT(ISNUMBER(R51)),"",IF(R51=2,"ROJO",IF(R51=1,"ÁMBAR","VERDE")))</f>
      </c>
      <c r="H51" s="26">
        <f>IF(NOT(ISNUMBER(S51)),"",IF(S51=2,"ROJO",IF(S51=1,"ÁMBAR","VERDE")))</f>
      </c>
      <c r="I51" s="26">
        <f>IF(NOT(ISNUMBER(T51)),"",IF(T51=2,"ROJO",IF(T51=1,"ÁMBAR","VERDE")))</f>
      </c>
      <c r="J51" s="26">
        <f>IF(NOT(ISNUMBER(O51)),"",IF(O51=2,"ROJO",IF(O51=1,"ÁMBAR","VERDE")))</f>
      </c>
      <c r="K51" s="26">
        <f>IFERROR(IF(AND(N51=1,LEN(TRIM('DATOS'!N51&amp;""))&gt;0),'DATOS'!N51,""),"Hay una entrada con error. Corregimos el dato antes de cerrar la comprobación.")</f>
      </c>
      <c r="L51" s="26">
        <f>IFERROR(IF(N51=0,"",IF(O51&gt;0,"Completamos datos, claves o motivo. ","")&amp;IF(P51&gt;0,"Cotejamos precios e importe. ","")&amp;IF(Q51&gt;0,"Aclaramos el cero. ","")&amp;IF(R51&gt;0,"Comprobamos el texto. ","")&amp;IF(S51&gt;0,"Revisamos decimales visibles. ","")&amp;IF(T51&gt;0,"Confirmamos la unidad.","")),"Hay una entrada con error. Corregimos el dato antes de cerrar la comprobación.")</f>
      </c>
      <c r="N51" s="29" t="n">
        <f>IF(COUNTA('DATOS'!B51:O51)&gt;0,1,0)</f>
        <v>0</v>
      </c>
      <c r="O51" s="29">
        <f>IFERROR(IF(N51=0,"",IF(OR(NOT(AND(LEN(TRIM('DATOS'!B51&amp;""))&gt;0,TRIM('DATOS'!B51&amp;"")&lt;&gt;"Pendiente",TRIM('DATOS'!B51&amp;"")&lt;&gt;"Por confirmar",TRIM('DATOS'!B51&amp;"")&lt;&gt;"No consta",TRIM('DATOS'!B51&amp;"")&lt;&gt;"Desconocido",TRIM('DATOS'!B51&amp;"")&lt;&gt;"Sin confirmar",TRIM('DATOS'!B51&amp;"")&lt;&gt;"Por decidir",TRIM('DATOS'!B51&amp;"")&lt;&gt;"Por comprobar")),NOT(AND(LEN(TRIM('DATOS'!C51&amp;""))&gt;0,TRIM('DATOS'!C51&amp;"")&lt;&gt;"Pendiente",TRIM('DATOS'!C51&amp;"")&lt;&gt;"Por confirmar",TRIM('DATOS'!C51&amp;"")&lt;&gt;"No consta",TRIM('DATOS'!C51&amp;"")&lt;&gt;"Desconocido",TRIM('DATOS'!C51&amp;"")&lt;&gt;"Sin confirmar",TRIM('DATOS'!C51&amp;"")&lt;&gt;"Por decidir",TRIM('DATOS'!C51&amp;"")&lt;&gt;"Por comprobar")),NOT(AND(LEN(TRIM('DATOS'!D51&amp;""))&gt;0,TRIM('DATOS'!D51&amp;"")&lt;&gt;"Pendiente",TRIM('DATOS'!D51&amp;"")&lt;&gt;"Por confirmar",TRIM('DATOS'!D51&amp;"")&lt;&gt;"No consta",TRIM('DATOS'!D51&amp;"")&lt;&gt;"Desconocido",TRIM('DATOS'!D51&amp;"")&lt;&gt;"Sin confirmar",TRIM('DATOS'!D51&amp;"")&lt;&gt;"Por decidir",TRIM('DATOS'!D51&amp;"")&lt;&gt;"Por comprobar")),NOT(AND(LEN(TRIM('DATOS'!E51&amp;""))&gt;0,TRIM('DATOS'!E51&amp;"")&lt;&gt;"Pendiente",TRIM('DATOS'!E51&amp;"")&lt;&gt;"Por confirmar",TRIM('DATOS'!E51&amp;"")&lt;&gt;"No consta",TRIM('DATOS'!E51&amp;"")&lt;&gt;"Desconocido",TRIM('DATOS'!E51&amp;"")&lt;&gt;"Sin confirmar",TRIM('DATOS'!E51&amp;"")&lt;&gt;"Por decidir",TRIM('DATOS'!E51&amp;"")&lt;&gt;"Por comprobar")),NOT(AND(LEN(TRIM('DATOS'!F51&amp;""))&gt;0,TRIM('DATOS'!F51&amp;"")&lt;&gt;"Pendiente",TRIM('DATOS'!F51&amp;"")&lt;&gt;"Por confirmar",TRIM('DATOS'!F51&amp;"")&lt;&gt;"No consta",TRIM('DATOS'!F51&amp;"")&lt;&gt;"Desconocido",TRIM('DATOS'!F51&amp;"")&lt;&gt;"Sin confirmar",TRIM('DATOS'!F51&amp;"")&lt;&gt;"Por decidir",TRIM('DATOS'!F51&amp;"")&lt;&gt;"Por comprobar")),NOT(AND(LEN(TRIM('DATOS'!N51&amp;""))&gt;0,TRIM('DATOS'!N51&amp;"")&lt;&gt;"Pendiente",TRIM('DATOS'!N51&amp;"")&lt;&gt;"Por confirmar",TRIM('DATOS'!N51&amp;"")&lt;&gt;"No consta",TRIM('DATOS'!N51&amp;"")&lt;&gt;"Desconocido",TRIM('DATOS'!N51&amp;"")&lt;&gt;"Sin confirmar",TRIM('DATOS'!N51&amp;"")&lt;&gt;"Por decidir",TRIM('DATOS'!N51&amp;"")&lt;&gt;"Por comprobar")),NOT(Y51=1),W51&lt;&gt;1,X51&gt;1,NOT(OR(LEN(TRIM('DATOS'!K51&amp;""))=0,'DATOS'!K51="Sin valorar",'DATOS'!K51="Sin coste documentado",'DATOS'!K51="Incluido en otra partida",'DATOS'!K51="Por confirmar")),NOT(OR(LEN(TRIM('DATOS'!M51&amp;""))=0,'DATOS'!M51="Sí",'DATOS'!M51="No",'DATOS'!M51="Por confirmar")),NOT(OR(LEN(TRIM('DATOS'!O51&amp;""))=0,'DATOS'!O51="Comparamos",'DATOS'!O51="No existe",'DATOS'!O51="Por confirmar"))),2,IF(AND(OR('DATOS'!G51&lt;0,'DATOS'!H51&lt;0,'DATOS'!J51&lt;0),NOT(AND(LEN(TRIM('DATOS'!L51&amp;""))&gt;0,TRIM('DATOS'!L51&amp;"")&lt;&gt;"Pendiente",TRIM('DATOS'!L51&amp;"")&lt;&gt;"Por confirmar",TRIM('DATOS'!L51&amp;"")&lt;&gt;"No consta",TRIM('DATOS'!L51&amp;"")&lt;&gt;"Desconocido",TRIM('DATOS'!L51&amp;"")&lt;&gt;"Sin confirmar",TRIM('DATOS'!L51&amp;"")&lt;&gt;"Por decidir",TRIM('DATOS'!L51&amp;"")&lt;&gt;"Por comprobar"))),1,0))),2)</f>
      </c>
      <c r="P51" s="29">
        <f>IFERROR(IF(N51=0,"",IF(NOT(Y51=1),1,IF('REFERENCIAS'!$Q$8&lt;&gt;1,2,IF(ABS('DATOS'!J51-ROUND('DATOS'!G51*'DATOS'!H51,'REFERENCIAS'!$K$8))&gt;0.00000001,2,IF('DATOS'!O51="No existe",IF(LEN(TRIM('DATOS'!I51&amp;""))=0,0,2),IF('DATOS'!O51="Comparamos",IF(LEN(TRIM('DATOS'!I51&amp;""))=0,1,IF(ISNUMBER('DATOS'!I51),IF(ABS('DATOS'!H51-'DATOS'!I51)&gt;0.00000001,2,0),2)),1)))))),2)</f>
      </c>
      <c r="Q51" s="29">
        <f>IFERROR(IF(N51=0,"",IF(NOT(Y51=1),1,IF('DATOS'!K51="Sin valorar",2,IF('DATOS'!G51=0,1,IF(OR('DATOS'!H51=0,'DATOS'!J51=0),IF(AND(OR('DATOS'!K51="Sin coste documentado",'DATOS'!K51="Incluido en otra partida"),AND(LEN(TRIM('DATOS'!L51&amp;""))&gt;0,TRIM('DATOS'!L51&amp;"")&lt;&gt;"Pendiente",TRIM('DATOS'!L51&amp;"")&lt;&gt;"Por confirmar",TRIM('DATOS'!L51&amp;"")&lt;&gt;"No consta",TRIM('DATOS'!L51&amp;"")&lt;&gt;"Desconocido",TRIM('DATOS'!L51&amp;"")&lt;&gt;"Sin confirmar",TRIM('DATOS'!L51&amp;"")&lt;&gt;"Por decidir",TRIM('DATOS'!L51&amp;"")&lt;&gt;"Por comprobar")),0,1),0))))),2)</f>
      </c>
      <c r="R51" s="29">
        <f>IFERROR(IF(N51=0,"",IF(OR(NOT(AND(LEN(TRIM('DATOS'!D51&amp;""))&gt;0,TRIM('DATOS'!D51&amp;"")&lt;&gt;"Pendiente",TRIM('DATOS'!D51&amp;"")&lt;&gt;"Por confirmar",TRIM('DATOS'!D51&amp;"")&lt;&gt;"No consta",TRIM('DATOS'!D51&amp;"")&lt;&gt;"Desconocido",TRIM('DATOS'!D51&amp;"")&lt;&gt;"Sin confirmar",TRIM('DATOS'!D51&amp;"")&lt;&gt;"Por decidir",TRIM('DATOS'!D51&amp;"")&lt;&gt;"Por comprobar")),NOT(AND(LEN(TRIM('DATOS'!E51&amp;""))&gt;0,TRIM('DATOS'!E51&amp;"")&lt;&gt;"Pendiente",TRIM('DATOS'!E51&amp;"")&lt;&gt;"Por confirmar",TRIM('DATOS'!E51&amp;"")&lt;&gt;"No consta",TRIM('DATOS'!E51&amp;"")&lt;&gt;"Desconocido",TRIM('DATOS'!E51&amp;"")&lt;&gt;"Sin confirmar",TRIM('DATOS'!E51&amp;"")&lt;&gt;"Por decidir",TRIM('DATOS'!E51&amp;"")&lt;&gt;"Por comprobar"))),2,IF('DATOS'!M51="No",2,IF('DATOS'!M51="Sí",0,IF(OR('DATOS'!D51&lt;&gt;'DATOS'!E51,LEN('DATOS'!E51)&gt;300,RIGHT(TRIM('DATOS'!E51),3)="...",RIGHT(TRIM('DATOS'!E51),1)="…"),1,0))))),2)</f>
      </c>
      <c r="S51" s="29">
        <f>IFERROR(IF(N51=0,"",IF('REFERENCIAS'!$Q$8&lt;&gt;1,2,IF(NOT(Y51=1),1,IF(OR(ABS('DATOS'!G51-ROUND('DATOS'!G51,'REFERENCIAS'!$E$8))&gt;0.00000001,ABS('DATOS'!H51-ROUND('DATOS'!H51,'REFERENCIAS'!$H$8))&gt;0.00000001,ABS('DATOS'!J51-ROUND('DATOS'!J51,'REFERENCIAS'!$K$8))&gt;0.00000001,IF(ISNUMBER('DATOS'!I51),ABS('DATOS'!I51-ROUND('DATOS'!I51,'REFERENCIAS'!$H$8))&gt;0.00000001,FALSE)),1,0)))),2)</f>
      </c>
      <c r="T51" s="29">
        <f>IFERROR(IF(N51=0,"",IF(NOT(AND(LEN(TRIM('DATOS'!F51&amp;""))&gt;0,TRIM('DATOS'!F51&amp;"")&lt;&gt;"Pendiente",TRIM('DATOS'!F51&amp;"")&lt;&gt;"Por confirmar",TRIM('DATOS'!F51&amp;"")&lt;&gt;"No consta",TRIM('DATOS'!F51&amp;"")&lt;&gt;"Desconocido",TRIM('DATOS'!F51&amp;"")&lt;&gt;"Sin confirmar",TRIM('DATOS'!F51&amp;"")&lt;&gt;"Por decidir",TRIM('DATOS'!F51&amp;"")&lt;&gt;"Por comprobar")),2,IF(COUNTIFS('REFERENCIAS'!$T$15:$T$34,"ID:"&amp;SUBSTITUTE(SUBSTITUTE(SUBSTITUTE(SUBSTITUTE(UPPER(TRIM('DATOS'!F51&amp;"")),"!","!E"),"*","!A"),"?","!B"),"~","!C"),'REFERENCIAS'!$H$15:$H$34,"&lt;&gt;")&gt;0,0,1))),2)</f>
      </c>
      <c r="U51" s="29" t="str">
        <f>'DATOS'!R51</f>
        <v>ID:</v>
      </c>
      <c r="V51" s="29" t="str">
        <f>'DATOS'!S51</f>
        <v>ID:</v>
      </c>
      <c r="W51" s="29" t="n">
        <f>IF(N51=0,0,COUNTIFS('REFERENCIAS'!$R$15:$R$64,U51))</f>
        <v>0</v>
      </c>
      <c r="X51" s="29" t="n">
        <f>IF(N51=0,0,COUNTIFS('DATOS'!$R$10:$R$509,U51,'DATOS'!$S$10:$S$509,V51))</f>
        <v>0</v>
      </c>
      <c r="Y51" s="29" t="n">
        <f>IF(AND(ISNUMBER('DATOS'!G51),ISNUMBER('DATOS'!H51),ISNUMBER('DATOS'!J51)),1,0)</f>
        <v>0</v>
      </c>
    </row>
    <row r="52" ht="64" customHeight="1">
      <c r="B52" s="26">
        <f>IF(N52=1,43,"")</f>
      </c>
      <c r="C52" s="26">
        <f>IF(AND(N52=1,LEN(TRIM('DATOS'!B52&amp;""))&gt;0),'DATOS'!B52,"")</f>
      </c>
      <c r="D52" s="26">
        <f>IF(AND(N52=1,LEN(TRIM('DATOS'!C52&amp;""))&gt;0),'DATOS'!C52,"")</f>
      </c>
      <c r="E52" s="26">
        <f>IF(NOT(ISNUMBER(P52)),"",IF(P52=2,"ROJO",IF(P52=1,"ÁMBAR","VERDE")))</f>
      </c>
      <c r="F52" s="26">
        <f>IF(NOT(ISNUMBER(Q52)),"",IF(Q52=2,"ROJO",IF(Q52=1,"ÁMBAR","VERDE")))</f>
      </c>
      <c r="G52" s="26">
        <f>IF(NOT(ISNUMBER(R52)),"",IF(R52=2,"ROJO",IF(R52=1,"ÁMBAR","VERDE")))</f>
      </c>
      <c r="H52" s="26">
        <f>IF(NOT(ISNUMBER(S52)),"",IF(S52=2,"ROJO",IF(S52=1,"ÁMBAR","VERDE")))</f>
      </c>
      <c r="I52" s="26">
        <f>IF(NOT(ISNUMBER(T52)),"",IF(T52=2,"ROJO",IF(T52=1,"ÁMBAR","VERDE")))</f>
      </c>
      <c r="J52" s="26">
        <f>IF(NOT(ISNUMBER(O52)),"",IF(O52=2,"ROJO",IF(O52=1,"ÁMBAR","VERDE")))</f>
      </c>
      <c r="K52" s="26">
        <f>IFERROR(IF(AND(N52=1,LEN(TRIM('DATOS'!N52&amp;""))&gt;0),'DATOS'!N52,""),"Hay una entrada con error. Corregimos el dato antes de cerrar la comprobación.")</f>
      </c>
      <c r="L52" s="26">
        <f>IFERROR(IF(N52=0,"",IF(O52&gt;0,"Completamos datos, claves o motivo. ","")&amp;IF(P52&gt;0,"Cotejamos precios e importe. ","")&amp;IF(Q52&gt;0,"Aclaramos el cero. ","")&amp;IF(R52&gt;0,"Comprobamos el texto. ","")&amp;IF(S52&gt;0,"Revisamos decimales visibles. ","")&amp;IF(T52&gt;0,"Confirmamos la unidad.","")),"Hay una entrada con error. Corregimos el dato antes de cerrar la comprobación.")</f>
      </c>
      <c r="N52" s="29" t="n">
        <f>IF(COUNTA('DATOS'!B52:O52)&gt;0,1,0)</f>
        <v>0</v>
      </c>
      <c r="O52" s="29">
        <f>IFERROR(IF(N52=0,"",IF(OR(NOT(AND(LEN(TRIM('DATOS'!B52&amp;""))&gt;0,TRIM('DATOS'!B52&amp;"")&lt;&gt;"Pendiente",TRIM('DATOS'!B52&amp;"")&lt;&gt;"Por confirmar",TRIM('DATOS'!B52&amp;"")&lt;&gt;"No consta",TRIM('DATOS'!B52&amp;"")&lt;&gt;"Desconocido",TRIM('DATOS'!B52&amp;"")&lt;&gt;"Sin confirmar",TRIM('DATOS'!B52&amp;"")&lt;&gt;"Por decidir",TRIM('DATOS'!B52&amp;"")&lt;&gt;"Por comprobar")),NOT(AND(LEN(TRIM('DATOS'!C52&amp;""))&gt;0,TRIM('DATOS'!C52&amp;"")&lt;&gt;"Pendiente",TRIM('DATOS'!C52&amp;"")&lt;&gt;"Por confirmar",TRIM('DATOS'!C52&amp;"")&lt;&gt;"No consta",TRIM('DATOS'!C52&amp;"")&lt;&gt;"Desconocido",TRIM('DATOS'!C52&amp;"")&lt;&gt;"Sin confirmar",TRIM('DATOS'!C52&amp;"")&lt;&gt;"Por decidir",TRIM('DATOS'!C52&amp;"")&lt;&gt;"Por comprobar")),NOT(AND(LEN(TRIM('DATOS'!D52&amp;""))&gt;0,TRIM('DATOS'!D52&amp;"")&lt;&gt;"Pendiente",TRIM('DATOS'!D52&amp;"")&lt;&gt;"Por confirmar",TRIM('DATOS'!D52&amp;"")&lt;&gt;"No consta",TRIM('DATOS'!D52&amp;"")&lt;&gt;"Desconocido",TRIM('DATOS'!D52&amp;"")&lt;&gt;"Sin confirmar",TRIM('DATOS'!D52&amp;"")&lt;&gt;"Por decidir",TRIM('DATOS'!D52&amp;"")&lt;&gt;"Por comprobar")),NOT(AND(LEN(TRIM('DATOS'!E52&amp;""))&gt;0,TRIM('DATOS'!E52&amp;"")&lt;&gt;"Pendiente",TRIM('DATOS'!E52&amp;"")&lt;&gt;"Por confirmar",TRIM('DATOS'!E52&amp;"")&lt;&gt;"No consta",TRIM('DATOS'!E52&amp;"")&lt;&gt;"Desconocido",TRIM('DATOS'!E52&amp;"")&lt;&gt;"Sin confirmar",TRIM('DATOS'!E52&amp;"")&lt;&gt;"Por decidir",TRIM('DATOS'!E52&amp;"")&lt;&gt;"Por comprobar")),NOT(AND(LEN(TRIM('DATOS'!F52&amp;""))&gt;0,TRIM('DATOS'!F52&amp;"")&lt;&gt;"Pendiente",TRIM('DATOS'!F52&amp;"")&lt;&gt;"Por confirmar",TRIM('DATOS'!F52&amp;"")&lt;&gt;"No consta",TRIM('DATOS'!F52&amp;"")&lt;&gt;"Desconocido",TRIM('DATOS'!F52&amp;"")&lt;&gt;"Sin confirmar",TRIM('DATOS'!F52&amp;"")&lt;&gt;"Por decidir",TRIM('DATOS'!F52&amp;"")&lt;&gt;"Por comprobar")),NOT(AND(LEN(TRIM('DATOS'!N52&amp;""))&gt;0,TRIM('DATOS'!N52&amp;"")&lt;&gt;"Pendiente",TRIM('DATOS'!N52&amp;"")&lt;&gt;"Por confirmar",TRIM('DATOS'!N52&amp;"")&lt;&gt;"No consta",TRIM('DATOS'!N52&amp;"")&lt;&gt;"Desconocido",TRIM('DATOS'!N52&amp;"")&lt;&gt;"Sin confirmar",TRIM('DATOS'!N52&amp;"")&lt;&gt;"Por decidir",TRIM('DATOS'!N52&amp;"")&lt;&gt;"Por comprobar")),NOT(Y52=1),W52&lt;&gt;1,X52&gt;1,NOT(OR(LEN(TRIM('DATOS'!K52&amp;""))=0,'DATOS'!K52="Sin valorar",'DATOS'!K52="Sin coste documentado",'DATOS'!K52="Incluido en otra partida",'DATOS'!K52="Por confirmar")),NOT(OR(LEN(TRIM('DATOS'!M52&amp;""))=0,'DATOS'!M52="Sí",'DATOS'!M52="No",'DATOS'!M52="Por confirmar")),NOT(OR(LEN(TRIM('DATOS'!O52&amp;""))=0,'DATOS'!O52="Comparamos",'DATOS'!O52="No existe",'DATOS'!O52="Por confirmar"))),2,IF(AND(OR('DATOS'!G52&lt;0,'DATOS'!H52&lt;0,'DATOS'!J52&lt;0),NOT(AND(LEN(TRIM('DATOS'!L52&amp;""))&gt;0,TRIM('DATOS'!L52&amp;"")&lt;&gt;"Pendiente",TRIM('DATOS'!L52&amp;"")&lt;&gt;"Por confirmar",TRIM('DATOS'!L52&amp;"")&lt;&gt;"No consta",TRIM('DATOS'!L52&amp;"")&lt;&gt;"Desconocido",TRIM('DATOS'!L52&amp;"")&lt;&gt;"Sin confirmar",TRIM('DATOS'!L52&amp;"")&lt;&gt;"Por decidir",TRIM('DATOS'!L52&amp;"")&lt;&gt;"Por comprobar"))),1,0))),2)</f>
      </c>
      <c r="P52" s="29">
        <f>IFERROR(IF(N52=0,"",IF(NOT(Y52=1),1,IF('REFERENCIAS'!$Q$8&lt;&gt;1,2,IF(ABS('DATOS'!J52-ROUND('DATOS'!G52*'DATOS'!H52,'REFERENCIAS'!$K$8))&gt;0.00000001,2,IF('DATOS'!O52="No existe",IF(LEN(TRIM('DATOS'!I52&amp;""))=0,0,2),IF('DATOS'!O52="Comparamos",IF(LEN(TRIM('DATOS'!I52&amp;""))=0,1,IF(ISNUMBER('DATOS'!I52),IF(ABS('DATOS'!H52-'DATOS'!I52)&gt;0.00000001,2,0),2)),1)))))),2)</f>
      </c>
      <c r="Q52" s="29">
        <f>IFERROR(IF(N52=0,"",IF(NOT(Y52=1),1,IF('DATOS'!K52="Sin valorar",2,IF('DATOS'!G52=0,1,IF(OR('DATOS'!H52=0,'DATOS'!J52=0),IF(AND(OR('DATOS'!K52="Sin coste documentado",'DATOS'!K52="Incluido en otra partida"),AND(LEN(TRIM('DATOS'!L52&amp;""))&gt;0,TRIM('DATOS'!L52&amp;"")&lt;&gt;"Pendiente",TRIM('DATOS'!L52&amp;"")&lt;&gt;"Por confirmar",TRIM('DATOS'!L52&amp;"")&lt;&gt;"No consta",TRIM('DATOS'!L52&amp;"")&lt;&gt;"Desconocido",TRIM('DATOS'!L52&amp;"")&lt;&gt;"Sin confirmar",TRIM('DATOS'!L52&amp;"")&lt;&gt;"Por decidir",TRIM('DATOS'!L52&amp;"")&lt;&gt;"Por comprobar")),0,1),0))))),2)</f>
      </c>
      <c r="R52" s="29">
        <f>IFERROR(IF(N52=0,"",IF(OR(NOT(AND(LEN(TRIM('DATOS'!D52&amp;""))&gt;0,TRIM('DATOS'!D52&amp;"")&lt;&gt;"Pendiente",TRIM('DATOS'!D52&amp;"")&lt;&gt;"Por confirmar",TRIM('DATOS'!D52&amp;"")&lt;&gt;"No consta",TRIM('DATOS'!D52&amp;"")&lt;&gt;"Desconocido",TRIM('DATOS'!D52&amp;"")&lt;&gt;"Sin confirmar",TRIM('DATOS'!D52&amp;"")&lt;&gt;"Por decidir",TRIM('DATOS'!D52&amp;"")&lt;&gt;"Por comprobar")),NOT(AND(LEN(TRIM('DATOS'!E52&amp;""))&gt;0,TRIM('DATOS'!E52&amp;"")&lt;&gt;"Pendiente",TRIM('DATOS'!E52&amp;"")&lt;&gt;"Por confirmar",TRIM('DATOS'!E52&amp;"")&lt;&gt;"No consta",TRIM('DATOS'!E52&amp;"")&lt;&gt;"Desconocido",TRIM('DATOS'!E52&amp;"")&lt;&gt;"Sin confirmar",TRIM('DATOS'!E52&amp;"")&lt;&gt;"Por decidir",TRIM('DATOS'!E52&amp;"")&lt;&gt;"Por comprobar"))),2,IF('DATOS'!M52="No",2,IF('DATOS'!M52="Sí",0,IF(OR('DATOS'!D52&lt;&gt;'DATOS'!E52,LEN('DATOS'!E52)&gt;300,RIGHT(TRIM('DATOS'!E52),3)="...",RIGHT(TRIM('DATOS'!E52),1)="…"),1,0))))),2)</f>
      </c>
      <c r="S52" s="29">
        <f>IFERROR(IF(N52=0,"",IF('REFERENCIAS'!$Q$8&lt;&gt;1,2,IF(NOT(Y52=1),1,IF(OR(ABS('DATOS'!G52-ROUND('DATOS'!G52,'REFERENCIAS'!$E$8))&gt;0.00000001,ABS('DATOS'!H52-ROUND('DATOS'!H52,'REFERENCIAS'!$H$8))&gt;0.00000001,ABS('DATOS'!J52-ROUND('DATOS'!J52,'REFERENCIAS'!$K$8))&gt;0.00000001,IF(ISNUMBER('DATOS'!I52),ABS('DATOS'!I52-ROUND('DATOS'!I52,'REFERENCIAS'!$H$8))&gt;0.00000001,FALSE)),1,0)))),2)</f>
      </c>
      <c r="T52" s="29">
        <f>IFERROR(IF(N52=0,"",IF(NOT(AND(LEN(TRIM('DATOS'!F52&amp;""))&gt;0,TRIM('DATOS'!F52&amp;"")&lt;&gt;"Pendiente",TRIM('DATOS'!F52&amp;"")&lt;&gt;"Por confirmar",TRIM('DATOS'!F52&amp;"")&lt;&gt;"No consta",TRIM('DATOS'!F52&amp;"")&lt;&gt;"Desconocido",TRIM('DATOS'!F52&amp;"")&lt;&gt;"Sin confirmar",TRIM('DATOS'!F52&amp;"")&lt;&gt;"Por decidir",TRIM('DATOS'!F52&amp;"")&lt;&gt;"Por comprobar")),2,IF(COUNTIFS('REFERENCIAS'!$T$15:$T$34,"ID:"&amp;SUBSTITUTE(SUBSTITUTE(SUBSTITUTE(SUBSTITUTE(UPPER(TRIM('DATOS'!F52&amp;"")),"!","!E"),"*","!A"),"?","!B"),"~","!C"),'REFERENCIAS'!$H$15:$H$34,"&lt;&gt;")&gt;0,0,1))),2)</f>
      </c>
      <c r="U52" s="29" t="str">
        <f>'DATOS'!R52</f>
        <v>ID:</v>
      </c>
      <c r="V52" s="29" t="str">
        <f>'DATOS'!S52</f>
        <v>ID:</v>
      </c>
      <c r="W52" s="29" t="n">
        <f>IF(N52=0,0,COUNTIFS('REFERENCIAS'!$R$15:$R$64,U52))</f>
        <v>0</v>
      </c>
      <c r="X52" s="29" t="n">
        <f>IF(N52=0,0,COUNTIFS('DATOS'!$R$10:$R$509,U52,'DATOS'!$S$10:$S$509,V52))</f>
        <v>0</v>
      </c>
      <c r="Y52" s="29" t="n">
        <f>IF(AND(ISNUMBER('DATOS'!G52),ISNUMBER('DATOS'!H52),ISNUMBER('DATOS'!J52)),1,0)</f>
        <v>0</v>
      </c>
    </row>
    <row r="53" ht="64" customHeight="1">
      <c r="B53" s="26">
        <f>IF(N53=1,44,"")</f>
      </c>
      <c r="C53" s="26">
        <f>IF(AND(N53=1,LEN(TRIM('DATOS'!B53&amp;""))&gt;0),'DATOS'!B53,"")</f>
      </c>
      <c r="D53" s="26">
        <f>IF(AND(N53=1,LEN(TRIM('DATOS'!C53&amp;""))&gt;0),'DATOS'!C53,"")</f>
      </c>
      <c r="E53" s="26">
        <f>IF(NOT(ISNUMBER(P53)),"",IF(P53=2,"ROJO",IF(P53=1,"ÁMBAR","VERDE")))</f>
      </c>
      <c r="F53" s="26">
        <f>IF(NOT(ISNUMBER(Q53)),"",IF(Q53=2,"ROJO",IF(Q53=1,"ÁMBAR","VERDE")))</f>
      </c>
      <c r="G53" s="26">
        <f>IF(NOT(ISNUMBER(R53)),"",IF(R53=2,"ROJO",IF(R53=1,"ÁMBAR","VERDE")))</f>
      </c>
      <c r="H53" s="26">
        <f>IF(NOT(ISNUMBER(S53)),"",IF(S53=2,"ROJO",IF(S53=1,"ÁMBAR","VERDE")))</f>
      </c>
      <c r="I53" s="26">
        <f>IF(NOT(ISNUMBER(T53)),"",IF(T53=2,"ROJO",IF(T53=1,"ÁMBAR","VERDE")))</f>
      </c>
      <c r="J53" s="26">
        <f>IF(NOT(ISNUMBER(O53)),"",IF(O53=2,"ROJO",IF(O53=1,"ÁMBAR","VERDE")))</f>
      </c>
      <c r="K53" s="26">
        <f>IFERROR(IF(AND(N53=1,LEN(TRIM('DATOS'!N53&amp;""))&gt;0),'DATOS'!N53,""),"Hay una entrada con error. Corregimos el dato antes de cerrar la comprobación.")</f>
      </c>
      <c r="L53" s="26">
        <f>IFERROR(IF(N53=0,"",IF(O53&gt;0,"Completamos datos, claves o motivo. ","")&amp;IF(P53&gt;0,"Cotejamos precios e importe. ","")&amp;IF(Q53&gt;0,"Aclaramos el cero. ","")&amp;IF(R53&gt;0,"Comprobamos el texto. ","")&amp;IF(S53&gt;0,"Revisamos decimales visibles. ","")&amp;IF(T53&gt;0,"Confirmamos la unidad.","")),"Hay una entrada con error. Corregimos el dato antes de cerrar la comprobación.")</f>
      </c>
      <c r="N53" s="29" t="n">
        <f>IF(COUNTA('DATOS'!B53:O53)&gt;0,1,0)</f>
        <v>0</v>
      </c>
      <c r="O53" s="29">
        <f>IFERROR(IF(N53=0,"",IF(OR(NOT(AND(LEN(TRIM('DATOS'!B53&amp;""))&gt;0,TRIM('DATOS'!B53&amp;"")&lt;&gt;"Pendiente",TRIM('DATOS'!B53&amp;"")&lt;&gt;"Por confirmar",TRIM('DATOS'!B53&amp;"")&lt;&gt;"No consta",TRIM('DATOS'!B53&amp;"")&lt;&gt;"Desconocido",TRIM('DATOS'!B53&amp;"")&lt;&gt;"Sin confirmar",TRIM('DATOS'!B53&amp;"")&lt;&gt;"Por decidir",TRIM('DATOS'!B53&amp;"")&lt;&gt;"Por comprobar")),NOT(AND(LEN(TRIM('DATOS'!C53&amp;""))&gt;0,TRIM('DATOS'!C53&amp;"")&lt;&gt;"Pendiente",TRIM('DATOS'!C53&amp;"")&lt;&gt;"Por confirmar",TRIM('DATOS'!C53&amp;"")&lt;&gt;"No consta",TRIM('DATOS'!C53&amp;"")&lt;&gt;"Desconocido",TRIM('DATOS'!C53&amp;"")&lt;&gt;"Sin confirmar",TRIM('DATOS'!C53&amp;"")&lt;&gt;"Por decidir",TRIM('DATOS'!C53&amp;"")&lt;&gt;"Por comprobar")),NOT(AND(LEN(TRIM('DATOS'!D53&amp;""))&gt;0,TRIM('DATOS'!D53&amp;"")&lt;&gt;"Pendiente",TRIM('DATOS'!D53&amp;"")&lt;&gt;"Por confirmar",TRIM('DATOS'!D53&amp;"")&lt;&gt;"No consta",TRIM('DATOS'!D53&amp;"")&lt;&gt;"Desconocido",TRIM('DATOS'!D53&amp;"")&lt;&gt;"Sin confirmar",TRIM('DATOS'!D53&amp;"")&lt;&gt;"Por decidir",TRIM('DATOS'!D53&amp;"")&lt;&gt;"Por comprobar")),NOT(AND(LEN(TRIM('DATOS'!E53&amp;""))&gt;0,TRIM('DATOS'!E53&amp;"")&lt;&gt;"Pendiente",TRIM('DATOS'!E53&amp;"")&lt;&gt;"Por confirmar",TRIM('DATOS'!E53&amp;"")&lt;&gt;"No consta",TRIM('DATOS'!E53&amp;"")&lt;&gt;"Desconocido",TRIM('DATOS'!E53&amp;"")&lt;&gt;"Sin confirmar",TRIM('DATOS'!E53&amp;"")&lt;&gt;"Por decidir",TRIM('DATOS'!E53&amp;"")&lt;&gt;"Por comprobar")),NOT(AND(LEN(TRIM('DATOS'!F53&amp;""))&gt;0,TRIM('DATOS'!F53&amp;"")&lt;&gt;"Pendiente",TRIM('DATOS'!F53&amp;"")&lt;&gt;"Por confirmar",TRIM('DATOS'!F53&amp;"")&lt;&gt;"No consta",TRIM('DATOS'!F53&amp;"")&lt;&gt;"Desconocido",TRIM('DATOS'!F53&amp;"")&lt;&gt;"Sin confirmar",TRIM('DATOS'!F53&amp;"")&lt;&gt;"Por decidir",TRIM('DATOS'!F53&amp;"")&lt;&gt;"Por comprobar")),NOT(AND(LEN(TRIM('DATOS'!N53&amp;""))&gt;0,TRIM('DATOS'!N53&amp;"")&lt;&gt;"Pendiente",TRIM('DATOS'!N53&amp;"")&lt;&gt;"Por confirmar",TRIM('DATOS'!N53&amp;"")&lt;&gt;"No consta",TRIM('DATOS'!N53&amp;"")&lt;&gt;"Desconocido",TRIM('DATOS'!N53&amp;"")&lt;&gt;"Sin confirmar",TRIM('DATOS'!N53&amp;"")&lt;&gt;"Por decidir",TRIM('DATOS'!N53&amp;"")&lt;&gt;"Por comprobar")),NOT(Y53=1),W53&lt;&gt;1,X53&gt;1,NOT(OR(LEN(TRIM('DATOS'!K53&amp;""))=0,'DATOS'!K53="Sin valorar",'DATOS'!K53="Sin coste documentado",'DATOS'!K53="Incluido en otra partida",'DATOS'!K53="Por confirmar")),NOT(OR(LEN(TRIM('DATOS'!M53&amp;""))=0,'DATOS'!M53="Sí",'DATOS'!M53="No",'DATOS'!M53="Por confirmar")),NOT(OR(LEN(TRIM('DATOS'!O53&amp;""))=0,'DATOS'!O53="Comparamos",'DATOS'!O53="No existe",'DATOS'!O53="Por confirmar"))),2,IF(AND(OR('DATOS'!G53&lt;0,'DATOS'!H53&lt;0,'DATOS'!J53&lt;0),NOT(AND(LEN(TRIM('DATOS'!L53&amp;""))&gt;0,TRIM('DATOS'!L53&amp;"")&lt;&gt;"Pendiente",TRIM('DATOS'!L53&amp;"")&lt;&gt;"Por confirmar",TRIM('DATOS'!L53&amp;"")&lt;&gt;"No consta",TRIM('DATOS'!L53&amp;"")&lt;&gt;"Desconocido",TRIM('DATOS'!L53&amp;"")&lt;&gt;"Sin confirmar",TRIM('DATOS'!L53&amp;"")&lt;&gt;"Por decidir",TRIM('DATOS'!L53&amp;"")&lt;&gt;"Por comprobar"))),1,0))),2)</f>
      </c>
      <c r="P53" s="29">
        <f>IFERROR(IF(N53=0,"",IF(NOT(Y53=1),1,IF('REFERENCIAS'!$Q$8&lt;&gt;1,2,IF(ABS('DATOS'!J53-ROUND('DATOS'!G53*'DATOS'!H53,'REFERENCIAS'!$K$8))&gt;0.00000001,2,IF('DATOS'!O53="No existe",IF(LEN(TRIM('DATOS'!I53&amp;""))=0,0,2),IF('DATOS'!O53="Comparamos",IF(LEN(TRIM('DATOS'!I53&amp;""))=0,1,IF(ISNUMBER('DATOS'!I53),IF(ABS('DATOS'!H53-'DATOS'!I53)&gt;0.00000001,2,0),2)),1)))))),2)</f>
      </c>
      <c r="Q53" s="29">
        <f>IFERROR(IF(N53=0,"",IF(NOT(Y53=1),1,IF('DATOS'!K53="Sin valorar",2,IF('DATOS'!G53=0,1,IF(OR('DATOS'!H53=0,'DATOS'!J53=0),IF(AND(OR('DATOS'!K53="Sin coste documentado",'DATOS'!K53="Incluido en otra partida"),AND(LEN(TRIM('DATOS'!L53&amp;""))&gt;0,TRIM('DATOS'!L53&amp;"")&lt;&gt;"Pendiente",TRIM('DATOS'!L53&amp;"")&lt;&gt;"Por confirmar",TRIM('DATOS'!L53&amp;"")&lt;&gt;"No consta",TRIM('DATOS'!L53&amp;"")&lt;&gt;"Desconocido",TRIM('DATOS'!L53&amp;"")&lt;&gt;"Sin confirmar",TRIM('DATOS'!L53&amp;"")&lt;&gt;"Por decidir",TRIM('DATOS'!L53&amp;"")&lt;&gt;"Por comprobar")),0,1),0))))),2)</f>
      </c>
      <c r="R53" s="29">
        <f>IFERROR(IF(N53=0,"",IF(OR(NOT(AND(LEN(TRIM('DATOS'!D53&amp;""))&gt;0,TRIM('DATOS'!D53&amp;"")&lt;&gt;"Pendiente",TRIM('DATOS'!D53&amp;"")&lt;&gt;"Por confirmar",TRIM('DATOS'!D53&amp;"")&lt;&gt;"No consta",TRIM('DATOS'!D53&amp;"")&lt;&gt;"Desconocido",TRIM('DATOS'!D53&amp;"")&lt;&gt;"Sin confirmar",TRIM('DATOS'!D53&amp;"")&lt;&gt;"Por decidir",TRIM('DATOS'!D53&amp;"")&lt;&gt;"Por comprobar")),NOT(AND(LEN(TRIM('DATOS'!E53&amp;""))&gt;0,TRIM('DATOS'!E53&amp;"")&lt;&gt;"Pendiente",TRIM('DATOS'!E53&amp;"")&lt;&gt;"Por confirmar",TRIM('DATOS'!E53&amp;"")&lt;&gt;"No consta",TRIM('DATOS'!E53&amp;"")&lt;&gt;"Desconocido",TRIM('DATOS'!E53&amp;"")&lt;&gt;"Sin confirmar",TRIM('DATOS'!E53&amp;"")&lt;&gt;"Por decidir",TRIM('DATOS'!E53&amp;"")&lt;&gt;"Por comprobar"))),2,IF('DATOS'!M53="No",2,IF('DATOS'!M53="Sí",0,IF(OR('DATOS'!D53&lt;&gt;'DATOS'!E53,LEN('DATOS'!E53)&gt;300,RIGHT(TRIM('DATOS'!E53),3)="...",RIGHT(TRIM('DATOS'!E53),1)="…"),1,0))))),2)</f>
      </c>
      <c r="S53" s="29">
        <f>IFERROR(IF(N53=0,"",IF('REFERENCIAS'!$Q$8&lt;&gt;1,2,IF(NOT(Y53=1),1,IF(OR(ABS('DATOS'!G53-ROUND('DATOS'!G53,'REFERENCIAS'!$E$8))&gt;0.00000001,ABS('DATOS'!H53-ROUND('DATOS'!H53,'REFERENCIAS'!$H$8))&gt;0.00000001,ABS('DATOS'!J53-ROUND('DATOS'!J53,'REFERENCIAS'!$K$8))&gt;0.00000001,IF(ISNUMBER('DATOS'!I53),ABS('DATOS'!I53-ROUND('DATOS'!I53,'REFERENCIAS'!$H$8))&gt;0.00000001,FALSE)),1,0)))),2)</f>
      </c>
      <c r="T53" s="29">
        <f>IFERROR(IF(N53=0,"",IF(NOT(AND(LEN(TRIM('DATOS'!F53&amp;""))&gt;0,TRIM('DATOS'!F53&amp;"")&lt;&gt;"Pendiente",TRIM('DATOS'!F53&amp;"")&lt;&gt;"Por confirmar",TRIM('DATOS'!F53&amp;"")&lt;&gt;"No consta",TRIM('DATOS'!F53&amp;"")&lt;&gt;"Desconocido",TRIM('DATOS'!F53&amp;"")&lt;&gt;"Sin confirmar",TRIM('DATOS'!F53&amp;"")&lt;&gt;"Por decidir",TRIM('DATOS'!F53&amp;"")&lt;&gt;"Por comprobar")),2,IF(COUNTIFS('REFERENCIAS'!$T$15:$T$34,"ID:"&amp;SUBSTITUTE(SUBSTITUTE(SUBSTITUTE(SUBSTITUTE(UPPER(TRIM('DATOS'!F53&amp;"")),"!","!E"),"*","!A"),"?","!B"),"~","!C"),'REFERENCIAS'!$H$15:$H$34,"&lt;&gt;")&gt;0,0,1))),2)</f>
      </c>
      <c r="U53" s="29" t="str">
        <f>'DATOS'!R53</f>
        <v>ID:</v>
      </c>
      <c r="V53" s="29" t="str">
        <f>'DATOS'!S53</f>
        <v>ID:</v>
      </c>
      <c r="W53" s="29" t="n">
        <f>IF(N53=0,0,COUNTIFS('REFERENCIAS'!$R$15:$R$64,U53))</f>
        <v>0</v>
      </c>
      <c r="X53" s="29" t="n">
        <f>IF(N53=0,0,COUNTIFS('DATOS'!$R$10:$R$509,U53,'DATOS'!$S$10:$S$509,V53))</f>
        <v>0</v>
      </c>
      <c r="Y53" s="29" t="n">
        <f>IF(AND(ISNUMBER('DATOS'!G53),ISNUMBER('DATOS'!H53),ISNUMBER('DATOS'!J53)),1,0)</f>
        <v>0</v>
      </c>
    </row>
    <row r="54" ht="64" customHeight="1">
      <c r="B54" s="26">
        <f>IF(N54=1,45,"")</f>
      </c>
      <c r="C54" s="26">
        <f>IF(AND(N54=1,LEN(TRIM('DATOS'!B54&amp;""))&gt;0),'DATOS'!B54,"")</f>
      </c>
      <c r="D54" s="26">
        <f>IF(AND(N54=1,LEN(TRIM('DATOS'!C54&amp;""))&gt;0),'DATOS'!C54,"")</f>
      </c>
      <c r="E54" s="26">
        <f>IF(NOT(ISNUMBER(P54)),"",IF(P54=2,"ROJO",IF(P54=1,"ÁMBAR","VERDE")))</f>
      </c>
      <c r="F54" s="26">
        <f>IF(NOT(ISNUMBER(Q54)),"",IF(Q54=2,"ROJO",IF(Q54=1,"ÁMBAR","VERDE")))</f>
      </c>
      <c r="G54" s="26">
        <f>IF(NOT(ISNUMBER(R54)),"",IF(R54=2,"ROJO",IF(R54=1,"ÁMBAR","VERDE")))</f>
      </c>
      <c r="H54" s="26">
        <f>IF(NOT(ISNUMBER(S54)),"",IF(S54=2,"ROJO",IF(S54=1,"ÁMBAR","VERDE")))</f>
      </c>
      <c r="I54" s="26">
        <f>IF(NOT(ISNUMBER(T54)),"",IF(T54=2,"ROJO",IF(T54=1,"ÁMBAR","VERDE")))</f>
      </c>
      <c r="J54" s="26">
        <f>IF(NOT(ISNUMBER(O54)),"",IF(O54=2,"ROJO",IF(O54=1,"ÁMBAR","VERDE")))</f>
      </c>
      <c r="K54" s="26">
        <f>IFERROR(IF(AND(N54=1,LEN(TRIM('DATOS'!N54&amp;""))&gt;0),'DATOS'!N54,""),"Hay una entrada con error. Corregimos el dato antes de cerrar la comprobación.")</f>
      </c>
      <c r="L54" s="26">
        <f>IFERROR(IF(N54=0,"",IF(O54&gt;0,"Completamos datos, claves o motivo. ","")&amp;IF(P54&gt;0,"Cotejamos precios e importe. ","")&amp;IF(Q54&gt;0,"Aclaramos el cero. ","")&amp;IF(R54&gt;0,"Comprobamos el texto. ","")&amp;IF(S54&gt;0,"Revisamos decimales visibles. ","")&amp;IF(T54&gt;0,"Confirmamos la unidad.","")),"Hay una entrada con error. Corregimos el dato antes de cerrar la comprobación.")</f>
      </c>
      <c r="N54" s="29" t="n">
        <f>IF(COUNTA('DATOS'!B54:O54)&gt;0,1,0)</f>
        <v>0</v>
      </c>
      <c r="O54" s="29">
        <f>IFERROR(IF(N54=0,"",IF(OR(NOT(AND(LEN(TRIM('DATOS'!B54&amp;""))&gt;0,TRIM('DATOS'!B54&amp;"")&lt;&gt;"Pendiente",TRIM('DATOS'!B54&amp;"")&lt;&gt;"Por confirmar",TRIM('DATOS'!B54&amp;"")&lt;&gt;"No consta",TRIM('DATOS'!B54&amp;"")&lt;&gt;"Desconocido",TRIM('DATOS'!B54&amp;"")&lt;&gt;"Sin confirmar",TRIM('DATOS'!B54&amp;"")&lt;&gt;"Por decidir",TRIM('DATOS'!B54&amp;"")&lt;&gt;"Por comprobar")),NOT(AND(LEN(TRIM('DATOS'!C54&amp;""))&gt;0,TRIM('DATOS'!C54&amp;"")&lt;&gt;"Pendiente",TRIM('DATOS'!C54&amp;"")&lt;&gt;"Por confirmar",TRIM('DATOS'!C54&amp;"")&lt;&gt;"No consta",TRIM('DATOS'!C54&amp;"")&lt;&gt;"Desconocido",TRIM('DATOS'!C54&amp;"")&lt;&gt;"Sin confirmar",TRIM('DATOS'!C54&amp;"")&lt;&gt;"Por decidir",TRIM('DATOS'!C54&amp;"")&lt;&gt;"Por comprobar")),NOT(AND(LEN(TRIM('DATOS'!D54&amp;""))&gt;0,TRIM('DATOS'!D54&amp;"")&lt;&gt;"Pendiente",TRIM('DATOS'!D54&amp;"")&lt;&gt;"Por confirmar",TRIM('DATOS'!D54&amp;"")&lt;&gt;"No consta",TRIM('DATOS'!D54&amp;"")&lt;&gt;"Desconocido",TRIM('DATOS'!D54&amp;"")&lt;&gt;"Sin confirmar",TRIM('DATOS'!D54&amp;"")&lt;&gt;"Por decidir",TRIM('DATOS'!D54&amp;"")&lt;&gt;"Por comprobar")),NOT(AND(LEN(TRIM('DATOS'!E54&amp;""))&gt;0,TRIM('DATOS'!E54&amp;"")&lt;&gt;"Pendiente",TRIM('DATOS'!E54&amp;"")&lt;&gt;"Por confirmar",TRIM('DATOS'!E54&amp;"")&lt;&gt;"No consta",TRIM('DATOS'!E54&amp;"")&lt;&gt;"Desconocido",TRIM('DATOS'!E54&amp;"")&lt;&gt;"Sin confirmar",TRIM('DATOS'!E54&amp;"")&lt;&gt;"Por decidir",TRIM('DATOS'!E54&amp;"")&lt;&gt;"Por comprobar")),NOT(AND(LEN(TRIM('DATOS'!F54&amp;""))&gt;0,TRIM('DATOS'!F54&amp;"")&lt;&gt;"Pendiente",TRIM('DATOS'!F54&amp;"")&lt;&gt;"Por confirmar",TRIM('DATOS'!F54&amp;"")&lt;&gt;"No consta",TRIM('DATOS'!F54&amp;"")&lt;&gt;"Desconocido",TRIM('DATOS'!F54&amp;"")&lt;&gt;"Sin confirmar",TRIM('DATOS'!F54&amp;"")&lt;&gt;"Por decidir",TRIM('DATOS'!F54&amp;"")&lt;&gt;"Por comprobar")),NOT(AND(LEN(TRIM('DATOS'!N54&amp;""))&gt;0,TRIM('DATOS'!N54&amp;"")&lt;&gt;"Pendiente",TRIM('DATOS'!N54&amp;"")&lt;&gt;"Por confirmar",TRIM('DATOS'!N54&amp;"")&lt;&gt;"No consta",TRIM('DATOS'!N54&amp;"")&lt;&gt;"Desconocido",TRIM('DATOS'!N54&amp;"")&lt;&gt;"Sin confirmar",TRIM('DATOS'!N54&amp;"")&lt;&gt;"Por decidir",TRIM('DATOS'!N54&amp;"")&lt;&gt;"Por comprobar")),NOT(Y54=1),W54&lt;&gt;1,X54&gt;1,NOT(OR(LEN(TRIM('DATOS'!K54&amp;""))=0,'DATOS'!K54="Sin valorar",'DATOS'!K54="Sin coste documentado",'DATOS'!K54="Incluido en otra partida",'DATOS'!K54="Por confirmar")),NOT(OR(LEN(TRIM('DATOS'!M54&amp;""))=0,'DATOS'!M54="Sí",'DATOS'!M54="No",'DATOS'!M54="Por confirmar")),NOT(OR(LEN(TRIM('DATOS'!O54&amp;""))=0,'DATOS'!O54="Comparamos",'DATOS'!O54="No existe",'DATOS'!O54="Por confirmar"))),2,IF(AND(OR('DATOS'!G54&lt;0,'DATOS'!H54&lt;0,'DATOS'!J54&lt;0),NOT(AND(LEN(TRIM('DATOS'!L54&amp;""))&gt;0,TRIM('DATOS'!L54&amp;"")&lt;&gt;"Pendiente",TRIM('DATOS'!L54&amp;"")&lt;&gt;"Por confirmar",TRIM('DATOS'!L54&amp;"")&lt;&gt;"No consta",TRIM('DATOS'!L54&amp;"")&lt;&gt;"Desconocido",TRIM('DATOS'!L54&amp;"")&lt;&gt;"Sin confirmar",TRIM('DATOS'!L54&amp;"")&lt;&gt;"Por decidir",TRIM('DATOS'!L54&amp;"")&lt;&gt;"Por comprobar"))),1,0))),2)</f>
      </c>
      <c r="P54" s="29">
        <f>IFERROR(IF(N54=0,"",IF(NOT(Y54=1),1,IF('REFERENCIAS'!$Q$8&lt;&gt;1,2,IF(ABS('DATOS'!J54-ROUND('DATOS'!G54*'DATOS'!H54,'REFERENCIAS'!$K$8))&gt;0.00000001,2,IF('DATOS'!O54="No existe",IF(LEN(TRIM('DATOS'!I54&amp;""))=0,0,2),IF('DATOS'!O54="Comparamos",IF(LEN(TRIM('DATOS'!I54&amp;""))=0,1,IF(ISNUMBER('DATOS'!I54),IF(ABS('DATOS'!H54-'DATOS'!I54)&gt;0.00000001,2,0),2)),1)))))),2)</f>
      </c>
      <c r="Q54" s="29">
        <f>IFERROR(IF(N54=0,"",IF(NOT(Y54=1),1,IF('DATOS'!K54="Sin valorar",2,IF('DATOS'!G54=0,1,IF(OR('DATOS'!H54=0,'DATOS'!J54=0),IF(AND(OR('DATOS'!K54="Sin coste documentado",'DATOS'!K54="Incluido en otra partida"),AND(LEN(TRIM('DATOS'!L54&amp;""))&gt;0,TRIM('DATOS'!L54&amp;"")&lt;&gt;"Pendiente",TRIM('DATOS'!L54&amp;"")&lt;&gt;"Por confirmar",TRIM('DATOS'!L54&amp;"")&lt;&gt;"No consta",TRIM('DATOS'!L54&amp;"")&lt;&gt;"Desconocido",TRIM('DATOS'!L54&amp;"")&lt;&gt;"Sin confirmar",TRIM('DATOS'!L54&amp;"")&lt;&gt;"Por decidir",TRIM('DATOS'!L54&amp;"")&lt;&gt;"Por comprobar")),0,1),0))))),2)</f>
      </c>
      <c r="R54" s="29">
        <f>IFERROR(IF(N54=0,"",IF(OR(NOT(AND(LEN(TRIM('DATOS'!D54&amp;""))&gt;0,TRIM('DATOS'!D54&amp;"")&lt;&gt;"Pendiente",TRIM('DATOS'!D54&amp;"")&lt;&gt;"Por confirmar",TRIM('DATOS'!D54&amp;"")&lt;&gt;"No consta",TRIM('DATOS'!D54&amp;"")&lt;&gt;"Desconocido",TRIM('DATOS'!D54&amp;"")&lt;&gt;"Sin confirmar",TRIM('DATOS'!D54&amp;"")&lt;&gt;"Por decidir",TRIM('DATOS'!D54&amp;"")&lt;&gt;"Por comprobar")),NOT(AND(LEN(TRIM('DATOS'!E54&amp;""))&gt;0,TRIM('DATOS'!E54&amp;"")&lt;&gt;"Pendiente",TRIM('DATOS'!E54&amp;"")&lt;&gt;"Por confirmar",TRIM('DATOS'!E54&amp;"")&lt;&gt;"No consta",TRIM('DATOS'!E54&amp;"")&lt;&gt;"Desconocido",TRIM('DATOS'!E54&amp;"")&lt;&gt;"Sin confirmar",TRIM('DATOS'!E54&amp;"")&lt;&gt;"Por decidir",TRIM('DATOS'!E54&amp;"")&lt;&gt;"Por comprobar"))),2,IF('DATOS'!M54="No",2,IF('DATOS'!M54="Sí",0,IF(OR('DATOS'!D54&lt;&gt;'DATOS'!E54,LEN('DATOS'!E54)&gt;300,RIGHT(TRIM('DATOS'!E54),3)="...",RIGHT(TRIM('DATOS'!E54),1)="…"),1,0))))),2)</f>
      </c>
      <c r="S54" s="29">
        <f>IFERROR(IF(N54=0,"",IF('REFERENCIAS'!$Q$8&lt;&gt;1,2,IF(NOT(Y54=1),1,IF(OR(ABS('DATOS'!G54-ROUND('DATOS'!G54,'REFERENCIAS'!$E$8))&gt;0.00000001,ABS('DATOS'!H54-ROUND('DATOS'!H54,'REFERENCIAS'!$H$8))&gt;0.00000001,ABS('DATOS'!J54-ROUND('DATOS'!J54,'REFERENCIAS'!$K$8))&gt;0.00000001,IF(ISNUMBER('DATOS'!I54),ABS('DATOS'!I54-ROUND('DATOS'!I54,'REFERENCIAS'!$H$8))&gt;0.00000001,FALSE)),1,0)))),2)</f>
      </c>
      <c r="T54" s="29">
        <f>IFERROR(IF(N54=0,"",IF(NOT(AND(LEN(TRIM('DATOS'!F54&amp;""))&gt;0,TRIM('DATOS'!F54&amp;"")&lt;&gt;"Pendiente",TRIM('DATOS'!F54&amp;"")&lt;&gt;"Por confirmar",TRIM('DATOS'!F54&amp;"")&lt;&gt;"No consta",TRIM('DATOS'!F54&amp;"")&lt;&gt;"Desconocido",TRIM('DATOS'!F54&amp;"")&lt;&gt;"Sin confirmar",TRIM('DATOS'!F54&amp;"")&lt;&gt;"Por decidir",TRIM('DATOS'!F54&amp;"")&lt;&gt;"Por comprobar")),2,IF(COUNTIFS('REFERENCIAS'!$T$15:$T$34,"ID:"&amp;SUBSTITUTE(SUBSTITUTE(SUBSTITUTE(SUBSTITUTE(UPPER(TRIM('DATOS'!F54&amp;"")),"!","!E"),"*","!A"),"?","!B"),"~","!C"),'REFERENCIAS'!$H$15:$H$34,"&lt;&gt;")&gt;0,0,1))),2)</f>
      </c>
      <c r="U54" s="29" t="str">
        <f>'DATOS'!R54</f>
        <v>ID:</v>
      </c>
      <c r="V54" s="29" t="str">
        <f>'DATOS'!S54</f>
        <v>ID:</v>
      </c>
      <c r="W54" s="29" t="n">
        <f>IF(N54=0,0,COUNTIFS('REFERENCIAS'!$R$15:$R$64,U54))</f>
        <v>0</v>
      </c>
      <c r="X54" s="29" t="n">
        <f>IF(N54=0,0,COUNTIFS('DATOS'!$R$10:$R$509,U54,'DATOS'!$S$10:$S$509,V54))</f>
        <v>0</v>
      </c>
      <c r="Y54" s="29" t="n">
        <f>IF(AND(ISNUMBER('DATOS'!G54),ISNUMBER('DATOS'!H54),ISNUMBER('DATOS'!J54)),1,0)</f>
        <v>0</v>
      </c>
    </row>
    <row r="55" ht="64" customHeight="1">
      <c r="B55" s="26">
        <f>IF(N55=1,46,"")</f>
      </c>
      <c r="C55" s="26">
        <f>IF(AND(N55=1,LEN(TRIM('DATOS'!B55&amp;""))&gt;0),'DATOS'!B55,"")</f>
      </c>
      <c r="D55" s="26">
        <f>IF(AND(N55=1,LEN(TRIM('DATOS'!C55&amp;""))&gt;0),'DATOS'!C55,"")</f>
      </c>
      <c r="E55" s="26">
        <f>IF(NOT(ISNUMBER(P55)),"",IF(P55=2,"ROJO",IF(P55=1,"ÁMBAR","VERDE")))</f>
      </c>
      <c r="F55" s="26">
        <f>IF(NOT(ISNUMBER(Q55)),"",IF(Q55=2,"ROJO",IF(Q55=1,"ÁMBAR","VERDE")))</f>
      </c>
      <c r="G55" s="26">
        <f>IF(NOT(ISNUMBER(R55)),"",IF(R55=2,"ROJO",IF(R55=1,"ÁMBAR","VERDE")))</f>
      </c>
      <c r="H55" s="26">
        <f>IF(NOT(ISNUMBER(S55)),"",IF(S55=2,"ROJO",IF(S55=1,"ÁMBAR","VERDE")))</f>
      </c>
      <c r="I55" s="26">
        <f>IF(NOT(ISNUMBER(T55)),"",IF(T55=2,"ROJO",IF(T55=1,"ÁMBAR","VERDE")))</f>
      </c>
      <c r="J55" s="26">
        <f>IF(NOT(ISNUMBER(O55)),"",IF(O55=2,"ROJO",IF(O55=1,"ÁMBAR","VERDE")))</f>
      </c>
      <c r="K55" s="26">
        <f>IFERROR(IF(AND(N55=1,LEN(TRIM('DATOS'!N55&amp;""))&gt;0),'DATOS'!N55,""),"Hay una entrada con error. Corregimos el dato antes de cerrar la comprobación.")</f>
      </c>
      <c r="L55" s="26">
        <f>IFERROR(IF(N55=0,"",IF(O55&gt;0,"Completamos datos, claves o motivo. ","")&amp;IF(P55&gt;0,"Cotejamos precios e importe. ","")&amp;IF(Q55&gt;0,"Aclaramos el cero. ","")&amp;IF(R55&gt;0,"Comprobamos el texto. ","")&amp;IF(S55&gt;0,"Revisamos decimales visibles. ","")&amp;IF(T55&gt;0,"Confirmamos la unidad.","")),"Hay una entrada con error. Corregimos el dato antes de cerrar la comprobación.")</f>
      </c>
      <c r="N55" s="29" t="n">
        <f>IF(COUNTA('DATOS'!B55:O55)&gt;0,1,0)</f>
        <v>0</v>
      </c>
      <c r="O55" s="29">
        <f>IFERROR(IF(N55=0,"",IF(OR(NOT(AND(LEN(TRIM('DATOS'!B55&amp;""))&gt;0,TRIM('DATOS'!B55&amp;"")&lt;&gt;"Pendiente",TRIM('DATOS'!B55&amp;"")&lt;&gt;"Por confirmar",TRIM('DATOS'!B55&amp;"")&lt;&gt;"No consta",TRIM('DATOS'!B55&amp;"")&lt;&gt;"Desconocido",TRIM('DATOS'!B55&amp;"")&lt;&gt;"Sin confirmar",TRIM('DATOS'!B55&amp;"")&lt;&gt;"Por decidir",TRIM('DATOS'!B55&amp;"")&lt;&gt;"Por comprobar")),NOT(AND(LEN(TRIM('DATOS'!C55&amp;""))&gt;0,TRIM('DATOS'!C55&amp;"")&lt;&gt;"Pendiente",TRIM('DATOS'!C55&amp;"")&lt;&gt;"Por confirmar",TRIM('DATOS'!C55&amp;"")&lt;&gt;"No consta",TRIM('DATOS'!C55&amp;"")&lt;&gt;"Desconocido",TRIM('DATOS'!C55&amp;"")&lt;&gt;"Sin confirmar",TRIM('DATOS'!C55&amp;"")&lt;&gt;"Por decidir",TRIM('DATOS'!C55&amp;"")&lt;&gt;"Por comprobar")),NOT(AND(LEN(TRIM('DATOS'!D55&amp;""))&gt;0,TRIM('DATOS'!D55&amp;"")&lt;&gt;"Pendiente",TRIM('DATOS'!D55&amp;"")&lt;&gt;"Por confirmar",TRIM('DATOS'!D55&amp;"")&lt;&gt;"No consta",TRIM('DATOS'!D55&amp;"")&lt;&gt;"Desconocido",TRIM('DATOS'!D55&amp;"")&lt;&gt;"Sin confirmar",TRIM('DATOS'!D55&amp;"")&lt;&gt;"Por decidir",TRIM('DATOS'!D55&amp;"")&lt;&gt;"Por comprobar")),NOT(AND(LEN(TRIM('DATOS'!E55&amp;""))&gt;0,TRIM('DATOS'!E55&amp;"")&lt;&gt;"Pendiente",TRIM('DATOS'!E55&amp;"")&lt;&gt;"Por confirmar",TRIM('DATOS'!E55&amp;"")&lt;&gt;"No consta",TRIM('DATOS'!E55&amp;"")&lt;&gt;"Desconocido",TRIM('DATOS'!E55&amp;"")&lt;&gt;"Sin confirmar",TRIM('DATOS'!E55&amp;"")&lt;&gt;"Por decidir",TRIM('DATOS'!E55&amp;"")&lt;&gt;"Por comprobar")),NOT(AND(LEN(TRIM('DATOS'!F55&amp;""))&gt;0,TRIM('DATOS'!F55&amp;"")&lt;&gt;"Pendiente",TRIM('DATOS'!F55&amp;"")&lt;&gt;"Por confirmar",TRIM('DATOS'!F55&amp;"")&lt;&gt;"No consta",TRIM('DATOS'!F55&amp;"")&lt;&gt;"Desconocido",TRIM('DATOS'!F55&amp;"")&lt;&gt;"Sin confirmar",TRIM('DATOS'!F55&amp;"")&lt;&gt;"Por decidir",TRIM('DATOS'!F55&amp;"")&lt;&gt;"Por comprobar")),NOT(AND(LEN(TRIM('DATOS'!N55&amp;""))&gt;0,TRIM('DATOS'!N55&amp;"")&lt;&gt;"Pendiente",TRIM('DATOS'!N55&amp;"")&lt;&gt;"Por confirmar",TRIM('DATOS'!N55&amp;"")&lt;&gt;"No consta",TRIM('DATOS'!N55&amp;"")&lt;&gt;"Desconocido",TRIM('DATOS'!N55&amp;"")&lt;&gt;"Sin confirmar",TRIM('DATOS'!N55&amp;"")&lt;&gt;"Por decidir",TRIM('DATOS'!N55&amp;"")&lt;&gt;"Por comprobar")),NOT(Y55=1),W55&lt;&gt;1,X55&gt;1,NOT(OR(LEN(TRIM('DATOS'!K55&amp;""))=0,'DATOS'!K55="Sin valorar",'DATOS'!K55="Sin coste documentado",'DATOS'!K55="Incluido en otra partida",'DATOS'!K55="Por confirmar")),NOT(OR(LEN(TRIM('DATOS'!M55&amp;""))=0,'DATOS'!M55="Sí",'DATOS'!M55="No",'DATOS'!M55="Por confirmar")),NOT(OR(LEN(TRIM('DATOS'!O55&amp;""))=0,'DATOS'!O55="Comparamos",'DATOS'!O55="No existe",'DATOS'!O55="Por confirmar"))),2,IF(AND(OR('DATOS'!G55&lt;0,'DATOS'!H55&lt;0,'DATOS'!J55&lt;0),NOT(AND(LEN(TRIM('DATOS'!L55&amp;""))&gt;0,TRIM('DATOS'!L55&amp;"")&lt;&gt;"Pendiente",TRIM('DATOS'!L55&amp;"")&lt;&gt;"Por confirmar",TRIM('DATOS'!L55&amp;"")&lt;&gt;"No consta",TRIM('DATOS'!L55&amp;"")&lt;&gt;"Desconocido",TRIM('DATOS'!L55&amp;"")&lt;&gt;"Sin confirmar",TRIM('DATOS'!L55&amp;"")&lt;&gt;"Por decidir",TRIM('DATOS'!L55&amp;"")&lt;&gt;"Por comprobar"))),1,0))),2)</f>
      </c>
      <c r="P55" s="29">
        <f>IFERROR(IF(N55=0,"",IF(NOT(Y55=1),1,IF('REFERENCIAS'!$Q$8&lt;&gt;1,2,IF(ABS('DATOS'!J55-ROUND('DATOS'!G55*'DATOS'!H55,'REFERENCIAS'!$K$8))&gt;0.00000001,2,IF('DATOS'!O55="No existe",IF(LEN(TRIM('DATOS'!I55&amp;""))=0,0,2),IF('DATOS'!O55="Comparamos",IF(LEN(TRIM('DATOS'!I55&amp;""))=0,1,IF(ISNUMBER('DATOS'!I55),IF(ABS('DATOS'!H55-'DATOS'!I55)&gt;0.00000001,2,0),2)),1)))))),2)</f>
      </c>
      <c r="Q55" s="29">
        <f>IFERROR(IF(N55=0,"",IF(NOT(Y55=1),1,IF('DATOS'!K55="Sin valorar",2,IF('DATOS'!G55=0,1,IF(OR('DATOS'!H55=0,'DATOS'!J55=0),IF(AND(OR('DATOS'!K55="Sin coste documentado",'DATOS'!K55="Incluido en otra partida"),AND(LEN(TRIM('DATOS'!L55&amp;""))&gt;0,TRIM('DATOS'!L55&amp;"")&lt;&gt;"Pendiente",TRIM('DATOS'!L55&amp;"")&lt;&gt;"Por confirmar",TRIM('DATOS'!L55&amp;"")&lt;&gt;"No consta",TRIM('DATOS'!L55&amp;"")&lt;&gt;"Desconocido",TRIM('DATOS'!L55&amp;"")&lt;&gt;"Sin confirmar",TRIM('DATOS'!L55&amp;"")&lt;&gt;"Por decidir",TRIM('DATOS'!L55&amp;"")&lt;&gt;"Por comprobar")),0,1),0))))),2)</f>
      </c>
      <c r="R55" s="29">
        <f>IFERROR(IF(N55=0,"",IF(OR(NOT(AND(LEN(TRIM('DATOS'!D55&amp;""))&gt;0,TRIM('DATOS'!D55&amp;"")&lt;&gt;"Pendiente",TRIM('DATOS'!D55&amp;"")&lt;&gt;"Por confirmar",TRIM('DATOS'!D55&amp;"")&lt;&gt;"No consta",TRIM('DATOS'!D55&amp;"")&lt;&gt;"Desconocido",TRIM('DATOS'!D55&amp;"")&lt;&gt;"Sin confirmar",TRIM('DATOS'!D55&amp;"")&lt;&gt;"Por decidir",TRIM('DATOS'!D55&amp;"")&lt;&gt;"Por comprobar")),NOT(AND(LEN(TRIM('DATOS'!E55&amp;""))&gt;0,TRIM('DATOS'!E55&amp;"")&lt;&gt;"Pendiente",TRIM('DATOS'!E55&amp;"")&lt;&gt;"Por confirmar",TRIM('DATOS'!E55&amp;"")&lt;&gt;"No consta",TRIM('DATOS'!E55&amp;"")&lt;&gt;"Desconocido",TRIM('DATOS'!E55&amp;"")&lt;&gt;"Sin confirmar",TRIM('DATOS'!E55&amp;"")&lt;&gt;"Por decidir",TRIM('DATOS'!E55&amp;"")&lt;&gt;"Por comprobar"))),2,IF('DATOS'!M55="No",2,IF('DATOS'!M55="Sí",0,IF(OR('DATOS'!D55&lt;&gt;'DATOS'!E55,LEN('DATOS'!E55)&gt;300,RIGHT(TRIM('DATOS'!E55),3)="...",RIGHT(TRIM('DATOS'!E55),1)="…"),1,0))))),2)</f>
      </c>
      <c r="S55" s="29">
        <f>IFERROR(IF(N55=0,"",IF('REFERENCIAS'!$Q$8&lt;&gt;1,2,IF(NOT(Y55=1),1,IF(OR(ABS('DATOS'!G55-ROUND('DATOS'!G55,'REFERENCIAS'!$E$8))&gt;0.00000001,ABS('DATOS'!H55-ROUND('DATOS'!H55,'REFERENCIAS'!$H$8))&gt;0.00000001,ABS('DATOS'!J55-ROUND('DATOS'!J55,'REFERENCIAS'!$K$8))&gt;0.00000001,IF(ISNUMBER('DATOS'!I55),ABS('DATOS'!I55-ROUND('DATOS'!I55,'REFERENCIAS'!$H$8))&gt;0.00000001,FALSE)),1,0)))),2)</f>
      </c>
      <c r="T55" s="29">
        <f>IFERROR(IF(N55=0,"",IF(NOT(AND(LEN(TRIM('DATOS'!F55&amp;""))&gt;0,TRIM('DATOS'!F55&amp;"")&lt;&gt;"Pendiente",TRIM('DATOS'!F55&amp;"")&lt;&gt;"Por confirmar",TRIM('DATOS'!F55&amp;"")&lt;&gt;"No consta",TRIM('DATOS'!F55&amp;"")&lt;&gt;"Desconocido",TRIM('DATOS'!F55&amp;"")&lt;&gt;"Sin confirmar",TRIM('DATOS'!F55&amp;"")&lt;&gt;"Por decidir",TRIM('DATOS'!F55&amp;"")&lt;&gt;"Por comprobar")),2,IF(COUNTIFS('REFERENCIAS'!$T$15:$T$34,"ID:"&amp;SUBSTITUTE(SUBSTITUTE(SUBSTITUTE(SUBSTITUTE(UPPER(TRIM('DATOS'!F55&amp;"")),"!","!E"),"*","!A"),"?","!B"),"~","!C"),'REFERENCIAS'!$H$15:$H$34,"&lt;&gt;")&gt;0,0,1))),2)</f>
      </c>
      <c r="U55" s="29" t="str">
        <f>'DATOS'!R55</f>
        <v>ID:</v>
      </c>
      <c r="V55" s="29" t="str">
        <f>'DATOS'!S55</f>
        <v>ID:</v>
      </c>
      <c r="W55" s="29" t="n">
        <f>IF(N55=0,0,COUNTIFS('REFERENCIAS'!$R$15:$R$64,U55))</f>
        <v>0</v>
      </c>
      <c r="X55" s="29" t="n">
        <f>IF(N55=0,0,COUNTIFS('DATOS'!$R$10:$R$509,U55,'DATOS'!$S$10:$S$509,V55))</f>
        <v>0</v>
      </c>
      <c r="Y55" s="29" t="n">
        <f>IF(AND(ISNUMBER('DATOS'!G55),ISNUMBER('DATOS'!H55),ISNUMBER('DATOS'!J55)),1,0)</f>
        <v>0</v>
      </c>
    </row>
    <row r="56" ht="64" customHeight="1">
      <c r="B56" s="26">
        <f>IF(N56=1,47,"")</f>
      </c>
      <c r="C56" s="26">
        <f>IF(AND(N56=1,LEN(TRIM('DATOS'!B56&amp;""))&gt;0),'DATOS'!B56,"")</f>
      </c>
      <c r="D56" s="26">
        <f>IF(AND(N56=1,LEN(TRIM('DATOS'!C56&amp;""))&gt;0),'DATOS'!C56,"")</f>
      </c>
      <c r="E56" s="26">
        <f>IF(NOT(ISNUMBER(P56)),"",IF(P56=2,"ROJO",IF(P56=1,"ÁMBAR","VERDE")))</f>
      </c>
      <c r="F56" s="26">
        <f>IF(NOT(ISNUMBER(Q56)),"",IF(Q56=2,"ROJO",IF(Q56=1,"ÁMBAR","VERDE")))</f>
      </c>
      <c r="G56" s="26">
        <f>IF(NOT(ISNUMBER(R56)),"",IF(R56=2,"ROJO",IF(R56=1,"ÁMBAR","VERDE")))</f>
      </c>
      <c r="H56" s="26">
        <f>IF(NOT(ISNUMBER(S56)),"",IF(S56=2,"ROJO",IF(S56=1,"ÁMBAR","VERDE")))</f>
      </c>
      <c r="I56" s="26">
        <f>IF(NOT(ISNUMBER(T56)),"",IF(T56=2,"ROJO",IF(T56=1,"ÁMBAR","VERDE")))</f>
      </c>
      <c r="J56" s="26">
        <f>IF(NOT(ISNUMBER(O56)),"",IF(O56=2,"ROJO",IF(O56=1,"ÁMBAR","VERDE")))</f>
      </c>
      <c r="K56" s="26">
        <f>IFERROR(IF(AND(N56=1,LEN(TRIM('DATOS'!N56&amp;""))&gt;0),'DATOS'!N56,""),"Hay una entrada con error. Corregimos el dato antes de cerrar la comprobación.")</f>
      </c>
      <c r="L56" s="26">
        <f>IFERROR(IF(N56=0,"",IF(O56&gt;0,"Completamos datos, claves o motivo. ","")&amp;IF(P56&gt;0,"Cotejamos precios e importe. ","")&amp;IF(Q56&gt;0,"Aclaramos el cero. ","")&amp;IF(R56&gt;0,"Comprobamos el texto. ","")&amp;IF(S56&gt;0,"Revisamos decimales visibles. ","")&amp;IF(T56&gt;0,"Confirmamos la unidad.","")),"Hay una entrada con error. Corregimos el dato antes de cerrar la comprobación.")</f>
      </c>
      <c r="N56" s="29" t="n">
        <f>IF(COUNTA('DATOS'!B56:O56)&gt;0,1,0)</f>
        <v>0</v>
      </c>
      <c r="O56" s="29">
        <f>IFERROR(IF(N56=0,"",IF(OR(NOT(AND(LEN(TRIM('DATOS'!B56&amp;""))&gt;0,TRIM('DATOS'!B56&amp;"")&lt;&gt;"Pendiente",TRIM('DATOS'!B56&amp;"")&lt;&gt;"Por confirmar",TRIM('DATOS'!B56&amp;"")&lt;&gt;"No consta",TRIM('DATOS'!B56&amp;"")&lt;&gt;"Desconocido",TRIM('DATOS'!B56&amp;"")&lt;&gt;"Sin confirmar",TRIM('DATOS'!B56&amp;"")&lt;&gt;"Por decidir",TRIM('DATOS'!B56&amp;"")&lt;&gt;"Por comprobar")),NOT(AND(LEN(TRIM('DATOS'!C56&amp;""))&gt;0,TRIM('DATOS'!C56&amp;"")&lt;&gt;"Pendiente",TRIM('DATOS'!C56&amp;"")&lt;&gt;"Por confirmar",TRIM('DATOS'!C56&amp;"")&lt;&gt;"No consta",TRIM('DATOS'!C56&amp;"")&lt;&gt;"Desconocido",TRIM('DATOS'!C56&amp;"")&lt;&gt;"Sin confirmar",TRIM('DATOS'!C56&amp;"")&lt;&gt;"Por decidir",TRIM('DATOS'!C56&amp;"")&lt;&gt;"Por comprobar")),NOT(AND(LEN(TRIM('DATOS'!D56&amp;""))&gt;0,TRIM('DATOS'!D56&amp;"")&lt;&gt;"Pendiente",TRIM('DATOS'!D56&amp;"")&lt;&gt;"Por confirmar",TRIM('DATOS'!D56&amp;"")&lt;&gt;"No consta",TRIM('DATOS'!D56&amp;"")&lt;&gt;"Desconocido",TRIM('DATOS'!D56&amp;"")&lt;&gt;"Sin confirmar",TRIM('DATOS'!D56&amp;"")&lt;&gt;"Por decidir",TRIM('DATOS'!D56&amp;"")&lt;&gt;"Por comprobar")),NOT(AND(LEN(TRIM('DATOS'!E56&amp;""))&gt;0,TRIM('DATOS'!E56&amp;"")&lt;&gt;"Pendiente",TRIM('DATOS'!E56&amp;"")&lt;&gt;"Por confirmar",TRIM('DATOS'!E56&amp;"")&lt;&gt;"No consta",TRIM('DATOS'!E56&amp;"")&lt;&gt;"Desconocido",TRIM('DATOS'!E56&amp;"")&lt;&gt;"Sin confirmar",TRIM('DATOS'!E56&amp;"")&lt;&gt;"Por decidir",TRIM('DATOS'!E56&amp;"")&lt;&gt;"Por comprobar")),NOT(AND(LEN(TRIM('DATOS'!F56&amp;""))&gt;0,TRIM('DATOS'!F56&amp;"")&lt;&gt;"Pendiente",TRIM('DATOS'!F56&amp;"")&lt;&gt;"Por confirmar",TRIM('DATOS'!F56&amp;"")&lt;&gt;"No consta",TRIM('DATOS'!F56&amp;"")&lt;&gt;"Desconocido",TRIM('DATOS'!F56&amp;"")&lt;&gt;"Sin confirmar",TRIM('DATOS'!F56&amp;"")&lt;&gt;"Por decidir",TRIM('DATOS'!F56&amp;"")&lt;&gt;"Por comprobar")),NOT(AND(LEN(TRIM('DATOS'!N56&amp;""))&gt;0,TRIM('DATOS'!N56&amp;"")&lt;&gt;"Pendiente",TRIM('DATOS'!N56&amp;"")&lt;&gt;"Por confirmar",TRIM('DATOS'!N56&amp;"")&lt;&gt;"No consta",TRIM('DATOS'!N56&amp;"")&lt;&gt;"Desconocido",TRIM('DATOS'!N56&amp;"")&lt;&gt;"Sin confirmar",TRIM('DATOS'!N56&amp;"")&lt;&gt;"Por decidir",TRIM('DATOS'!N56&amp;"")&lt;&gt;"Por comprobar")),NOT(Y56=1),W56&lt;&gt;1,X56&gt;1,NOT(OR(LEN(TRIM('DATOS'!K56&amp;""))=0,'DATOS'!K56="Sin valorar",'DATOS'!K56="Sin coste documentado",'DATOS'!K56="Incluido en otra partida",'DATOS'!K56="Por confirmar")),NOT(OR(LEN(TRIM('DATOS'!M56&amp;""))=0,'DATOS'!M56="Sí",'DATOS'!M56="No",'DATOS'!M56="Por confirmar")),NOT(OR(LEN(TRIM('DATOS'!O56&amp;""))=0,'DATOS'!O56="Comparamos",'DATOS'!O56="No existe",'DATOS'!O56="Por confirmar"))),2,IF(AND(OR('DATOS'!G56&lt;0,'DATOS'!H56&lt;0,'DATOS'!J56&lt;0),NOT(AND(LEN(TRIM('DATOS'!L56&amp;""))&gt;0,TRIM('DATOS'!L56&amp;"")&lt;&gt;"Pendiente",TRIM('DATOS'!L56&amp;"")&lt;&gt;"Por confirmar",TRIM('DATOS'!L56&amp;"")&lt;&gt;"No consta",TRIM('DATOS'!L56&amp;"")&lt;&gt;"Desconocido",TRIM('DATOS'!L56&amp;"")&lt;&gt;"Sin confirmar",TRIM('DATOS'!L56&amp;"")&lt;&gt;"Por decidir",TRIM('DATOS'!L56&amp;"")&lt;&gt;"Por comprobar"))),1,0))),2)</f>
      </c>
      <c r="P56" s="29">
        <f>IFERROR(IF(N56=0,"",IF(NOT(Y56=1),1,IF('REFERENCIAS'!$Q$8&lt;&gt;1,2,IF(ABS('DATOS'!J56-ROUND('DATOS'!G56*'DATOS'!H56,'REFERENCIAS'!$K$8))&gt;0.00000001,2,IF('DATOS'!O56="No existe",IF(LEN(TRIM('DATOS'!I56&amp;""))=0,0,2),IF('DATOS'!O56="Comparamos",IF(LEN(TRIM('DATOS'!I56&amp;""))=0,1,IF(ISNUMBER('DATOS'!I56),IF(ABS('DATOS'!H56-'DATOS'!I56)&gt;0.00000001,2,0),2)),1)))))),2)</f>
      </c>
      <c r="Q56" s="29">
        <f>IFERROR(IF(N56=0,"",IF(NOT(Y56=1),1,IF('DATOS'!K56="Sin valorar",2,IF('DATOS'!G56=0,1,IF(OR('DATOS'!H56=0,'DATOS'!J56=0),IF(AND(OR('DATOS'!K56="Sin coste documentado",'DATOS'!K56="Incluido en otra partida"),AND(LEN(TRIM('DATOS'!L56&amp;""))&gt;0,TRIM('DATOS'!L56&amp;"")&lt;&gt;"Pendiente",TRIM('DATOS'!L56&amp;"")&lt;&gt;"Por confirmar",TRIM('DATOS'!L56&amp;"")&lt;&gt;"No consta",TRIM('DATOS'!L56&amp;"")&lt;&gt;"Desconocido",TRIM('DATOS'!L56&amp;"")&lt;&gt;"Sin confirmar",TRIM('DATOS'!L56&amp;"")&lt;&gt;"Por decidir",TRIM('DATOS'!L56&amp;"")&lt;&gt;"Por comprobar")),0,1),0))))),2)</f>
      </c>
      <c r="R56" s="29">
        <f>IFERROR(IF(N56=0,"",IF(OR(NOT(AND(LEN(TRIM('DATOS'!D56&amp;""))&gt;0,TRIM('DATOS'!D56&amp;"")&lt;&gt;"Pendiente",TRIM('DATOS'!D56&amp;"")&lt;&gt;"Por confirmar",TRIM('DATOS'!D56&amp;"")&lt;&gt;"No consta",TRIM('DATOS'!D56&amp;"")&lt;&gt;"Desconocido",TRIM('DATOS'!D56&amp;"")&lt;&gt;"Sin confirmar",TRIM('DATOS'!D56&amp;"")&lt;&gt;"Por decidir",TRIM('DATOS'!D56&amp;"")&lt;&gt;"Por comprobar")),NOT(AND(LEN(TRIM('DATOS'!E56&amp;""))&gt;0,TRIM('DATOS'!E56&amp;"")&lt;&gt;"Pendiente",TRIM('DATOS'!E56&amp;"")&lt;&gt;"Por confirmar",TRIM('DATOS'!E56&amp;"")&lt;&gt;"No consta",TRIM('DATOS'!E56&amp;"")&lt;&gt;"Desconocido",TRIM('DATOS'!E56&amp;"")&lt;&gt;"Sin confirmar",TRIM('DATOS'!E56&amp;"")&lt;&gt;"Por decidir",TRIM('DATOS'!E56&amp;"")&lt;&gt;"Por comprobar"))),2,IF('DATOS'!M56="No",2,IF('DATOS'!M56="Sí",0,IF(OR('DATOS'!D56&lt;&gt;'DATOS'!E56,LEN('DATOS'!E56)&gt;300,RIGHT(TRIM('DATOS'!E56),3)="...",RIGHT(TRIM('DATOS'!E56),1)="…"),1,0))))),2)</f>
      </c>
      <c r="S56" s="29">
        <f>IFERROR(IF(N56=0,"",IF('REFERENCIAS'!$Q$8&lt;&gt;1,2,IF(NOT(Y56=1),1,IF(OR(ABS('DATOS'!G56-ROUND('DATOS'!G56,'REFERENCIAS'!$E$8))&gt;0.00000001,ABS('DATOS'!H56-ROUND('DATOS'!H56,'REFERENCIAS'!$H$8))&gt;0.00000001,ABS('DATOS'!J56-ROUND('DATOS'!J56,'REFERENCIAS'!$K$8))&gt;0.00000001,IF(ISNUMBER('DATOS'!I56),ABS('DATOS'!I56-ROUND('DATOS'!I56,'REFERENCIAS'!$H$8))&gt;0.00000001,FALSE)),1,0)))),2)</f>
      </c>
      <c r="T56" s="29">
        <f>IFERROR(IF(N56=0,"",IF(NOT(AND(LEN(TRIM('DATOS'!F56&amp;""))&gt;0,TRIM('DATOS'!F56&amp;"")&lt;&gt;"Pendiente",TRIM('DATOS'!F56&amp;"")&lt;&gt;"Por confirmar",TRIM('DATOS'!F56&amp;"")&lt;&gt;"No consta",TRIM('DATOS'!F56&amp;"")&lt;&gt;"Desconocido",TRIM('DATOS'!F56&amp;"")&lt;&gt;"Sin confirmar",TRIM('DATOS'!F56&amp;"")&lt;&gt;"Por decidir",TRIM('DATOS'!F56&amp;"")&lt;&gt;"Por comprobar")),2,IF(COUNTIFS('REFERENCIAS'!$T$15:$T$34,"ID:"&amp;SUBSTITUTE(SUBSTITUTE(SUBSTITUTE(SUBSTITUTE(UPPER(TRIM('DATOS'!F56&amp;"")),"!","!E"),"*","!A"),"?","!B"),"~","!C"),'REFERENCIAS'!$H$15:$H$34,"&lt;&gt;")&gt;0,0,1))),2)</f>
      </c>
      <c r="U56" s="29" t="str">
        <f>'DATOS'!R56</f>
        <v>ID:</v>
      </c>
      <c r="V56" s="29" t="str">
        <f>'DATOS'!S56</f>
        <v>ID:</v>
      </c>
      <c r="W56" s="29" t="n">
        <f>IF(N56=0,0,COUNTIFS('REFERENCIAS'!$R$15:$R$64,U56))</f>
        <v>0</v>
      </c>
      <c r="X56" s="29" t="n">
        <f>IF(N56=0,0,COUNTIFS('DATOS'!$R$10:$R$509,U56,'DATOS'!$S$10:$S$509,V56))</f>
        <v>0</v>
      </c>
      <c r="Y56" s="29" t="n">
        <f>IF(AND(ISNUMBER('DATOS'!G56),ISNUMBER('DATOS'!H56),ISNUMBER('DATOS'!J56)),1,0)</f>
        <v>0</v>
      </c>
    </row>
    <row r="57" ht="64" customHeight="1">
      <c r="B57" s="26">
        <f>IF(N57=1,48,"")</f>
      </c>
      <c r="C57" s="26">
        <f>IF(AND(N57=1,LEN(TRIM('DATOS'!B57&amp;""))&gt;0),'DATOS'!B57,"")</f>
      </c>
      <c r="D57" s="26">
        <f>IF(AND(N57=1,LEN(TRIM('DATOS'!C57&amp;""))&gt;0),'DATOS'!C57,"")</f>
      </c>
      <c r="E57" s="26">
        <f>IF(NOT(ISNUMBER(P57)),"",IF(P57=2,"ROJO",IF(P57=1,"ÁMBAR","VERDE")))</f>
      </c>
      <c r="F57" s="26">
        <f>IF(NOT(ISNUMBER(Q57)),"",IF(Q57=2,"ROJO",IF(Q57=1,"ÁMBAR","VERDE")))</f>
      </c>
      <c r="G57" s="26">
        <f>IF(NOT(ISNUMBER(R57)),"",IF(R57=2,"ROJO",IF(R57=1,"ÁMBAR","VERDE")))</f>
      </c>
      <c r="H57" s="26">
        <f>IF(NOT(ISNUMBER(S57)),"",IF(S57=2,"ROJO",IF(S57=1,"ÁMBAR","VERDE")))</f>
      </c>
      <c r="I57" s="26">
        <f>IF(NOT(ISNUMBER(T57)),"",IF(T57=2,"ROJO",IF(T57=1,"ÁMBAR","VERDE")))</f>
      </c>
      <c r="J57" s="26">
        <f>IF(NOT(ISNUMBER(O57)),"",IF(O57=2,"ROJO",IF(O57=1,"ÁMBAR","VERDE")))</f>
      </c>
      <c r="K57" s="26">
        <f>IFERROR(IF(AND(N57=1,LEN(TRIM('DATOS'!N57&amp;""))&gt;0),'DATOS'!N57,""),"Hay una entrada con error. Corregimos el dato antes de cerrar la comprobación.")</f>
      </c>
      <c r="L57" s="26">
        <f>IFERROR(IF(N57=0,"",IF(O57&gt;0,"Completamos datos, claves o motivo. ","")&amp;IF(P57&gt;0,"Cotejamos precios e importe. ","")&amp;IF(Q57&gt;0,"Aclaramos el cero. ","")&amp;IF(R57&gt;0,"Comprobamos el texto. ","")&amp;IF(S57&gt;0,"Revisamos decimales visibles. ","")&amp;IF(T57&gt;0,"Confirmamos la unidad.","")),"Hay una entrada con error. Corregimos el dato antes de cerrar la comprobación.")</f>
      </c>
      <c r="N57" s="29" t="n">
        <f>IF(COUNTA('DATOS'!B57:O57)&gt;0,1,0)</f>
        <v>0</v>
      </c>
      <c r="O57" s="29">
        <f>IFERROR(IF(N57=0,"",IF(OR(NOT(AND(LEN(TRIM('DATOS'!B57&amp;""))&gt;0,TRIM('DATOS'!B57&amp;"")&lt;&gt;"Pendiente",TRIM('DATOS'!B57&amp;"")&lt;&gt;"Por confirmar",TRIM('DATOS'!B57&amp;"")&lt;&gt;"No consta",TRIM('DATOS'!B57&amp;"")&lt;&gt;"Desconocido",TRIM('DATOS'!B57&amp;"")&lt;&gt;"Sin confirmar",TRIM('DATOS'!B57&amp;"")&lt;&gt;"Por decidir",TRIM('DATOS'!B57&amp;"")&lt;&gt;"Por comprobar")),NOT(AND(LEN(TRIM('DATOS'!C57&amp;""))&gt;0,TRIM('DATOS'!C57&amp;"")&lt;&gt;"Pendiente",TRIM('DATOS'!C57&amp;"")&lt;&gt;"Por confirmar",TRIM('DATOS'!C57&amp;"")&lt;&gt;"No consta",TRIM('DATOS'!C57&amp;"")&lt;&gt;"Desconocido",TRIM('DATOS'!C57&amp;"")&lt;&gt;"Sin confirmar",TRIM('DATOS'!C57&amp;"")&lt;&gt;"Por decidir",TRIM('DATOS'!C57&amp;"")&lt;&gt;"Por comprobar")),NOT(AND(LEN(TRIM('DATOS'!D57&amp;""))&gt;0,TRIM('DATOS'!D57&amp;"")&lt;&gt;"Pendiente",TRIM('DATOS'!D57&amp;"")&lt;&gt;"Por confirmar",TRIM('DATOS'!D57&amp;"")&lt;&gt;"No consta",TRIM('DATOS'!D57&amp;"")&lt;&gt;"Desconocido",TRIM('DATOS'!D57&amp;"")&lt;&gt;"Sin confirmar",TRIM('DATOS'!D57&amp;"")&lt;&gt;"Por decidir",TRIM('DATOS'!D57&amp;"")&lt;&gt;"Por comprobar")),NOT(AND(LEN(TRIM('DATOS'!E57&amp;""))&gt;0,TRIM('DATOS'!E57&amp;"")&lt;&gt;"Pendiente",TRIM('DATOS'!E57&amp;"")&lt;&gt;"Por confirmar",TRIM('DATOS'!E57&amp;"")&lt;&gt;"No consta",TRIM('DATOS'!E57&amp;"")&lt;&gt;"Desconocido",TRIM('DATOS'!E57&amp;"")&lt;&gt;"Sin confirmar",TRIM('DATOS'!E57&amp;"")&lt;&gt;"Por decidir",TRIM('DATOS'!E57&amp;"")&lt;&gt;"Por comprobar")),NOT(AND(LEN(TRIM('DATOS'!F57&amp;""))&gt;0,TRIM('DATOS'!F57&amp;"")&lt;&gt;"Pendiente",TRIM('DATOS'!F57&amp;"")&lt;&gt;"Por confirmar",TRIM('DATOS'!F57&amp;"")&lt;&gt;"No consta",TRIM('DATOS'!F57&amp;"")&lt;&gt;"Desconocido",TRIM('DATOS'!F57&amp;"")&lt;&gt;"Sin confirmar",TRIM('DATOS'!F57&amp;"")&lt;&gt;"Por decidir",TRIM('DATOS'!F57&amp;"")&lt;&gt;"Por comprobar")),NOT(AND(LEN(TRIM('DATOS'!N57&amp;""))&gt;0,TRIM('DATOS'!N57&amp;"")&lt;&gt;"Pendiente",TRIM('DATOS'!N57&amp;"")&lt;&gt;"Por confirmar",TRIM('DATOS'!N57&amp;"")&lt;&gt;"No consta",TRIM('DATOS'!N57&amp;"")&lt;&gt;"Desconocido",TRIM('DATOS'!N57&amp;"")&lt;&gt;"Sin confirmar",TRIM('DATOS'!N57&amp;"")&lt;&gt;"Por decidir",TRIM('DATOS'!N57&amp;"")&lt;&gt;"Por comprobar")),NOT(Y57=1),W57&lt;&gt;1,X57&gt;1,NOT(OR(LEN(TRIM('DATOS'!K57&amp;""))=0,'DATOS'!K57="Sin valorar",'DATOS'!K57="Sin coste documentado",'DATOS'!K57="Incluido en otra partida",'DATOS'!K57="Por confirmar")),NOT(OR(LEN(TRIM('DATOS'!M57&amp;""))=0,'DATOS'!M57="Sí",'DATOS'!M57="No",'DATOS'!M57="Por confirmar")),NOT(OR(LEN(TRIM('DATOS'!O57&amp;""))=0,'DATOS'!O57="Comparamos",'DATOS'!O57="No existe",'DATOS'!O57="Por confirmar"))),2,IF(AND(OR('DATOS'!G57&lt;0,'DATOS'!H57&lt;0,'DATOS'!J57&lt;0),NOT(AND(LEN(TRIM('DATOS'!L57&amp;""))&gt;0,TRIM('DATOS'!L57&amp;"")&lt;&gt;"Pendiente",TRIM('DATOS'!L57&amp;"")&lt;&gt;"Por confirmar",TRIM('DATOS'!L57&amp;"")&lt;&gt;"No consta",TRIM('DATOS'!L57&amp;"")&lt;&gt;"Desconocido",TRIM('DATOS'!L57&amp;"")&lt;&gt;"Sin confirmar",TRIM('DATOS'!L57&amp;"")&lt;&gt;"Por decidir",TRIM('DATOS'!L57&amp;"")&lt;&gt;"Por comprobar"))),1,0))),2)</f>
      </c>
      <c r="P57" s="29">
        <f>IFERROR(IF(N57=0,"",IF(NOT(Y57=1),1,IF('REFERENCIAS'!$Q$8&lt;&gt;1,2,IF(ABS('DATOS'!J57-ROUND('DATOS'!G57*'DATOS'!H57,'REFERENCIAS'!$K$8))&gt;0.00000001,2,IF('DATOS'!O57="No existe",IF(LEN(TRIM('DATOS'!I57&amp;""))=0,0,2),IF('DATOS'!O57="Comparamos",IF(LEN(TRIM('DATOS'!I57&amp;""))=0,1,IF(ISNUMBER('DATOS'!I57),IF(ABS('DATOS'!H57-'DATOS'!I57)&gt;0.00000001,2,0),2)),1)))))),2)</f>
      </c>
      <c r="Q57" s="29">
        <f>IFERROR(IF(N57=0,"",IF(NOT(Y57=1),1,IF('DATOS'!K57="Sin valorar",2,IF('DATOS'!G57=0,1,IF(OR('DATOS'!H57=0,'DATOS'!J57=0),IF(AND(OR('DATOS'!K57="Sin coste documentado",'DATOS'!K57="Incluido en otra partida"),AND(LEN(TRIM('DATOS'!L57&amp;""))&gt;0,TRIM('DATOS'!L57&amp;"")&lt;&gt;"Pendiente",TRIM('DATOS'!L57&amp;"")&lt;&gt;"Por confirmar",TRIM('DATOS'!L57&amp;"")&lt;&gt;"No consta",TRIM('DATOS'!L57&amp;"")&lt;&gt;"Desconocido",TRIM('DATOS'!L57&amp;"")&lt;&gt;"Sin confirmar",TRIM('DATOS'!L57&amp;"")&lt;&gt;"Por decidir",TRIM('DATOS'!L57&amp;"")&lt;&gt;"Por comprobar")),0,1),0))))),2)</f>
      </c>
      <c r="R57" s="29">
        <f>IFERROR(IF(N57=0,"",IF(OR(NOT(AND(LEN(TRIM('DATOS'!D57&amp;""))&gt;0,TRIM('DATOS'!D57&amp;"")&lt;&gt;"Pendiente",TRIM('DATOS'!D57&amp;"")&lt;&gt;"Por confirmar",TRIM('DATOS'!D57&amp;"")&lt;&gt;"No consta",TRIM('DATOS'!D57&amp;"")&lt;&gt;"Desconocido",TRIM('DATOS'!D57&amp;"")&lt;&gt;"Sin confirmar",TRIM('DATOS'!D57&amp;"")&lt;&gt;"Por decidir",TRIM('DATOS'!D57&amp;"")&lt;&gt;"Por comprobar")),NOT(AND(LEN(TRIM('DATOS'!E57&amp;""))&gt;0,TRIM('DATOS'!E57&amp;"")&lt;&gt;"Pendiente",TRIM('DATOS'!E57&amp;"")&lt;&gt;"Por confirmar",TRIM('DATOS'!E57&amp;"")&lt;&gt;"No consta",TRIM('DATOS'!E57&amp;"")&lt;&gt;"Desconocido",TRIM('DATOS'!E57&amp;"")&lt;&gt;"Sin confirmar",TRIM('DATOS'!E57&amp;"")&lt;&gt;"Por decidir",TRIM('DATOS'!E57&amp;"")&lt;&gt;"Por comprobar"))),2,IF('DATOS'!M57="No",2,IF('DATOS'!M57="Sí",0,IF(OR('DATOS'!D57&lt;&gt;'DATOS'!E57,LEN('DATOS'!E57)&gt;300,RIGHT(TRIM('DATOS'!E57),3)="...",RIGHT(TRIM('DATOS'!E57),1)="…"),1,0))))),2)</f>
      </c>
      <c r="S57" s="29">
        <f>IFERROR(IF(N57=0,"",IF('REFERENCIAS'!$Q$8&lt;&gt;1,2,IF(NOT(Y57=1),1,IF(OR(ABS('DATOS'!G57-ROUND('DATOS'!G57,'REFERENCIAS'!$E$8))&gt;0.00000001,ABS('DATOS'!H57-ROUND('DATOS'!H57,'REFERENCIAS'!$H$8))&gt;0.00000001,ABS('DATOS'!J57-ROUND('DATOS'!J57,'REFERENCIAS'!$K$8))&gt;0.00000001,IF(ISNUMBER('DATOS'!I57),ABS('DATOS'!I57-ROUND('DATOS'!I57,'REFERENCIAS'!$H$8))&gt;0.00000001,FALSE)),1,0)))),2)</f>
      </c>
      <c r="T57" s="29">
        <f>IFERROR(IF(N57=0,"",IF(NOT(AND(LEN(TRIM('DATOS'!F57&amp;""))&gt;0,TRIM('DATOS'!F57&amp;"")&lt;&gt;"Pendiente",TRIM('DATOS'!F57&amp;"")&lt;&gt;"Por confirmar",TRIM('DATOS'!F57&amp;"")&lt;&gt;"No consta",TRIM('DATOS'!F57&amp;"")&lt;&gt;"Desconocido",TRIM('DATOS'!F57&amp;"")&lt;&gt;"Sin confirmar",TRIM('DATOS'!F57&amp;"")&lt;&gt;"Por decidir",TRIM('DATOS'!F57&amp;"")&lt;&gt;"Por comprobar")),2,IF(COUNTIFS('REFERENCIAS'!$T$15:$T$34,"ID:"&amp;SUBSTITUTE(SUBSTITUTE(SUBSTITUTE(SUBSTITUTE(UPPER(TRIM('DATOS'!F57&amp;"")),"!","!E"),"*","!A"),"?","!B"),"~","!C"),'REFERENCIAS'!$H$15:$H$34,"&lt;&gt;")&gt;0,0,1))),2)</f>
      </c>
      <c r="U57" s="29" t="str">
        <f>'DATOS'!R57</f>
        <v>ID:</v>
      </c>
      <c r="V57" s="29" t="str">
        <f>'DATOS'!S57</f>
        <v>ID:</v>
      </c>
      <c r="W57" s="29" t="n">
        <f>IF(N57=0,0,COUNTIFS('REFERENCIAS'!$R$15:$R$64,U57))</f>
        <v>0</v>
      </c>
      <c r="X57" s="29" t="n">
        <f>IF(N57=0,0,COUNTIFS('DATOS'!$R$10:$R$509,U57,'DATOS'!$S$10:$S$509,V57))</f>
        <v>0</v>
      </c>
      <c r="Y57" s="29" t="n">
        <f>IF(AND(ISNUMBER('DATOS'!G57),ISNUMBER('DATOS'!H57),ISNUMBER('DATOS'!J57)),1,0)</f>
        <v>0</v>
      </c>
    </row>
    <row r="58" ht="64" customHeight="1">
      <c r="B58" s="26">
        <f>IF(N58=1,49,"")</f>
      </c>
      <c r="C58" s="26">
        <f>IF(AND(N58=1,LEN(TRIM('DATOS'!B58&amp;""))&gt;0),'DATOS'!B58,"")</f>
      </c>
      <c r="D58" s="26">
        <f>IF(AND(N58=1,LEN(TRIM('DATOS'!C58&amp;""))&gt;0),'DATOS'!C58,"")</f>
      </c>
      <c r="E58" s="26">
        <f>IF(NOT(ISNUMBER(P58)),"",IF(P58=2,"ROJO",IF(P58=1,"ÁMBAR","VERDE")))</f>
      </c>
      <c r="F58" s="26">
        <f>IF(NOT(ISNUMBER(Q58)),"",IF(Q58=2,"ROJO",IF(Q58=1,"ÁMBAR","VERDE")))</f>
      </c>
      <c r="G58" s="26">
        <f>IF(NOT(ISNUMBER(R58)),"",IF(R58=2,"ROJO",IF(R58=1,"ÁMBAR","VERDE")))</f>
      </c>
      <c r="H58" s="26">
        <f>IF(NOT(ISNUMBER(S58)),"",IF(S58=2,"ROJO",IF(S58=1,"ÁMBAR","VERDE")))</f>
      </c>
      <c r="I58" s="26">
        <f>IF(NOT(ISNUMBER(T58)),"",IF(T58=2,"ROJO",IF(T58=1,"ÁMBAR","VERDE")))</f>
      </c>
      <c r="J58" s="26">
        <f>IF(NOT(ISNUMBER(O58)),"",IF(O58=2,"ROJO",IF(O58=1,"ÁMBAR","VERDE")))</f>
      </c>
      <c r="K58" s="26">
        <f>IFERROR(IF(AND(N58=1,LEN(TRIM('DATOS'!N58&amp;""))&gt;0),'DATOS'!N58,""),"Hay una entrada con error. Corregimos el dato antes de cerrar la comprobación.")</f>
      </c>
      <c r="L58" s="26">
        <f>IFERROR(IF(N58=0,"",IF(O58&gt;0,"Completamos datos, claves o motivo. ","")&amp;IF(P58&gt;0,"Cotejamos precios e importe. ","")&amp;IF(Q58&gt;0,"Aclaramos el cero. ","")&amp;IF(R58&gt;0,"Comprobamos el texto. ","")&amp;IF(S58&gt;0,"Revisamos decimales visibles. ","")&amp;IF(T58&gt;0,"Confirmamos la unidad.","")),"Hay una entrada con error. Corregimos el dato antes de cerrar la comprobación.")</f>
      </c>
      <c r="N58" s="29" t="n">
        <f>IF(COUNTA('DATOS'!B58:O58)&gt;0,1,0)</f>
        <v>0</v>
      </c>
      <c r="O58" s="29">
        <f>IFERROR(IF(N58=0,"",IF(OR(NOT(AND(LEN(TRIM('DATOS'!B58&amp;""))&gt;0,TRIM('DATOS'!B58&amp;"")&lt;&gt;"Pendiente",TRIM('DATOS'!B58&amp;"")&lt;&gt;"Por confirmar",TRIM('DATOS'!B58&amp;"")&lt;&gt;"No consta",TRIM('DATOS'!B58&amp;"")&lt;&gt;"Desconocido",TRIM('DATOS'!B58&amp;"")&lt;&gt;"Sin confirmar",TRIM('DATOS'!B58&amp;"")&lt;&gt;"Por decidir",TRIM('DATOS'!B58&amp;"")&lt;&gt;"Por comprobar")),NOT(AND(LEN(TRIM('DATOS'!C58&amp;""))&gt;0,TRIM('DATOS'!C58&amp;"")&lt;&gt;"Pendiente",TRIM('DATOS'!C58&amp;"")&lt;&gt;"Por confirmar",TRIM('DATOS'!C58&amp;"")&lt;&gt;"No consta",TRIM('DATOS'!C58&amp;"")&lt;&gt;"Desconocido",TRIM('DATOS'!C58&amp;"")&lt;&gt;"Sin confirmar",TRIM('DATOS'!C58&amp;"")&lt;&gt;"Por decidir",TRIM('DATOS'!C58&amp;"")&lt;&gt;"Por comprobar")),NOT(AND(LEN(TRIM('DATOS'!D58&amp;""))&gt;0,TRIM('DATOS'!D58&amp;"")&lt;&gt;"Pendiente",TRIM('DATOS'!D58&amp;"")&lt;&gt;"Por confirmar",TRIM('DATOS'!D58&amp;"")&lt;&gt;"No consta",TRIM('DATOS'!D58&amp;"")&lt;&gt;"Desconocido",TRIM('DATOS'!D58&amp;"")&lt;&gt;"Sin confirmar",TRIM('DATOS'!D58&amp;"")&lt;&gt;"Por decidir",TRIM('DATOS'!D58&amp;"")&lt;&gt;"Por comprobar")),NOT(AND(LEN(TRIM('DATOS'!E58&amp;""))&gt;0,TRIM('DATOS'!E58&amp;"")&lt;&gt;"Pendiente",TRIM('DATOS'!E58&amp;"")&lt;&gt;"Por confirmar",TRIM('DATOS'!E58&amp;"")&lt;&gt;"No consta",TRIM('DATOS'!E58&amp;"")&lt;&gt;"Desconocido",TRIM('DATOS'!E58&amp;"")&lt;&gt;"Sin confirmar",TRIM('DATOS'!E58&amp;"")&lt;&gt;"Por decidir",TRIM('DATOS'!E58&amp;"")&lt;&gt;"Por comprobar")),NOT(AND(LEN(TRIM('DATOS'!F58&amp;""))&gt;0,TRIM('DATOS'!F58&amp;"")&lt;&gt;"Pendiente",TRIM('DATOS'!F58&amp;"")&lt;&gt;"Por confirmar",TRIM('DATOS'!F58&amp;"")&lt;&gt;"No consta",TRIM('DATOS'!F58&amp;"")&lt;&gt;"Desconocido",TRIM('DATOS'!F58&amp;"")&lt;&gt;"Sin confirmar",TRIM('DATOS'!F58&amp;"")&lt;&gt;"Por decidir",TRIM('DATOS'!F58&amp;"")&lt;&gt;"Por comprobar")),NOT(AND(LEN(TRIM('DATOS'!N58&amp;""))&gt;0,TRIM('DATOS'!N58&amp;"")&lt;&gt;"Pendiente",TRIM('DATOS'!N58&amp;"")&lt;&gt;"Por confirmar",TRIM('DATOS'!N58&amp;"")&lt;&gt;"No consta",TRIM('DATOS'!N58&amp;"")&lt;&gt;"Desconocido",TRIM('DATOS'!N58&amp;"")&lt;&gt;"Sin confirmar",TRIM('DATOS'!N58&amp;"")&lt;&gt;"Por decidir",TRIM('DATOS'!N58&amp;"")&lt;&gt;"Por comprobar")),NOT(Y58=1),W58&lt;&gt;1,X58&gt;1,NOT(OR(LEN(TRIM('DATOS'!K58&amp;""))=0,'DATOS'!K58="Sin valorar",'DATOS'!K58="Sin coste documentado",'DATOS'!K58="Incluido en otra partida",'DATOS'!K58="Por confirmar")),NOT(OR(LEN(TRIM('DATOS'!M58&amp;""))=0,'DATOS'!M58="Sí",'DATOS'!M58="No",'DATOS'!M58="Por confirmar")),NOT(OR(LEN(TRIM('DATOS'!O58&amp;""))=0,'DATOS'!O58="Comparamos",'DATOS'!O58="No existe",'DATOS'!O58="Por confirmar"))),2,IF(AND(OR('DATOS'!G58&lt;0,'DATOS'!H58&lt;0,'DATOS'!J58&lt;0),NOT(AND(LEN(TRIM('DATOS'!L58&amp;""))&gt;0,TRIM('DATOS'!L58&amp;"")&lt;&gt;"Pendiente",TRIM('DATOS'!L58&amp;"")&lt;&gt;"Por confirmar",TRIM('DATOS'!L58&amp;"")&lt;&gt;"No consta",TRIM('DATOS'!L58&amp;"")&lt;&gt;"Desconocido",TRIM('DATOS'!L58&amp;"")&lt;&gt;"Sin confirmar",TRIM('DATOS'!L58&amp;"")&lt;&gt;"Por decidir",TRIM('DATOS'!L58&amp;"")&lt;&gt;"Por comprobar"))),1,0))),2)</f>
      </c>
      <c r="P58" s="29">
        <f>IFERROR(IF(N58=0,"",IF(NOT(Y58=1),1,IF('REFERENCIAS'!$Q$8&lt;&gt;1,2,IF(ABS('DATOS'!J58-ROUND('DATOS'!G58*'DATOS'!H58,'REFERENCIAS'!$K$8))&gt;0.00000001,2,IF('DATOS'!O58="No existe",IF(LEN(TRIM('DATOS'!I58&amp;""))=0,0,2),IF('DATOS'!O58="Comparamos",IF(LEN(TRIM('DATOS'!I58&amp;""))=0,1,IF(ISNUMBER('DATOS'!I58),IF(ABS('DATOS'!H58-'DATOS'!I58)&gt;0.00000001,2,0),2)),1)))))),2)</f>
      </c>
      <c r="Q58" s="29">
        <f>IFERROR(IF(N58=0,"",IF(NOT(Y58=1),1,IF('DATOS'!K58="Sin valorar",2,IF('DATOS'!G58=0,1,IF(OR('DATOS'!H58=0,'DATOS'!J58=0),IF(AND(OR('DATOS'!K58="Sin coste documentado",'DATOS'!K58="Incluido en otra partida"),AND(LEN(TRIM('DATOS'!L58&amp;""))&gt;0,TRIM('DATOS'!L58&amp;"")&lt;&gt;"Pendiente",TRIM('DATOS'!L58&amp;"")&lt;&gt;"Por confirmar",TRIM('DATOS'!L58&amp;"")&lt;&gt;"No consta",TRIM('DATOS'!L58&amp;"")&lt;&gt;"Desconocido",TRIM('DATOS'!L58&amp;"")&lt;&gt;"Sin confirmar",TRIM('DATOS'!L58&amp;"")&lt;&gt;"Por decidir",TRIM('DATOS'!L58&amp;"")&lt;&gt;"Por comprobar")),0,1),0))))),2)</f>
      </c>
      <c r="R58" s="29">
        <f>IFERROR(IF(N58=0,"",IF(OR(NOT(AND(LEN(TRIM('DATOS'!D58&amp;""))&gt;0,TRIM('DATOS'!D58&amp;"")&lt;&gt;"Pendiente",TRIM('DATOS'!D58&amp;"")&lt;&gt;"Por confirmar",TRIM('DATOS'!D58&amp;"")&lt;&gt;"No consta",TRIM('DATOS'!D58&amp;"")&lt;&gt;"Desconocido",TRIM('DATOS'!D58&amp;"")&lt;&gt;"Sin confirmar",TRIM('DATOS'!D58&amp;"")&lt;&gt;"Por decidir",TRIM('DATOS'!D58&amp;"")&lt;&gt;"Por comprobar")),NOT(AND(LEN(TRIM('DATOS'!E58&amp;""))&gt;0,TRIM('DATOS'!E58&amp;"")&lt;&gt;"Pendiente",TRIM('DATOS'!E58&amp;"")&lt;&gt;"Por confirmar",TRIM('DATOS'!E58&amp;"")&lt;&gt;"No consta",TRIM('DATOS'!E58&amp;"")&lt;&gt;"Desconocido",TRIM('DATOS'!E58&amp;"")&lt;&gt;"Sin confirmar",TRIM('DATOS'!E58&amp;"")&lt;&gt;"Por decidir",TRIM('DATOS'!E58&amp;"")&lt;&gt;"Por comprobar"))),2,IF('DATOS'!M58="No",2,IF('DATOS'!M58="Sí",0,IF(OR('DATOS'!D58&lt;&gt;'DATOS'!E58,LEN('DATOS'!E58)&gt;300,RIGHT(TRIM('DATOS'!E58),3)="...",RIGHT(TRIM('DATOS'!E58),1)="…"),1,0))))),2)</f>
      </c>
      <c r="S58" s="29">
        <f>IFERROR(IF(N58=0,"",IF('REFERENCIAS'!$Q$8&lt;&gt;1,2,IF(NOT(Y58=1),1,IF(OR(ABS('DATOS'!G58-ROUND('DATOS'!G58,'REFERENCIAS'!$E$8))&gt;0.00000001,ABS('DATOS'!H58-ROUND('DATOS'!H58,'REFERENCIAS'!$H$8))&gt;0.00000001,ABS('DATOS'!J58-ROUND('DATOS'!J58,'REFERENCIAS'!$K$8))&gt;0.00000001,IF(ISNUMBER('DATOS'!I58),ABS('DATOS'!I58-ROUND('DATOS'!I58,'REFERENCIAS'!$H$8))&gt;0.00000001,FALSE)),1,0)))),2)</f>
      </c>
      <c r="T58" s="29">
        <f>IFERROR(IF(N58=0,"",IF(NOT(AND(LEN(TRIM('DATOS'!F58&amp;""))&gt;0,TRIM('DATOS'!F58&amp;"")&lt;&gt;"Pendiente",TRIM('DATOS'!F58&amp;"")&lt;&gt;"Por confirmar",TRIM('DATOS'!F58&amp;"")&lt;&gt;"No consta",TRIM('DATOS'!F58&amp;"")&lt;&gt;"Desconocido",TRIM('DATOS'!F58&amp;"")&lt;&gt;"Sin confirmar",TRIM('DATOS'!F58&amp;"")&lt;&gt;"Por decidir",TRIM('DATOS'!F58&amp;"")&lt;&gt;"Por comprobar")),2,IF(COUNTIFS('REFERENCIAS'!$T$15:$T$34,"ID:"&amp;SUBSTITUTE(SUBSTITUTE(SUBSTITUTE(SUBSTITUTE(UPPER(TRIM('DATOS'!F58&amp;"")),"!","!E"),"*","!A"),"?","!B"),"~","!C"),'REFERENCIAS'!$H$15:$H$34,"&lt;&gt;")&gt;0,0,1))),2)</f>
      </c>
      <c r="U58" s="29" t="str">
        <f>'DATOS'!R58</f>
        <v>ID:</v>
      </c>
      <c r="V58" s="29" t="str">
        <f>'DATOS'!S58</f>
        <v>ID:</v>
      </c>
      <c r="W58" s="29" t="n">
        <f>IF(N58=0,0,COUNTIFS('REFERENCIAS'!$R$15:$R$64,U58))</f>
        <v>0</v>
      </c>
      <c r="X58" s="29" t="n">
        <f>IF(N58=0,0,COUNTIFS('DATOS'!$R$10:$R$509,U58,'DATOS'!$S$10:$S$509,V58))</f>
        <v>0</v>
      </c>
      <c r="Y58" s="29" t="n">
        <f>IF(AND(ISNUMBER('DATOS'!G58),ISNUMBER('DATOS'!H58),ISNUMBER('DATOS'!J58)),1,0)</f>
        <v>0</v>
      </c>
    </row>
    <row r="59" ht="64" customHeight="1">
      <c r="B59" s="26">
        <f>IF(N59=1,50,"")</f>
      </c>
      <c r="C59" s="26">
        <f>IF(AND(N59=1,LEN(TRIM('DATOS'!B59&amp;""))&gt;0),'DATOS'!B59,"")</f>
      </c>
      <c r="D59" s="26">
        <f>IF(AND(N59=1,LEN(TRIM('DATOS'!C59&amp;""))&gt;0),'DATOS'!C59,"")</f>
      </c>
      <c r="E59" s="26">
        <f>IF(NOT(ISNUMBER(P59)),"",IF(P59=2,"ROJO",IF(P59=1,"ÁMBAR","VERDE")))</f>
      </c>
      <c r="F59" s="26">
        <f>IF(NOT(ISNUMBER(Q59)),"",IF(Q59=2,"ROJO",IF(Q59=1,"ÁMBAR","VERDE")))</f>
      </c>
      <c r="G59" s="26">
        <f>IF(NOT(ISNUMBER(R59)),"",IF(R59=2,"ROJO",IF(R59=1,"ÁMBAR","VERDE")))</f>
      </c>
      <c r="H59" s="26">
        <f>IF(NOT(ISNUMBER(S59)),"",IF(S59=2,"ROJO",IF(S59=1,"ÁMBAR","VERDE")))</f>
      </c>
      <c r="I59" s="26">
        <f>IF(NOT(ISNUMBER(T59)),"",IF(T59=2,"ROJO",IF(T59=1,"ÁMBAR","VERDE")))</f>
      </c>
      <c r="J59" s="26">
        <f>IF(NOT(ISNUMBER(O59)),"",IF(O59=2,"ROJO",IF(O59=1,"ÁMBAR","VERDE")))</f>
      </c>
      <c r="K59" s="26">
        <f>IFERROR(IF(AND(N59=1,LEN(TRIM('DATOS'!N59&amp;""))&gt;0),'DATOS'!N59,""),"Hay una entrada con error. Corregimos el dato antes de cerrar la comprobación.")</f>
      </c>
      <c r="L59" s="26">
        <f>IFERROR(IF(N59=0,"",IF(O59&gt;0,"Completamos datos, claves o motivo. ","")&amp;IF(P59&gt;0,"Cotejamos precios e importe. ","")&amp;IF(Q59&gt;0,"Aclaramos el cero. ","")&amp;IF(R59&gt;0,"Comprobamos el texto. ","")&amp;IF(S59&gt;0,"Revisamos decimales visibles. ","")&amp;IF(T59&gt;0,"Confirmamos la unidad.","")),"Hay una entrada con error. Corregimos el dato antes de cerrar la comprobación.")</f>
      </c>
      <c r="N59" s="29" t="n">
        <f>IF(COUNTA('DATOS'!B59:O59)&gt;0,1,0)</f>
        <v>0</v>
      </c>
      <c r="O59" s="29">
        <f>IFERROR(IF(N59=0,"",IF(OR(NOT(AND(LEN(TRIM('DATOS'!B59&amp;""))&gt;0,TRIM('DATOS'!B59&amp;"")&lt;&gt;"Pendiente",TRIM('DATOS'!B59&amp;"")&lt;&gt;"Por confirmar",TRIM('DATOS'!B59&amp;"")&lt;&gt;"No consta",TRIM('DATOS'!B59&amp;"")&lt;&gt;"Desconocido",TRIM('DATOS'!B59&amp;"")&lt;&gt;"Sin confirmar",TRIM('DATOS'!B59&amp;"")&lt;&gt;"Por decidir",TRIM('DATOS'!B59&amp;"")&lt;&gt;"Por comprobar")),NOT(AND(LEN(TRIM('DATOS'!C59&amp;""))&gt;0,TRIM('DATOS'!C59&amp;"")&lt;&gt;"Pendiente",TRIM('DATOS'!C59&amp;"")&lt;&gt;"Por confirmar",TRIM('DATOS'!C59&amp;"")&lt;&gt;"No consta",TRIM('DATOS'!C59&amp;"")&lt;&gt;"Desconocido",TRIM('DATOS'!C59&amp;"")&lt;&gt;"Sin confirmar",TRIM('DATOS'!C59&amp;"")&lt;&gt;"Por decidir",TRIM('DATOS'!C59&amp;"")&lt;&gt;"Por comprobar")),NOT(AND(LEN(TRIM('DATOS'!D59&amp;""))&gt;0,TRIM('DATOS'!D59&amp;"")&lt;&gt;"Pendiente",TRIM('DATOS'!D59&amp;"")&lt;&gt;"Por confirmar",TRIM('DATOS'!D59&amp;"")&lt;&gt;"No consta",TRIM('DATOS'!D59&amp;"")&lt;&gt;"Desconocido",TRIM('DATOS'!D59&amp;"")&lt;&gt;"Sin confirmar",TRIM('DATOS'!D59&amp;"")&lt;&gt;"Por decidir",TRIM('DATOS'!D59&amp;"")&lt;&gt;"Por comprobar")),NOT(AND(LEN(TRIM('DATOS'!E59&amp;""))&gt;0,TRIM('DATOS'!E59&amp;"")&lt;&gt;"Pendiente",TRIM('DATOS'!E59&amp;"")&lt;&gt;"Por confirmar",TRIM('DATOS'!E59&amp;"")&lt;&gt;"No consta",TRIM('DATOS'!E59&amp;"")&lt;&gt;"Desconocido",TRIM('DATOS'!E59&amp;"")&lt;&gt;"Sin confirmar",TRIM('DATOS'!E59&amp;"")&lt;&gt;"Por decidir",TRIM('DATOS'!E59&amp;"")&lt;&gt;"Por comprobar")),NOT(AND(LEN(TRIM('DATOS'!F59&amp;""))&gt;0,TRIM('DATOS'!F59&amp;"")&lt;&gt;"Pendiente",TRIM('DATOS'!F59&amp;"")&lt;&gt;"Por confirmar",TRIM('DATOS'!F59&amp;"")&lt;&gt;"No consta",TRIM('DATOS'!F59&amp;"")&lt;&gt;"Desconocido",TRIM('DATOS'!F59&amp;"")&lt;&gt;"Sin confirmar",TRIM('DATOS'!F59&amp;"")&lt;&gt;"Por decidir",TRIM('DATOS'!F59&amp;"")&lt;&gt;"Por comprobar")),NOT(AND(LEN(TRIM('DATOS'!N59&amp;""))&gt;0,TRIM('DATOS'!N59&amp;"")&lt;&gt;"Pendiente",TRIM('DATOS'!N59&amp;"")&lt;&gt;"Por confirmar",TRIM('DATOS'!N59&amp;"")&lt;&gt;"No consta",TRIM('DATOS'!N59&amp;"")&lt;&gt;"Desconocido",TRIM('DATOS'!N59&amp;"")&lt;&gt;"Sin confirmar",TRIM('DATOS'!N59&amp;"")&lt;&gt;"Por decidir",TRIM('DATOS'!N59&amp;"")&lt;&gt;"Por comprobar")),NOT(Y59=1),W59&lt;&gt;1,X59&gt;1,NOT(OR(LEN(TRIM('DATOS'!K59&amp;""))=0,'DATOS'!K59="Sin valorar",'DATOS'!K59="Sin coste documentado",'DATOS'!K59="Incluido en otra partida",'DATOS'!K59="Por confirmar")),NOT(OR(LEN(TRIM('DATOS'!M59&amp;""))=0,'DATOS'!M59="Sí",'DATOS'!M59="No",'DATOS'!M59="Por confirmar")),NOT(OR(LEN(TRIM('DATOS'!O59&amp;""))=0,'DATOS'!O59="Comparamos",'DATOS'!O59="No existe",'DATOS'!O59="Por confirmar"))),2,IF(AND(OR('DATOS'!G59&lt;0,'DATOS'!H59&lt;0,'DATOS'!J59&lt;0),NOT(AND(LEN(TRIM('DATOS'!L59&amp;""))&gt;0,TRIM('DATOS'!L59&amp;"")&lt;&gt;"Pendiente",TRIM('DATOS'!L59&amp;"")&lt;&gt;"Por confirmar",TRIM('DATOS'!L59&amp;"")&lt;&gt;"No consta",TRIM('DATOS'!L59&amp;"")&lt;&gt;"Desconocido",TRIM('DATOS'!L59&amp;"")&lt;&gt;"Sin confirmar",TRIM('DATOS'!L59&amp;"")&lt;&gt;"Por decidir",TRIM('DATOS'!L59&amp;"")&lt;&gt;"Por comprobar"))),1,0))),2)</f>
      </c>
      <c r="P59" s="29">
        <f>IFERROR(IF(N59=0,"",IF(NOT(Y59=1),1,IF('REFERENCIAS'!$Q$8&lt;&gt;1,2,IF(ABS('DATOS'!J59-ROUND('DATOS'!G59*'DATOS'!H59,'REFERENCIAS'!$K$8))&gt;0.00000001,2,IF('DATOS'!O59="No existe",IF(LEN(TRIM('DATOS'!I59&amp;""))=0,0,2),IF('DATOS'!O59="Comparamos",IF(LEN(TRIM('DATOS'!I59&amp;""))=0,1,IF(ISNUMBER('DATOS'!I59),IF(ABS('DATOS'!H59-'DATOS'!I59)&gt;0.00000001,2,0),2)),1)))))),2)</f>
      </c>
      <c r="Q59" s="29">
        <f>IFERROR(IF(N59=0,"",IF(NOT(Y59=1),1,IF('DATOS'!K59="Sin valorar",2,IF('DATOS'!G59=0,1,IF(OR('DATOS'!H59=0,'DATOS'!J59=0),IF(AND(OR('DATOS'!K59="Sin coste documentado",'DATOS'!K59="Incluido en otra partida"),AND(LEN(TRIM('DATOS'!L59&amp;""))&gt;0,TRIM('DATOS'!L59&amp;"")&lt;&gt;"Pendiente",TRIM('DATOS'!L59&amp;"")&lt;&gt;"Por confirmar",TRIM('DATOS'!L59&amp;"")&lt;&gt;"No consta",TRIM('DATOS'!L59&amp;"")&lt;&gt;"Desconocido",TRIM('DATOS'!L59&amp;"")&lt;&gt;"Sin confirmar",TRIM('DATOS'!L59&amp;"")&lt;&gt;"Por decidir",TRIM('DATOS'!L59&amp;"")&lt;&gt;"Por comprobar")),0,1),0))))),2)</f>
      </c>
      <c r="R59" s="29">
        <f>IFERROR(IF(N59=0,"",IF(OR(NOT(AND(LEN(TRIM('DATOS'!D59&amp;""))&gt;0,TRIM('DATOS'!D59&amp;"")&lt;&gt;"Pendiente",TRIM('DATOS'!D59&amp;"")&lt;&gt;"Por confirmar",TRIM('DATOS'!D59&amp;"")&lt;&gt;"No consta",TRIM('DATOS'!D59&amp;"")&lt;&gt;"Desconocido",TRIM('DATOS'!D59&amp;"")&lt;&gt;"Sin confirmar",TRIM('DATOS'!D59&amp;"")&lt;&gt;"Por decidir",TRIM('DATOS'!D59&amp;"")&lt;&gt;"Por comprobar")),NOT(AND(LEN(TRIM('DATOS'!E59&amp;""))&gt;0,TRIM('DATOS'!E59&amp;"")&lt;&gt;"Pendiente",TRIM('DATOS'!E59&amp;"")&lt;&gt;"Por confirmar",TRIM('DATOS'!E59&amp;"")&lt;&gt;"No consta",TRIM('DATOS'!E59&amp;"")&lt;&gt;"Desconocido",TRIM('DATOS'!E59&amp;"")&lt;&gt;"Sin confirmar",TRIM('DATOS'!E59&amp;"")&lt;&gt;"Por decidir",TRIM('DATOS'!E59&amp;"")&lt;&gt;"Por comprobar"))),2,IF('DATOS'!M59="No",2,IF('DATOS'!M59="Sí",0,IF(OR('DATOS'!D59&lt;&gt;'DATOS'!E59,LEN('DATOS'!E59)&gt;300,RIGHT(TRIM('DATOS'!E59),3)="...",RIGHT(TRIM('DATOS'!E59),1)="…"),1,0))))),2)</f>
      </c>
      <c r="S59" s="29">
        <f>IFERROR(IF(N59=0,"",IF('REFERENCIAS'!$Q$8&lt;&gt;1,2,IF(NOT(Y59=1),1,IF(OR(ABS('DATOS'!G59-ROUND('DATOS'!G59,'REFERENCIAS'!$E$8))&gt;0.00000001,ABS('DATOS'!H59-ROUND('DATOS'!H59,'REFERENCIAS'!$H$8))&gt;0.00000001,ABS('DATOS'!J59-ROUND('DATOS'!J59,'REFERENCIAS'!$K$8))&gt;0.00000001,IF(ISNUMBER('DATOS'!I59),ABS('DATOS'!I59-ROUND('DATOS'!I59,'REFERENCIAS'!$H$8))&gt;0.00000001,FALSE)),1,0)))),2)</f>
      </c>
      <c r="T59" s="29">
        <f>IFERROR(IF(N59=0,"",IF(NOT(AND(LEN(TRIM('DATOS'!F59&amp;""))&gt;0,TRIM('DATOS'!F59&amp;"")&lt;&gt;"Pendiente",TRIM('DATOS'!F59&amp;"")&lt;&gt;"Por confirmar",TRIM('DATOS'!F59&amp;"")&lt;&gt;"No consta",TRIM('DATOS'!F59&amp;"")&lt;&gt;"Desconocido",TRIM('DATOS'!F59&amp;"")&lt;&gt;"Sin confirmar",TRIM('DATOS'!F59&amp;"")&lt;&gt;"Por decidir",TRIM('DATOS'!F59&amp;"")&lt;&gt;"Por comprobar")),2,IF(COUNTIFS('REFERENCIAS'!$T$15:$T$34,"ID:"&amp;SUBSTITUTE(SUBSTITUTE(SUBSTITUTE(SUBSTITUTE(UPPER(TRIM('DATOS'!F59&amp;"")),"!","!E"),"*","!A"),"?","!B"),"~","!C"),'REFERENCIAS'!$H$15:$H$34,"&lt;&gt;")&gt;0,0,1))),2)</f>
      </c>
      <c r="U59" s="29" t="str">
        <f>'DATOS'!R59</f>
        <v>ID:</v>
      </c>
      <c r="V59" s="29" t="str">
        <f>'DATOS'!S59</f>
        <v>ID:</v>
      </c>
      <c r="W59" s="29" t="n">
        <f>IF(N59=0,0,COUNTIFS('REFERENCIAS'!$R$15:$R$64,U59))</f>
        <v>0</v>
      </c>
      <c r="X59" s="29" t="n">
        <f>IF(N59=0,0,COUNTIFS('DATOS'!$R$10:$R$509,U59,'DATOS'!$S$10:$S$509,V59))</f>
        <v>0</v>
      </c>
      <c r="Y59" s="29" t="n">
        <f>IF(AND(ISNUMBER('DATOS'!G59),ISNUMBER('DATOS'!H59),ISNUMBER('DATOS'!J59)),1,0)</f>
        <v>0</v>
      </c>
    </row>
    <row r="60" ht="64" customHeight="1">
      <c r="B60" s="26">
        <f>IF(N60=1,51,"")</f>
      </c>
      <c r="C60" s="26">
        <f>IF(AND(N60=1,LEN(TRIM('DATOS'!B60&amp;""))&gt;0),'DATOS'!B60,"")</f>
      </c>
      <c r="D60" s="26">
        <f>IF(AND(N60=1,LEN(TRIM('DATOS'!C60&amp;""))&gt;0),'DATOS'!C60,"")</f>
      </c>
      <c r="E60" s="26">
        <f>IF(NOT(ISNUMBER(P60)),"",IF(P60=2,"ROJO",IF(P60=1,"ÁMBAR","VERDE")))</f>
      </c>
      <c r="F60" s="26">
        <f>IF(NOT(ISNUMBER(Q60)),"",IF(Q60=2,"ROJO",IF(Q60=1,"ÁMBAR","VERDE")))</f>
      </c>
      <c r="G60" s="26">
        <f>IF(NOT(ISNUMBER(R60)),"",IF(R60=2,"ROJO",IF(R60=1,"ÁMBAR","VERDE")))</f>
      </c>
      <c r="H60" s="26">
        <f>IF(NOT(ISNUMBER(S60)),"",IF(S60=2,"ROJO",IF(S60=1,"ÁMBAR","VERDE")))</f>
      </c>
      <c r="I60" s="26">
        <f>IF(NOT(ISNUMBER(T60)),"",IF(T60=2,"ROJO",IF(T60=1,"ÁMBAR","VERDE")))</f>
      </c>
      <c r="J60" s="26">
        <f>IF(NOT(ISNUMBER(O60)),"",IF(O60=2,"ROJO",IF(O60=1,"ÁMBAR","VERDE")))</f>
      </c>
      <c r="K60" s="26">
        <f>IFERROR(IF(AND(N60=1,LEN(TRIM('DATOS'!N60&amp;""))&gt;0),'DATOS'!N60,""),"Hay una entrada con error. Corregimos el dato antes de cerrar la comprobación.")</f>
      </c>
      <c r="L60" s="26">
        <f>IFERROR(IF(N60=0,"",IF(O60&gt;0,"Completamos datos, claves o motivo. ","")&amp;IF(P60&gt;0,"Cotejamos precios e importe. ","")&amp;IF(Q60&gt;0,"Aclaramos el cero. ","")&amp;IF(R60&gt;0,"Comprobamos el texto. ","")&amp;IF(S60&gt;0,"Revisamos decimales visibles. ","")&amp;IF(T60&gt;0,"Confirmamos la unidad.","")),"Hay una entrada con error. Corregimos el dato antes de cerrar la comprobación.")</f>
      </c>
      <c r="N60" s="29" t="n">
        <f>IF(COUNTA('DATOS'!B60:O60)&gt;0,1,0)</f>
        <v>0</v>
      </c>
      <c r="O60" s="29">
        <f>IFERROR(IF(N60=0,"",IF(OR(NOT(AND(LEN(TRIM('DATOS'!B60&amp;""))&gt;0,TRIM('DATOS'!B60&amp;"")&lt;&gt;"Pendiente",TRIM('DATOS'!B60&amp;"")&lt;&gt;"Por confirmar",TRIM('DATOS'!B60&amp;"")&lt;&gt;"No consta",TRIM('DATOS'!B60&amp;"")&lt;&gt;"Desconocido",TRIM('DATOS'!B60&amp;"")&lt;&gt;"Sin confirmar",TRIM('DATOS'!B60&amp;"")&lt;&gt;"Por decidir",TRIM('DATOS'!B60&amp;"")&lt;&gt;"Por comprobar")),NOT(AND(LEN(TRIM('DATOS'!C60&amp;""))&gt;0,TRIM('DATOS'!C60&amp;"")&lt;&gt;"Pendiente",TRIM('DATOS'!C60&amp;"")&lt;&gt;"Por confirmar",TRIM('DATOS'!C60&amp;"")&lt;&gt;"No consta",TRIM('DATOS'!C60&amp;"")&lt;&gt;"Desconocido",TRIM('DATOS'!C60&amp;"")&lt;&gt;"Sin confirmar",TRIM('DATOS'!C60&amp;"")&lt;&gt;"Por decidir",TRIM('DATOS'!C60&amp;"")&lt;&gt;"Por comprobar")),NOT(AND(LEN(TRIM('DATOS'!D60&amp;""))&gt;0,TRIM('DATOS'!D60&amp;"")&lt;&gt;"Pendiente",TRIM('DATOS'!D60&amp;"")&lt;&gt;"Por confirmar",TRIM('DATOS'!D60&amp;"")&lt;&gt;"No consta",TRIM('DATOS'!D60&amp;"")&lt;&gt;"Desconocido",TRIM('DATOS'!D60&amp;"")&lt;&gt;"Sin confirmar",TRIM('DATOS'!D60&amp;"")&lt;&gt;"Por decidir",TRIM('DATOS'!D60&amp;"")&lt;&gt;"Por comprobar")),NOT(AND(LEN(TRIM('DATOS'!E60&amp;""))&gt;0,TRIM('DATOS'!E60&amp;"")&lt;&gt;"Pendiente",TRIM('DATOS'!E60&amp;"")&lt;&gt;"Por confirmar",TRIM('DATOS'!E60&amp;"")&lt;&gt;"No consta",TRIM('DATOS'!E60&amp;"")&lt;&gt;"Desconocido",TRIM('DATOS'!E60&amp;"")&lt;&gt;"Sin confirmar",TRIM('DATOS'!E60&amp;"")&lt;&gt;"Por decidir",TRIM('DATOS'!E60&amp;"")&lt;&gt;"Por comprobar")),NOT(AND(LEN(TRIM('DATOS'!F60&amp;""))&gt;0,TRIM('DATOS'!F60&amp;"")&lt;&gt;"Pendiente",TRIM('DATOS'!F60&amp;"")&lt;&gt;"Por confirmar",TRIM('DATOS'!F60&amp;"")&lt;&gt;"No consta",TRIM('DATOS'!F60&amp;"")&lt;&gt;"Desconocido",TRIM('DATOS'!F60&amp;"")&lt;&gt;"Sin confirmar",TRIM('DATOS'!F60&amp;"")&lt;&gt;"Por decidir",TRIM('DATOS'!F60&amp;"")&lt;&gt;"Por comprobar")),NOT(AND(LEN(TRIM('DATOS'!N60&amp;""))&gt;0,TRIM('DATOS'!N60&amp;"")&lt;&gt;"Pendiente",TRIM('DATOS'!N60&amp;"")&lt;&gt;"Por confirmar",TRIM('DATOS'!N60&amp;"")&lt;&gt;"No consta",TRIM('DATOS'!N60&amp;"")&lt;&gt;"Desconocido",TRIM('DATOS'!N60&amp;"")&lt;&gt;"Sin confirmar",TRIM('DATOS'!N60&amp;"")&lt;&gt;"Por decidir",TRIM('DATOS'!N60&amp;"")&lt;&gt;"Por comprobar")),NOT(Y60=1),W60&lt;&gt;1,X60&gt;1,NOT(OR(LEN(TRIM('DATOS'!K60&amp;""))=0,'DATOS'!K60="Sin valorar",'DATOS'!K60="Sin coste documentado",'DATOS'!K60="Incluido en otra partida",'DATOS'!K60="Por confirmar")),NOT(OR(LEN(TRIM('DATOS'!M60&amp;""))=0,'DATOS'!M60="Sí",'DATOS'!M60="No",'DATOS'!M60="Por confirmar")),NOT(OR(LEN(TRIM('DATOS'!O60&amp;""))=0,'DATOS'!O60="Comparamos",'DATOS'!O60="No existe",'DATOS'!O60="Por confirmar"))),2,IF(AND(OR('DATOS'!G60&lt;0,'DATOS'!H60&lt;0,'DATOS'!J60&lt;0),NOT(AND(LEN(TRIM('DATOS'!L60&amp;""))&gt;0,TRIM('DATOS'!L60&amp;"")&lt;&gt;"Pendiente",TRIM('DATOS'!L60&amp;"")&lt;&gt;"Por confirmar",TRIM('DATOS'!L60&amp;"")&lt;&gt;"No consta",TRIM('DATOS'!L60&amp;"")&lt;&gt;"Desconocido",TRIM('DATOS'!L60&amp;"")&lt;&gt;"Sin confirmar",TRIM('DATOS'!L60&amp;"")&lt;&gt;"Por decidir",TRIM('DATOS'!L60&amp;"")&lt;&gt;"Por comprobar"))),1,0))),2)</f>
      </c>
      <c r="P60" s="29">
        <f>IFERROR(IF(N60=0,"",IF(NOT(Y60=1),1,IF('REFERENCIAS'!$Q$8&lt;&gt;1,2,IF(ABS('DATOS'!J60-ROUND('DATOS'!G60*'DATOS'!H60,'REFERENCIAS'!$K$8))&gt;0.00000001,2,IF('DATOS'!O60="No existe",IF(LEN(TRIM('DATOS'!I60&amp;""))=0,0,2),IF('DATOS'!O60="Comparamos",IF(LEN(TRIM('DATOS'!I60&amp;""))=0,1,IF(ISNUMBER('DATOS'!I60),IF(ABS('DATOS'!H60-'DATOS'!I60)&gt;0.00000001,2,0),2)),1)))))),2)</f>
      </c>
      <c r="Q60" s="29">
        <f>IFERROR(IF(N60=0,"",IF(NOT(Y60=1),1,IF('DATOS'!K60="Sin valorar",2,IF('DATOS'!G60=0,1,IF(OR('DATOS'!H60=0,'DATOS'!J60=0),IF(AND(OR('DATOS'!K60="Sin coste documentado",'DATOS'!K60="Incluido en otra partida"),AND(LEN(TRIM('DATOS'!L60&amp;""))&gt;0,TRIM('DATOS'!L60&amp;"")&lt;&gt;"Pendiente",TRIM('DATOS'!L60&amp;"")&lt;&gt;"Por confirmar",TRIM('DATOS'!L60&amp;"")&lt;&gt;"No consta",TRIM('DATOS'!L60&amp;"")&lt;&gt;"Desconocido",TRIM('DATOS'!L60&amp;"")&lt;&gt;"Sin confirmar",TRIM('DATOS'!L60&amp;"")&lt;&gt;"Por decidir",TRIM('DATOS'!L60&amp;"")&lt;&gt;"Por comprobar")),0,1),0))))),2)</f>
      </c>
      <c r="R60" s="29">
        <f>IFERROR(IF(N60=0,"",IF(OR(NOT(AND(LEN(TRIM('DATOS'!D60&amp;""))&gt;0,TRIM('DATOS'!D60&amp;"")&lt;&gt;"Pendiente",TRIM('DATOS'!D60&amp;"")&lt;&gt;"Por confirmar",TRIM('DATOS'!D60&amp;"")&lt;&gt;"No consta",TRIM('DATOS'!D60&amp;"")&lt;&gt;"Desconocido",TRIM('DATOS'!D60&amp;"")&lt;&gt;"Sin confirmar",TRIM('DATOS'!D60&amp;"")&lt;&gt;"Por decidir",TRIM('DATOS'!D60&amp;"")&lt;&gt;"Por comprobar")),NOT(AND(LEN(TRIM('DATOS'!E60&amp;""))&gt;0,TRIM('DATOS'!E60&amp;"")&lt;&gt;"Pendiente",TRIM('DATOS'!E60&amp;"")&lt;&gt;"Por confirmar",TRIM('DATOS'!E60&amp;"")&lt;&gt;"No consta",TRIM('DATOS'!E60&amp;"")&lt;&gt;"Desconocido",TRIM('DATOS'!E60&amp;"")&lt;&gt;"Sin confirmar",TRIM('DATOS'!E60&amp;"")&lt;&gt;"Por decidir",TRIM('DATOS'!E60&amp;"")&lt;&gt;"Por comprobar"))),2,IF('DATOS'!M60="No",2,IF('DATOS'!M60="Sí",0,IF(OR('DATOS'!D60&lt;&gt;'DATOS'!E60,LEN('DATOS'!E60)&gt;300,RIGHT(TRIM('DATOS'!E60),3)="...",RIGHT(TRIM('DATOS'!E60),1)="…"),1,0))))),2)</f>
      </c>
      <c r="S60" s="29">
        <f>IFERROR(IF(N60=0,"",IF('REFERENCIAS'!$Q$8&lt;&gt;1,2,IF(NOT(Y60=1),1,IF(OR(ABS('DATOS'!G60-ROUND('DATOS'!G60,'REFERENCIAS'!$E$8))&gt;0.00000001,ABS('DATOS'!H60-ROUND('DATOS'!H60,'REFERENCIAS'!$H$8))&gt;0.00000001,ABS('DATOS'!J60-ROUND('DATOS'!J60,'REFERENCIAS'!$K$8))&gt;0.00000001,IF(ISNUMBER('DATOS'!I60),ABS('DATOS'!I60-ROUND('DATOS'!I60,'REFERENCIAS'!$H$8))&gt;0.00000001,FALSE)),1,0)))),2)</f>
      </c>
      <c r="T60" s="29">
        <f>IFERROR(IF(N60=0,"",IF(NOT(AND(LEN(TRIM('DATOS'!F60&amp;""))&gt;0,TRIM('DATOS'!F60&amp;"")&lt;&gt;"Pendiente",TRIM('DATOS'!F60&amp;"")&lt;&gt;"Por confirmar",TRIM('DATOS'!F60&amp;"")&lt;&gt;"No consta",TRIM('DATOS'!F60&amp;"")&lt;&gt;"Desconocido",TRIM('DATOS'!F60&amp;"")&lt;&gt;"Sin confirmar",TRIM('DATOS'!F60&amp;"")&lt;&gt;"Por decidir",TRIM('DATOS'!F60&amp;"")&lt;&gt;"Por comprobar")),2,IF(COUNTIFS('REFERENCIAS'!$T$15:$T$34,"ID:"&amp;SUBSTITUTE(SUBSTITUTE(SUBSTITUTE(SUBSTITUTE(UPPER(TRIM('DATOS'!F60&amp;"")),"!","!E"),"*","!A"),"?","!B"),"~","!C"),'REFERENCIAS'!$H$15:$H$34,"&lt;&gt;")&gt;0,0,1))),2)</f>
      </c>
      <c r="U60" s="29" t="str">
        <f>'DATOS'!R60</f>
        <v>ID:</v>
      </c>
      <c r="V60" s="29" t="str">
        <f>'DATOS'!S60</f>
        <v>ID:</v>
      </c>
      <c r="W60" s="29" t="n">
        <f>IF(N60=0,0,COUNTIFS('REFERENCIAS'!$R$15:$R$64,U60))</f>
        <v>0</v>
      </c>
      <c r="X60" s="29" t="n">
        <f>IF(N60=0,0,COUNTIFS('DATOS'!$R$10:$R$509,U60,'DATOS'!$S$10:$S$509,V60))</f>
        <v>0</v>
      </c>
      <c r="Y60" s="29" t="n">
        <f>IF(AND(ISNUMBER('DATOS'!G60),ISNUMBER('DATOS'!H60),ISNUMBER('DATOS'!J60)),1,0)</f>
        <v>0</v>
      </c>
    </row>
    <row r="61" ht="64" customHeight="1">
      <c r="B61" s="26">
        <f>IF(N61=1,52,"")</f>
      </c>
      <c r="C61" s="26">
        <f>IF(AND(N61=1,LEN(TRIM('DATOS'!B61&amp;""))&gt;0),'DATOS'!B61,"")</f>
      </c>
      <c r="D61" s="26">
        <f>IF(AND(N61=1,LEN(TRIM('DATOS'!C61&amp;""))&gt;0),'DATOS'!C61,"")</f>
      </c>
      <c r="E61" s="26">
        <f>IF(NOT(ISNUMBER(P61)),"",IF(P61=2,"ROJO",IF(P61=1,"ÁMBAR","VERDE")))</f>
      </c>
      <c r="F61" s="26">
        <f>IF(NOT(ISNUMBER(Q61)),"",IF(Q61=2,"ROJO",IF(Q61=1,"ÁMBAR","VERDE")))</f>
      </c>
      <c r="G61" s="26">
        <f>IF(NOT(ISNUMBER(R61)),"",IF(R61=2,"ROJO",IF(R61=1,"ÁMBAR","VERDE")))</f>
      </c>
      <c r="H61" s="26">
        <f>IF(NOT(ISNUMBER(S61)),"",IF(S61=2,"ROJO",IF(S61=1,"ÁMBAR","VERDE")))</f>
      </c>
      <c r="I61" s="26">
        <f>IF(NOT(ISNUMBER(T61)),"",IF(T61=2,"ROJO",IF(T61=1,"ÁMBAR","VERDE")))</f>
      </c>
      <c r="J61" s="26">
        <f>IF(NOT(ISNUMBER(O61)),"",IF(O61=2,"ROJO",IF(O61=1,"ÁMBAR","VERDE")))</f>
      </c>
      <c r="K61" s="26">
        <f>IFERROR(IF(AND(N61=1,LEN(TRIM('DATOS'!N61&amp;""))&gt;0),'DATOS'!N61,""),"Hay una entrada con error. Corregimos el dato antes de cerrar la comprobación.")</f>
      </c>
      <c r="L61" s="26">
        <f>IFERROR(IF(N61=0,"",IF(O61&gt;0,"Completamos datos, claves o motivo. ","")&amp;IF(P61&gt;0,"Cotejamos precios e importe. ","")&amp;IF(Q61&gt;0,"Aclaramos el cero. ","")&amp;IF(R61&gt;0,"Comprobamos el texto. ","")&amp;IF(S61&gt;0,"Revisamos decimales visibles. ","")&amp;IF(T61&gt;0,"Confirmamos la unidad.","")),"Hay una entrada con error. Corregimos el dato antes de cerrar la comprobación.")</f>
      </c>
      <c r="N61" s="29" t="n">
        <f>IF(COUNTA('DATOS'!B61:O61)&gt;0,1,0)</f>
        <v>0</v>
      </c>
      <c r="O61" s="29">
        <f>IFERROR(IF(N61=0,"",IF(OR(NOT(AND(LEN(TRIM('DATOS'!B61&amp;""))&gt;0,TRIM('DATOS'!B61&amp;"")&lt;&gt;"Pendiente",TRIM('DATOS'!B61&amp;"")&lt;&gt;"Por confirmar",TRIM('DATOS'!B61&amp;"")&lt;&gt;"No consta",TRIM('DATOS'!B61&amp;"")&lt;&gt;"Desconocido",TRIM('DATOS'!B61&amp;"")&lt;&gt;"Sin confirmar",TRIM('DATOS'!B61&amp;"")&lt;&gt;"Por decidir",TRIM('DATOS'!B61&amp;"")&lt;&gt;"Por comprobar")),NOT(AND(LEN(TRIM('DATOS'!C61&amp;""))&gt;0,TRIM('DATOS'!C61&amp;"")&lt;&gt;"Pendiente",TRIM('DATOS'!C61&amp;"")&lt;&gt;"Por confirmar",TRIM('DATOS'!C61&amp;"")&lt;&gt;"No consta",TRIM('DATOS'!C61&amp;"")&lt;&gt;"Desconocido",TRIM('DATOS'!C61&amp;"")&lt;&gt;"Sin confirmar",TRIM('DATOS'!C61&amp;"")&lt;&gt;"Por decidir",TRIM('DATOS'!C61&amp;"")&lt;&gt;"Por comprobar")),NOT(AND(LEN(TRIM('DATOS'!D61&amp;""))&gt;0,TRIM('DATOS'!D61&amp;"")&lt;&gt;"Pendiente",TRIM('DATOS'!D61&amp;"")&lt;&gt;"Por confirmar",TRIM('DATOS'!D61&amp;"")&lt;&gt;"No consta",TRIM('DATOS'!D61&amp;"")&lt;&gt;"Desconocido",TRIM('DATOS'!D61&amp;"")&lt;&gt;"Sin confirmar",TRIM('DATOS'!D61&amp;"")&lt;&gt;"Por decidir",TRIM('DATOS'!D61&amp;"")&lt;&gt;"Por comprobar")),NOT(AND(LEN(TRIM('DATOS'!E61&amp;""))&gt;0,TRIM('DATOS'!E61&amp;"")&lt;&gt;"Pendiente",TRIM('DATOS'!E61&amp;"")&lt;&gt;"Por confirmar",TRIM('DATOS'!E61&amp;"")&lt;&gt;"No consta",TRIM('DATOS'!E61&amp;"")&lt;&gt;"Desconocido",TRIM('DATOS'!E61&amp;"")&lt;&gt;"Sin confirmar",TRIM('DATOS'!E61&amp;"")&lt;&gt;"Por decidir",TRIM('DATOS'!E61&amp;"")&lt;&gt;"Por comprobar")),NOT(AND(LEN(TRIM('DATOS'!F61&amp;""))&gt;0,TRIM('DATOS'!F61&amp;"")&lt;&gt;"Pendiente",TRIM('DATOS'!F61&amp;"")&lt;&gt;"Por confirmar",TRIM('DATOS'!F61&amp;"")&lt;&gt;"No consta",TRIM('DATOS'!F61&amp;"")&lt;&gt;"Desconocido",TRIM('DATOS'!F61&amp;"")&lt;&gt;"Sin confirmar",TRIM('DATOS'!F61&amp;"")&lt;&gt;"Por decidir",TRIM('DATOS'!F61&amp;"")&lt;&gt;"Por comprobar")),NOT(AND(LEN(TRIM('DATOS'!N61&amp;""))&gt;0,TRIM('DATOS'!N61&amp;"")&lt;&gt;"Pendiente",TRIM('DATOS'!N61&amp;"")&lt;&gt;"Por confirmar",TRIM('DATOS'!N61&amp;"")&lt;&gt;"No consta",TRIM('DATOS'!N61&amp;"")&lt;&gt;"Desconocido",TRIM('DATOS'!N61&amp;"")&lt;&gt;"Sin confirmar",TRIM('DATOS'!N61&amp;"")&lt;&gt;"Por decidir",TRIM('DATOS'!N61&amp;"")&lt;&gt;"Por comprobar")),NOT(Y61=1),W61&lt;&gt;1,X61&gt;1,NOT(OR(LEN(TRIM('DATOS'!K61&amp;""))=0,'DATOS'!K61="Sin valorar",'DATOS'!K61="Sin coste documentado",'DATOS'!K61="Incluido en otra partida",'DATOS'!K61="Por confirmar")),NOT(OR(LEN(TRIM('DATOS'!M61&amp;""))=0,'DATOS'!M61="Sí",'DATOS'!M61="No",'DATOS'!M61="Por confirmar")),NOT(OR(LEN(TRIM('DATOS'!O61&amp;""))=0,'DATOS'!O61="Comparamos",'DATOS'!O61="No existe",'DATOS'!O61="Por confirmar"))),2,IF(AND(OR('DATOS'!G61&lt;0,'DATOS'!H61&lt;0,'DATOS'!J61&lt;0),NOT(AND(LEN(TRIM('DATOS'!L61&amp;""))&gt;0,TRIM('DATOS'!L61&amp;"")&lt;&gt;"Pendiente",TRIM('DATOS'!L61&amp;"")&lt;&gt;"Por confirmar",TRIM('DATOS'!L61&amp;"")&lt;&gt;"No consta",TRIM('DATOS'!L61&amp;"")&lt;&gt;"Desconocido",TRIM('DATOS'!L61&amp;"")&lt;&gt;"Sin confirmar",TRIM('DATOS'!L61&amp;"")&lt;&gt;"Por decidir",TRIM('DATOS'!L61&amp;"")&lt;&gt;"Por comprobar"))),1,0))),2)</f>
      </c>
      <c r="P61" s="29">
        <f>IFERROR(IF(N61=0,"",IF(NOT(Y61=1),1,IF('REFERENCIAS'!$Q$8&lt;&gt;1,2,IF(ABS('DATOS'!J61-ROUND('DATOS'!G61*'DATOS'!H61,'REFERENCIAS'!$K$8))&gt;0.00000001,2,IF('DATOS'!O61="No existe",IF(LEN(TRIM('DATOS'!I61&amp;""))=0,0,2),IF('DATOS'!O61="Comparamos",IF(LEN(TRIM('DATOS'!I61&amp;""))=0,1,IF(ISNUMBER('DATOS'!I61),IF(ABS('DATOS'!H61-'DATOS'!I61)&gt;0.00000001,2,0),2)),1)))))),2)</f>
      </c>
      <c r="Q61" s="29">
        <f>IFERROR(IF(N61=0,"",IF(NOT(Y61=1),1,IF('DATOS'!K61="Sin valorar",2,IF('DATOS'!G61=0,1,IF(OR('DATOS'!H61=0,'DATOS'!J61=0),IF(AND(OR('DATOS'!K61="Sin coste documentado",'DATOS'!K61="Incluido en otra partida"),AND(LEN(TRIM('DATOS'!L61&amp;""))&gt;0,TRIM('DATOS'!L61&amp;"")&lt;&gt;"Pendiente",TRIM('DATOS'!L61&amp;"")&lt;&gt;"Por confirmar",TRIM('DATOS'!L61&amp;"")&lt;&gt;"No consta",TRIM('DATOS'!L61&amp;"")&lt;&gt;"Desconocido",TRIM('DATOS'!L61&amp;"")&lt;&gt;"Sin confirmar",TRIM('DATOS'!L61&amp;"")&lt;&gt;"Por decidir",TRIM('DATOS'!L61&amp;"")&lt;&gt;"Por comprobar")),0,1),0))))),2)</f>
      </c>
      <c r="R61" s="29">
        <f>IFERROR(IF(N61=0,"",IF(OR(NOT(AND(LEN(TRIM('DATOS'!D61&amp;""))&gt;0,TRIM('DATOS'!D61&amp;"")&lt;&gt;"Pendiente",TRIM('DATOS'!D61&amp;"")&lt;&gt;"Por confirmar",TRIM('DATOS'!D61&amp;"")&lt;&gt;"No consta",TRIM('DATOS'!D61&amp;"")&lt;&gt;"Desconocido",TRIM('DATOS'!D61&amp;"")&lt;&gt;"Sin confirmar",TRIM('DATOS'!D61&amp;"")&lt;&gt;"Por decidir",TRIM('DATOS'!D61&amp;"")&lt;&gt;"Por comprobar")),NOT(AND(LEN(TRIM('DATOS'!E61&amp;""))&gt;0,TRIM('DATOS'!E61&amp;"")&lt;&gt;"Pendiente",TRIM('DATOS'!E61&amp;"")&lt;&gt;"Por confirmar",TRIM('DATOS'!E61&amp;"")&lt;&gt;"No consta",TRIM('DATOS'!E61&amp;"")&lt;&gt;"Desconocido",TRIM('DATOS'!E61&amp;"")&lt;&gt;"Sin confirmar",TRIM('DATOS'!E61&amp;"")&lt;&gt;"Por decidir",TRIM('DATOS'!E61&amp;"")&lt;&gt;"Por comprobar"))),2,IF('DATOS'!M61="No",2,IF('DATOS'!M61="Sí",0,IF(OR('DATOS'!D61&lt;&gt;'DATOS'!E61,LEN('DATOS'!E61)&gt;300,RIGHT(TRIM('DATOS'!E61),3)="...",RIGHT(TRIM('DATOS'!E61),1)="…"),1,0))))),2)</f>
      </c>
      <c r="S61" s="29">
        <f>IFERROR(IF(N61=0,"",IF('REFERENCIAS'!$Q$8&lt;&gt;1,2,IF(NOT(Y61=1),1,IF(OR(ABS('DATOS'!G61-ROUND('DATOS'!G61,'REFERENCIAS'!$E$8))&gt;0.00000001,ABS('DATOS'!H61-ROUND('DATOS'!H61,'REFERENCIAS'!$H$8))&gt;0.00000001,ABS('DATOS'!J61-ROUND('DATOS'!J61,'REFERENCIAS'!$K$8))&gt;0.00000001,IF(ISNUMBER('DATOS'!I61),ABS('DATOS'!I61-ROUND('DATOS'!I61,'REFERENCIAS'!$H$8))&gt;0.00000001,FALSE)),1,0)))),2)</f>
      </c>
      <c r="T61" s="29">
        <f>IFERROR(IF(N61=0,"",IF(NOT(AND(LEN(TRIM('DATOS'!F61&amp;""))&gt;0,TRIM('DATOS'!F61&amp;"")&lt;&gt;"Pendiente",TRIM('DATOS'!F61&amp;"")&lt;&gt;"Por confirmar",TRIM('DATOS'!F61&amp;"")&lt;&gt;"No consta",TRIM('DATOS'!F61&amp;"")&lt;&gt;"Desconocido",TRIM('DATOS'!F61&amp;"")&lt;&gt;"Sin confirmar",TRIM('DATOS'!F61&amp;"")&lt;&gt;"Por decidir",TRIM('DATOS'!F61&amp;"")&lt;&gt;"Por comprobar")),2,IF(COUNTIFS('REFERENCIAS'!$T$15:$T$34,"ID:"&amp;SUBSTITUTE(SUBSTITUTE(SUBSTITUTE(SUBSTITUTE(UPPER(TRIM('DATOS'!F61&amp;"")),"!","!E"),"*","!A"),"?","!B"),"~","!C"),'REFERENCIAS'!$H$15:$H$34,"&lt;&gt;")&gt;0,0,1))),2)</f>
      </c>
      <c r="U61" s="29" t="str">
        <f>'DATOS'!R61</f>
        <v>ID:</v>
      </c>
      <c r="V61" s="29" t="str">
        <f>'DATOS'!S61</f>
        <v>ID:</v>
      </c>
      <c r="W61" s="29" t="n">
        <f>IF(N61=0,0,COUNTIFS('REFERENCIAS'!$R$15:$R$64,U61))</f>
        <v>0</v>
      </c>
      <c r="X61" s="29" t="n">
        <f>IF(N61=0,0,COUNTIFS('DATOS'!$R$10:$R$509,U61,'DATOS'!$S$10:$S$509,V61))</f>
        <v>0</v>
      </c>
      <c r="Y61" s="29" t="n">
        <f>IF(AND(ISNUMBER('DATOS'!G61),ISNUMBER('DATOS'!H61),ISNUMBER('DATOS'!J61)),1,0)</f>
        <v>0</v>
      </c>
    </row>
    <row r="62" ht="64" customHeight="1">
      <c r="B62" s="26">
        <f>IF(N62=1,53,"")</f>
      </c>
      <c r="C62" s="26">
        <f>IF(AND(N62=1,LEN(TRIM('DATOS'!B62&amp;""))&gt;0),'DATOS'!B62,"")</f>
      </c>
      <c r="D62" s="26">
        <f>IF(AND(N62=1,LEN(TRIM('DATOS'!C62&amp;""))&gt;0),'DATOS'!C62,"")</f>
      </c>
      <c r="E62" s="26">
        <f>IF(NOT(ISNUMBER(P62)),"",IF(P62=2,"ROJO",IF(P62=1,"ÁMBAR","VERDE")))</f>
      </c>
      <c r="F62" s="26">
        <f>IF(NOT(ISNUMBER(Q62)),"",IF(Q62=2,"ROJO",IF(Q62=1,"ÁMBAR","VERDE")))</f>
      </c>
      <c r="G62" s="26">
        <f>IF(NOT(ISNUMBER(R62)),"",IF(R62=2,"ROJO",IF(R62=1,"ÁMBAR","VERDE")))</f>
      </c>
      <c r="H62" s="26">
        <f>IF(NOT(ISNUMBER(S62)),"",IF(S62=2,"ROJO",IF(S62=1,"ÁMBAR","VERDE")))</f>
      </c>
      <c r="I62" s="26">
        <f>IF(NOT(ISNUMBER(T62)),"",IF(T62=2,"ROJO",IF(T62=1,"ÁMBAR","VERDE")))</f>
      </c>
      <c r="J62" s="26">
        <f>IF(NOT(ISNUMBER(O62)),"",IF(O62=2,"ROJO",IF(O62=1,"ÁMBAR","VERDE")))</f>
      </c>
      <c r="K62" s="26">
        <f>IFERROR(IF(AND(N62=1,LEN(TRIM('DATOS'!N62&amp;""))&gt;0),'DATOS'!N62,""),"Hay una entrada con error. Corregimos el dato antes de cerrar la comprobación.")</f>
      </c>
      <c r="L62" s="26">
        <f>IFERROR(IF(N62=0,"",IF(O62&gt;0,"Completamos datos, claves o motivo. ","")&amp;IF(P62&gt;0,"Cotejamos precios e importe. ","")&amp;IF(Q62&gt;0,"Aclaramos el cero. ","")&amp;IF(R62&gt;0,"Comprobamos el texto. ","")&amp;IF(S62&gt;0,"Revisamos decimales visibles. ","")&amp;IF(T62&gt;0,"Confirmamos la unidad.","")),"Hay una entrada con error. Corregimos el dato antes de cerrar la comprobación.")</f>
      </c>
      <c r="N62" s="29" t="n">
        <f>IF(COUNTA('DATOS'!B62:O62)&gt;0,1,0)</f>
        <v>0</v>
      </c>
      <c r="O62" s="29">
        <f>IFERROR(IF(N62=0,"",IF(OR(NOT(AND(LEN(TRIM('DATOS'!B62&amp;""))&gt;0,TRIM('DATOS'!B62&amp;"")&lt;&gt;"Pendiente",TRIM('DATOS'!B62&amp;"")&lt;&gt;"Por confirmar",TRIM('DATOS'!B62&amp;"")&lt;&gt;"No consta",TRIM('DATOS'!B62&amp;"")&lt;&gt;"Desconocido",TRIM('DATOS'!B62&amp;"")&lt;&gt;"Sin confirmar",TRIM('DATOS'!B62&amp;"")&lt;&gt;"Por decidir",TRIM('DATOS'!B62&amp;"")&lt;&gt;"Por comprobar")),NOT(AND(LEN(TRIM('DATOS'!C62&amp;""))&gt;0,TRIM('DATOS'!C62&amp;"")&lt;&gt;"Pendiente",TRIM('DATOS'!C62&amp;"")&lt;&gt;"Por confirmar",TRIM('DATOS'!C62&amp;"")&lt;&gt;"No consta",TRIM('DATOS'!C62&amp;"")&lt;&gt;"Desconocido",TRIM('DATOS'!C62&amp;"")&lt;&gt;"Sin confirmar",TRIM('DATOS'!C62&amp;"")&lt;&gt;"Por decidir",TRIM('DATOS'!C62&amp;"")&lt;&gt;"Por comprobar")),NOT(AND(LEN(TRIM('DATOS'!D62&amp;""))&gt;0,TRIM('DATOS'!D62&amp;"")&lt;&gt;"Pendiente",TRIM('DATOS'!D62&amp;"")&lt;&gt;"Por confirmar",TRIM('DATOS'!D62&amp;"")&lt;&gt;"No consta",TRIM('DATOS'!D62&amp;"")&lt;&gt;"Desconocido",TRIM('DATOS'!D62&amp;"")&lt;&gt;"Sin confirmar",TRIM('DATOS'!D62&amp;"")&lt;&gt;"Por decidir",TRIM('DATOS'!D62&amp;"")&lt;&gt;"Por comprobar")),NOT(AND(LEN(TRIM('DATOS'!E62&amp;""))&gt;0,TRIM('DATOS'!E62&amp;"")&lt;&gt;"Pendiente",TRIM('DATOS'!E62&amp;"")&lt;&gt;"Por confirmar",TRIM('DATOS'!E62&amp;"")&lt;&gt;"No consta",TRIM('DATOS'!E62&amp;"")&lt;&gt;"Desconocido",TRIM('DATOS'!E62&amp;"")&lt;&gt;"Sin confirmar",TRIM('DATOS'!E62&amp;"")&lt;&gt;"Por decidir",TRIM('DATOS'!E62&amp;"")&lt;&gt;"Por comprobar")),NOT(AND(LEN(TRIM('DATOS'!F62&amp;""))&gt;0,TRIM('DATOS'!F62&amp;"")&lt;&gt;"Pendiente",TRIM('DATOS'!F62&amp;"")&lt;&gt;"Por confirmar",TRIM('DATOS'!F62&amp;"")&lt;&gt;"No consta",TRIM('DATOS'!F62&amp;"")&lt;&gt;"Desconocido",TRIM('DATOS'!F62&amp;"")&lt;&gt;"Sin confirmar",TRIM('DATOS'!F62&amp;"")&lt;&gt;"Por decidir",TRIM('DATOS'!F62&amp;"")&lt;&gt;"Por comprobar")),NOT(AND(LEN(TRIM('DATOS'!N62&amp;""))&gt;0,TRIM('DATOS'!N62&amp;"")&lt;&gt;"Pendiente",TRIM('DATOS'!N62&amp;"")&lt;&gt;"Por confirmar",TRIM('DATOS'!N62&amp;"")&lt;&gt;"No consta",TRIM('DATOS'!N62&amp;"")&lt;&gt;"Desconocido",TRIM('DATOS'!N62&amp;"")&lt;&gt;"Sin confirmar",TRIM('DATOS'!N62&amp;"")&lt;&gt;"Por decidir",TRIM('DATOS'!N62&amp;"")&lt;&gt;"Por comprobar")),NOT(Y62=1),W62&lt;&gt;1,X62&gt;1,NOT(OR(LEN(TRIM('DATOS'!K62&amp;""))=0,'DATOS'!K62="Sin valorar",'DATOS'!K62="Sin coste documentado",'DATOS'!K62="Incluido en otra partida",'DATOS'!K62="Por confirmar")),NOT(OR(LEN(TRIM('DATOS'!M62&amp;""))=0,'DATOS'!M62="Sí",'DATOS'!M62="No",'DATOS'!M62="Por confirmar")),NOT(OR(LEN(TRIM('DATOS'!O62&amp;""))=0,'DATOS'!O62="Comparamos",'DATOS'!O62="No existe",'DATOS'!O62="Por confirmar"))),2,IF(AND(OR('DATOS'!G62&lt;0,'DATOS'!H62&lt;0,'DATOS'!J62&lt;0),NOT(AND(LEN(TRIM('DATOS'!L62&amp;""))&gt;0,TRIM('DATOS'!L62&amp;"")&lt;&gt;"Pendiente",TRIM('DATOS'!L62&amp;"")&lt;&gt;"Por confirmar",TRIM('DATOS'!L62&amp;"")&lt;&gt;"No consta",TRIM('DATOS'!L62&amp;"")&lt;&gt;"Desconocido",TRIM('DATOS'!L62&amp;"")&lt;&gt;"Sin confirmar",TRIM('DATOS'!L62&amp;"")&lt;&gt;"Por decidir",TRIM('DATOS'!L62&amp;"")&lt;&gt;"Por comprobar"))),1,0))),2)</f>
      </c>
      <c r="P62" s="29">
        <f>IFERROR(IF(N62=0,"",IF(NOT(Y62=1),1,IF('REFERENCIAS'!$Q$8&lt;&gt;1,2,IF(ABS('DATOS'!J62-ROUND('DATOS'!G62*'DATOS'!H62,'REFERENCIAS'!$K$8))&gt;0.00000001,2,IF('DATOS'!O62="No existe",IF(LEN(TRIM('DATOS'!I62&amp;""))=0,0,2),IF('DATOS'!O62="Comparamos",IF(LEN(TRIM('DATOS'!I62&amp;""))=0,1,IF(ISNUMBER('DATOS'!I62),IF(ABS('DATOS'!H62-'DATOS'!I62)&gt;0.00000001,2,0),2)),1)))))),2)</f>
      </c>
      <c r="Q62" s="29">
        <f>IFERROR(IF(N62=0,"",IF(NOT(Y62=1),1,IF('DATOS'!K62="Sin valorar",2,IF('DATOS'!G62=0,1,IF(OR('DATOS'!H62=0,'DATOS'!J62=0),IF(AND(OR('DATOS'!K62="Sin coste documentado",'DATOS'!K62="Incluido en otra partida"),AND(LEN(TRIM('DATOS'!L62&amp;""))&gt;0,TRIM('DATOS'!L62&amp;"")&lt;&gt;"Pendiente",TRIM('DATOS'!L62&amp;"")&lt;&gt;"Por confirmar",TRIM('DATOS'!L62&amp;"")&lt;&gt;"No consta",TRIM('DATOS'!L62&amp;"")&lt;&gt;"Desconocido",TRIM('DATOS'!L62&amp;"")&lt;&gt;"Sin confirmar",TRIM('DATOS'!L62&amp;"")&lt;&gt;"Por decidir",TRIM('DATOS'!L62&amp;"")&lt;&gt;"Por comprobar")),0,1),0))))),2)</f>
      </c>
      <c r="R62" s="29">
        <f>IFERROR(IF(N62=0,"",IF(OR(NOT(AND(LEN(TRIM('DATOS'!D62&amp;""))&gt;0,TRIM('DATOS'!D62&amp;"")&lt;&gt;"Pendiente",TRIM('DATOS'!D62&amp;"")&lt;&gt;"Por confirmar",TRIM('DATOS'!D62&amp;"")&lt;&gt;"No consta",TRIM('DATOS'!D62&amp;"")&lt;&gt;"Desconocido",TRIM('DATOS'!D62&amp;"")&lt;&gt;"Sin confirmar",TRIM('DATOS'!D62&amp;"")&lt;&gt;"Por decidir",TRIM('DATOS'!D62&amp;"")&lt;&gt;"Por comprobar")),NOT(AND(LEN(TRIM('DATOS'!E62&amp;""))&gt;0,TRIM('DATOS'!E62&amp;"")&lt;&gt;"Pendiente",TRIM('DATOS'!E62&amp;"")&lt;&gt;"Por confirmar",TRIM('DATOS'!E62&amp;"")&lt;&gt;"No consta",TRIM('DATOS'!E62&amp;"")&lt;&gt;"Desconocido",TRIM('DATOS'!E62&amp;"")&lt;&gt;"Sin confirmar",TRIM('DATOS'!E62&amp;"")&lt;&gt;"Por decidir",TRIM('DATOS'!E62&amp;"")&lt;&gt;"Por comprobar"))),2,IF('DATOS'!M62="No",2,IF('DATOS'!M62="Sí",0,IF(OR('DATOS'!D62&lt;&gt;'DATOS'!E62,LEN('DATOS'!E62)&gt;300,RIGHT(TRIM('DATOS'!E62),3)="...",RIGHT(TRIM('DATOS'!E62),1)="…"),1,0))))),2)</f>
      </c>
      <c r="S62" s="29">
        <f>IFERROR(IF(N62=0,"",IF('REFERENCIAS'!$Q$8&lt;&gt;1,2,IF(NOT(Y62=1),1,IF(OR(ABS('DATOS'!G62-ROUND('DATOS'!G62,'REFERENCIAS'!$E$8))&gt;0.00000001,ABS('DATOS'!H62-ROUND('DATOS'!H62,'REFERENCIAS'!$H$8))&gt;0.00000001,ABS('DATOS'!J62-ROUND('DATOS'!J62,'REFERENCIAS'!$K$8))&gt;0.00000001,IF(ISNUMBER('DATOS'!I62),ABS('DATOS'!I62-ROUND('DATOS'!I62,'REFERENCIAS'!$H$8))&gt;0.00000001,FALSE)),1,0)))),2)</f>
      </c>
      <c r="T62" s="29">
        <f>IFERROR(IF(N62=0,"",IF(NOT(AND(LEN(TRIM('DATOS'!F62&amp;""))&gt;0,TRIM('DATOS'!F62&amp;"")&lt;&gt;"Pendiente",TRIM('DATOS'!F62&amp;"")&lt;&gt;"Por confirmar",TRIM('DATOS'!F62&amp;"")&lt;&gt;"No consta",TRIM('DATOS'!F62&amp;"")&lt;&gt;"Desconocido",TRIM('DATOS'!F62&amp;"")&lt;&gt;"Sin confirmar",TRIM('DATOS'!F62&amp;"")&lt;&gt;"Por decidir",TRIM('DATOS'!F62&amp;"")&lt;&gt;"Por comprobar")),2,IF(COUNTIFS('REFERENCIAS'!$T$15:$T$34,"ID:"&amp;SUBSTITUTE(SUBSTITUTE(SUBSTITUTE(SUBSTITUTE(UPPER(TRIM('DATOS'!F62&amp;"")),"!","!E"),"*","!A"),"?","!B"),"~","!C"),'REFERENCIAS'!$H$15:$H$34,"&lt;&gt;")&gt;0,0,1))),2)</f>
      </c>
      <c r="U62" s="29" t="str">
        <f>'DATOS'!R62</f>
        <v>ID:</v>
      </c>
      <c r="V62" s="29" t="str">
        <f>'DATOS'!S62</f>
        <v>ID:</v>
      </c>
      <c r="W62" s="29" t="n">
        <f>IF(N62=0,0,COUNTIFS('REFERENCIAS'!$R$15:$R$64,U62))</f>
        <v>0</v>
      </c>
      <c r="X62" s="29" t="n">
        <f>IF(N62=0,0,COUNTIFS('DATOS'!$R$10:$R$509,U62,'DATOS'!$S$10:$S$509,V62))</f>
        <v>0</v>
      </c>
      <c r="Y62" s="29" t="n">
        <f>IF(AND(ISNUMBER('DATOS'!G62),ISNUMBER('DATOS'!H62),ISNUMBER('DATOS'!J62)),1,0)</f>
        <v>0</v>
      </c>
    </row>
    <row r="63" ht="64" customHeight="1">
      <c r="B63" s="26">
        <f>IF(N63=1,54,"")</f>
      </c>
      <c r="C63" s="26">
        <f>IF(AND(N63=1,LEN(TRIM('DATOS'!B63&amp;""))&gt;0),'DATOS'!B63,"")</f>
      </c>
      <c r="D63" s="26">
        <f>IF(AND(N63=1,LEN(TRIM('DATOS'!C63&amp;""))&gt;0),'DATOS'!C63,"")</f>
      </c>
      <c r="E63" s="26">
        <f>IF(NOT(ISNUMBER(P63)),"",IF(P63=2,"ROJO",IF(P63=1,"ÁMBAR","VERDE")))</f>
      </c>
      <c r="F63" s="26">
        <f>IF(NOT(ISNUMBER(Q63)),"",IF(Q63=2,"ROJO",IF(Q63=1,"ÁMBAR","VERDE")))</f>
      </c>
      <c r="G63" s="26">
        <f>IF(NOT(ISNUMBER(R63)),"",IF(R63=2,"ROJO",IF(R63=1,"ÁMBAR","VERDE")))</f>
      </c>
      <c r="H63" s="26">
        <f>IF(NOT(ISNUMBER(S63)),"",IF(S63=2,"ROJO",IF(S63=1,"ÁMBAR","VERDE")))</f>
      </c>
      <c r="I63" s="26">
        <f>IF(NOT(ISNUMBER(T63)),"",IF(T63=2,"ROJO",IF(T63=1,"ÁMBAR","VERDE")))</f>
      </c>
      <c r="J63" s="26">
        <f>IF(NOT(ISNUMBER(O63)),"",IF(O63=2,"ROJO",IF(O63=1,"ÁMBAR","VERDE")))</f>
      </c>
      <c r="K63" s="26">
        <f>IFERROR(IF(AND(N63=1,LEN(TRIM('DATOS'!N63&amp;""))&gt;0),'DATOS'!N63,""),"Hay una entrada con error. Corregimos el dato antes de cerrar la comprobación.")</f>
      </c>
      <c r="L63" s="26">
        <f>IFERROR(IF(N63=0,"",IF(O63&gt;0,"Completamos datos, claves o motivo. ","")&amp;IF(P63&gt;0,"Cotejamos precios e importe. ","")&amp;IF(Q63&gt;0,"Aclaramos el cero. ","")&amp;IF(R63&gt;0,"Comprobamos el texto. ","")&amp;IF(S63&gt;0,"Revisamos decimales visibles. ","")&amp;IF(T63&gt;0,"Confirmamos la unidad.","")),"Hay una entrada con error. Corregimos el dato antes de cerrar la comprobación.")</f>
      </c>
      <c r="N63" s="29" t="n">
        <f>IF(COUNTA('DATOS'!B63:O63)&gt;0,1,0)</f>
        <v>0</v>
      </c>
      <c r="O63" s="29">
        <f>IFERROR(IF(N63=0,"",IF(OR(NOT(AND(LEN(TRIM('DATOS'!B63&amp;""))&gt;0,TRIM('DATOS'!B63&amp;"")&lt;&gt;"Pendiente",TRIM('DATOS'!B63&amp;"")&lt;&gt;"Por confirmar",TRIM('DATOS'!B63&amp;"")&lt;&gt;"No consta",TRIM('DATOS'!B63&amp;"")&lt;&gt;"Desconocido",TRIM('DATOS'!B63&amp;"")&lt;&gt;"Sin confirmar",TRIM('DATOS'!B63&amp;"")&lt;&gt;"Por decidir",TRIM('DATOS'!B63&amp;"")&lt;&gt;"Por comprobar")),NOT(AND(LEN(TRIM('DATOS'!C63&amp;""))&gt;0,TRIM('DATOS'!C63&amp;"")&lt;&gt;"Pendiente",TRIM('DATOS'!C63&amp;"")&lt;&gt;"Por confirmar",TRIM('DATOS'!C63&amp;"")&lt;&gt;"No consta",TRIM('DATOS'!C63&amp;"")&lt;&gt;"Desconocido",TRIM('DATOS'!C63&amp;"")&lt;&gt;"Sin confirmar",TRIM('DATOS'!C63&amp;"")&lt;&gt;"Por decidir",TRIM('DATOS'!C63&amp;"")&lt;&gt;"Por comprobar")),NOT(AND(LEN(TRIM('DATOS'!D63&amp;""))&gt;0,TRIM('DATOS'!D63&amp;"")&lt;&gt;"Pendiente",TRIM('DATOS'!D63&amp;"")&lt;&gt;"Por confirmar",TRIM('DATOS'!D63&amp;"")&lt;&gt;"No consta",TRIM('DATOS'!D63&amp;"")&lt;&gt;"Desconocido",TRIM('DATOS'!D63&amp;"")&lt;&gt;"Sin confirmar",TRIM('DATOS'!D63&amp;"")&lt;&gt;"Por decidir",TRIM('DATOS'!D63&amp;"")&lt;&gt;"Por comprobar")),NOT(AND(LEN(TRIM('DATOS'!E63&amp;""))&gt;0,TRIM('DATOS'!E63&amp;"")&lt;&gt;"Pendiente",TRIM('DATOS'!E63&amp;"")&lt;&gt;"Por confirmar",TRIM('DATOS'!E63&amp;"")&lt;&gt;"No consta",TRIM('DATOS'!E63&amp;"")&lt;&gt;"Desconocido",TRIM('DATOS'!E63&amp;"")&lt;&gt;"Sin confirmar",TRIM('DATOS'!E63&amp;"")&lt;&gt;"Por decidir",TRIM('DATOS'!E63&amp;"")&lt;&gt;"Por comprobar")),NOT(AND(LEN(TRIM('DATOS'!F63&amp;""))&gt;0,TRIM('DATOS'!F63&amp;"")&lt;&gt;"Pendiente",TRIM('DATOS'!F63&amp;"")&lt;&gt;"Por confirmar",TRIM('DATOS'!F63&amp;"")&lt;&gt;"No consta",TRIM('DATOS'!F63&amp;"")&lt;&gt;"Desconocido",TRIM('DATOS'!F63&amp;"")&lt;&gt;"Sin confirmar",TRIM('DATOS'!F63&amp;"")&lt;&gt;"Por decidir",TRIM('DATOS'!F63&amp;"")&lt;&gt;"Por comprobar")),NOT(AND(LEN(TRIM('DATOS'!N63&amp;""))&gt;0,TRIM('DATOS'!N63&amp;"")&lt;&gt;"Pendiente",TRIM('DATOS'!N63&amp;"")&lt;&gt;"Por confirmar",TRIM('DATOS'!N63&amp;"")&lt;&gt;"No consta",TRIM('DATOS'!N63&amp;"")&lt;&gt;"Desconocido",TRIM('DATOS'!N63&amp;"")&lt;&gt;"Sin confirmar",TRIM('DATOS'!N63&amp;"")&lt;&gt;"Por decidir",TRIM('DATOS'!N63&amp;"")&lt;&gt;"Por comprobar")),NOT(Y63=1),W63&lt;&gt;1,X63&gt;1,NOT(OR(LEN(TRIM('DATOS'!K63&amp;""))=0,'DATOS'!K63="Sin valorar",'DATOS'!K63="Sin coste documentado",'DATOS'!K63="Incluido en otra partida",'DATOS'!K63="Por confirmar")),NOT(OR(LEN(TRIM('DATOS'!M63&amp;""))=0,'DATOS'!M63="Sí",'DATOS'!M63="No",'DATOS'!M63="Por confirmar")),NOT(OR(LEN(TRIM('DATOS'!O63&amp;""))=0,'DATOS'!O63="Comparamos",'DATOS'!O63="No existe",'DATOS'!O63="Por confirmar"))),2,IF(AND(OR('DATOS'!G63&lt;0,'DATOS'!H63&lt;0,'DATOS'!J63&lt;0),NOT(AND(LEN(TRIM('DATOS'!L63&amp;""))&gt;0,TRIM('DATOS'!L63&amp;"")&lt;&gt;"Pendiente",TRIM('DATOS'!L63&amp;"")&lt;&gt;"Por confirmar",TRIM('DATOS'!L63&amp;"")&lt;&gt;"No consta",TRIM('DATOS'!L63&amp;"")&lt;&gt;"Desconocido",TRIM('DATOS'!L63&amp;"")&lt;&gt;"Sin confirmar",TRIM('DATOS'!L63&amp;"")&lt;&gt;"Por decidir",TRIM('DATOS'!L63&amp;"")&lt;&gt;"Por comprobar"))),1,0))),2)</f>
      </c>
      <c r="P63" s="29">
        <f>IFERROR(IF(N63=0,"",IF(NOT(Y63=1),1,IF('REFERENCIAS'!$Q$8&lt;&gt;1,2,IF(ABS('DATOS'!J63-ROUND('DATOS'!G63*'DATOS'!H63,'REFERENCIAS'!$K$8))&gt;0.00000001,2,IF('DATOS'!O63="No existe",IF(LEN(TRIM('DATOS'!I63&amp;""))=0,0,2),IF('DATOS'!O63="Comparamos",IF(LEN(TRIM('DATOS'!I63&amp;""))=0,1,IF(ISNUMBER('DATOS'!I63),IF(ABS('DATOS'!H63-'DATOS'!I63)&gt;0.00000001,2,0),2)),1)))))),2)</f>
      </c>
      <c r="Q63" s="29">
        <f>IFERROR(IF(N63=0,"",IF(NOT(Y63=1),1,IF('DATOS'!K63="Sin valorar",2,IF('DATOS'!G63=0,1,IF(OR('DATOS'!H63=0,'DATOS'!J63=0),IF(AND(OR('DATOS'!K63="Sin coste documentado",'DATOS'!K63="Incluido en otra partida"),AND(LEN(TRIM('DATOS'!L63&amp;""))&gt;0,TRIM('DATOS'!L63&amp;"")&lt;&gt;"Pendiente",TRIM('DATOS'!L63&amp;"")&lt;&gt;"Por confirmar",TRIM('DATOS'!L63&amp;"")&lt;&gt;"No consta",TRIM('DATOS'!L63&amp;"")&lt;&gt;"Desconocido",TRIM('DATOS'!L63&amp;"")&lt;&gt;"Sin confirmar",TRIM('DATOS'!L63&amp;"")&lt;&gt;"Por decidir",TRIM('DATOS'!L63&amp;"")&lt;&gt;"Por comprobar")),0,1),0))))),2)</f>
      </c>
      <c r="R63" s="29">
        <f>IFERROR(IF(N63=0,"",IF(OR(NOT(AND(LEN(TRIM('DATOS'!D63&amp;""))&gt;0,TRIM('DATOS'!D63&amp;"")&lt;&gt;"Pendiente",TRIM('DATOS'!D63&amp;"")&lt;&gt;"Por confirmar",TRIM('DATOS'!D63&amp;"")&lt;&gt;"No consta",TRIM('DATOS'!D63&amp;"")&lt;&gt;"Desconocido",TRIM('DATOS'!D63&amp;"")&lt;&gt;"Sin confirmar",TRIM('DATOS'!D63&amp;"")&lt;&gt;"Por decidir",TRIM('DATOS'!D63&amp;"")&lt;&gt;"Por comprobar")),NOT(AND(LEN(TRIM('DATOS'!E63&amp;""))&gt;0,TRIM('DATOS'!E63&amp;"")&lt;&gt;"Pendiente",TRIM('DATOS'!E63&amp;"")&lt;&gt;"Por confirmar",TRIM('DATOS'!E63&amp;"")&lt;&gt;"No consta",TRIM('DATOS'!E63&amp;"")&lt;&gt;"Desconocido",TRIM('DATOS'!E63&amp;"")&lt;&gt;"Sin confirmar",TRIM('DATOS'!E63&amp;"")&lt;&gt;"Por decidir",TRIM('DATOS'!E63&amp;"")&lt;&gt;"Por comprobar"))),2,IF('DATOS'!M63="No",2,IF('DATOS'!M63="Sí",0,IF(OR('DATOS'!D63&lt;&gt;'DATOS'!E63,LEN('DATOS'!E63)&gt;300,RIGHT(TRIM('DATOS'!E63),3)="...",RIGHT(TRIM('DATOS'!E63),1)="…"),1,0))))),2)</f>
      </c>
      <c r="S63" s="29">
        <f>IFERROR(IF(N63=0,"",IF('REFERENCIAS'!$Q$8&lt;&gt;1,2,IF(NOT(Y63=1),1,IF(OR(ABS('DATOS'!G63-ROUND('DATOS'!G63,'REFERENCIAS'!$E$8))&gt;0.00000001,ABS('DATOS'!H63-ROUND('DATOS'!H63,'REFERENCIAS'!$H$8))&gt;0.00000001,ABS('DATOS'!J63-ROUND('DATOS'!J63,'REFERENCIAS'!$K$8))&gt;0.00000001,IF(ISNUMBER('DATOS'!I63),ABS('DATOS'!I63-ROUND('DATOS'!I63,'REFERENCIAS'!$H$8))&gt;0.00000001,FALSE)),1,0)))),2)</f>
      </c>
      <c r="T63" s="29">
        <f>IFERROR(IF(N63=0,"",IF(NOT(AND(LEN(TRIM('DATOS'!F63&amp;""))&gt;0,TRIM('DATOS'!F63&amp;"")&lt;&gt;"Pendiente",TRIM('DATOS'!F63&amp;"")&lt;&gt;"Por confirmar",TRIM('DATOS'!F63&amp;"")&lt;&gt;"No consta",TRIM('DATOS'!F63&amp;"")&lt;&gt;"Desconocido",TRIM('DATOS'!F63&amp;"")&lt;&gt;"Sin confirmar",TRIM('DATOS'!F63&amp;"")&lt;&gt;"Por decidir",TRIM('DATOS'!F63&amp;"")&lt;&gt;"Por comprobar")),2,IF(COUNTIFS('REFERENCIAS'!$T$15:$T$34,"ID:"&amp;SUBSTITUTE(SUBSTITUTE(SUBSTITUTE(SUBSTITUTE(UPPER(TRIM('DATOS'!F63&amp;"")),"!","!E"),"*","!A"),"?","!B"),"~","!C"),'REFERENCIAS'!$H$15:$H$34,"&lt;&gt;")&gt;0,0,1))),2)</f>
      </c>
      <c r="U63" s="29" t="str">
        <f>'DATOS'!R63</f>
        <v>ID:</v>
      </c>
      <c r="V63" s="29" t="str">
        <f>'DATOS'!S63</f>
        <v>ID:</v>
      </c>
      <c r="W63" s="29" t="n">
        <f>IF(N63=0,0,COUNTIFS('REFERENCIAS'!$R$15:$R$64,U63))</f>
        <v>0</v>
      </c>
      <c r="X63" s="29" t="n">
        <f>IF(N63=0,0,COUNTIFS('DATOS'!$R$10:$R$509,U63,'DATOS'!$S$10:$S$509,V63))</f>
        <v>0</v>
      </c>
      <c r="Y63" s="29" t="n">
        <f>IF(AND(ISNUMBER('DATOS'!G63),ISNUMBER('DATOS'!H63),ISNUMBER('DATOS'!J63)),1,0)</f>
        <v>0</v>
      </c>
    </row>
    <row r="64" ht="64" customHeight="1">
      <c r="B64" s="26">
        <f>IF(N64=1,55,"")</f>
      </c>
      <c r="C64" s="26">
        <f>IF(AND(N64=1,LEN(TRIM('DATOS'!B64&amp;""))&gt;0),'DATOS'!B64,"")</f>
      </c>
      <c r="D64" s="26">
        <f>IF(AND(N64=1,LEN(TRIM('DATOS'!C64&amp;""))&gt;0),'DATOS'!C64,"")</f>
      </c>
      <c r="E64" s="26">
        <f>IF(NOT(ISNUMBER(P64)),"",IF(P64=2,"ROJO",IF(P64=1,"ÁMBAR","VERDE")))</f>
      </c>
      <c r="F64" s="26">
        <f>IF(NOT(ISNUMBER(Q64)),"",IF(Q64=2,"ROJO",IF(Q64=1,"ÁMBAR","VERDE")))</f>
      </c>
      <c r="G64" s="26">
        <f>IF(NOT(ISNUMBER(R64)),"",IF(R64=2,"ROJO",IF(R64=1,"ÁMBAR","VERDE")))</f>
      </c>
      <c r="H64" s="26">
        <f>IF(NOT(ISNUMBER(S64)),"",IF(S64=2,"ROJO",IF(S64=1,"ÁMBAR","VERDE")))</f>
      </c>
      <c r="I64" s="26">
        <f>IF(NOT(ISNUMBER(T64)),"",IF(T64=2,"ROJO",IF(T64=1,"ÁMBAR","VERDE")))</f>
      </c>
      <c r="J64" s="26">
        <f>IF(NOT(ISNUMBER(O64)),"",IF(O64=2,"ROJO",IF(O64=1,"ÁMBAR","VERDE")))</f>
      </c>
      <c r="K64" s="26">
        <f>IFERROR(IF(AND(N64=1,LEN(TRIM('DATOS'!N64&amp;""))&gt;0),'DATOS'!N64,""),"Hay una entrada con error. Corregimos el dato antes de cerrar la comprobación.")</f>
      </c>
      <c r="L64" s="26">
        <f>IFERROR(IF(N64=0,"",IF(O64&gt;0,"Completamos datos, claves o motivo. ","")&amp;IF(P64&gt;0,"Cotejamos precios e importe. ","")&amp;IF(Q64&gt;0,"Aclaramos el cero. ","")&amp;IF(R64&gt;0,"Comprobamos el texto. ","")&amp;IF(S64&gt;0,"Revisamos decimales visibles. ","")&amp;IF(T64&gt;0,"Confirmamos la unidad.","")),"Hay una entrada con error. Corregimos el dato antes de cerrar la comprobación.")</f>
      </c>
      <c r="N64" s="29" t="n">
        <f>IF(COUNTA('DATOS'!B64:O64)&gt;0,1,0)</f>
        <v>0</v>
      </c>
      <c r="O64" s="29">
        <f>IFERROR(IF(N64=0,"",IF(OR(NOT(AND(LEN(TRIM('DATOS'!B64&amp;""))&gt;0,TRIM('DATOS'!B64&amp;"")&lt;&gt;"Pendiente",TRIM('DATOS'!B64&amp;"")&lt;&gt;"Por confirmar",TRIM('DATOS'!B64&amp;"")&lt;&gt;"No consta",TRIM('DATOS'!B64&amp;"")&lt;&gt;"Desconocido",TRIM('DATOS'!B64&amp;"")&lt;&gt;"Sin confirmar",TRIM('DATOS'!B64&amp;"")&lt;&gt;"Por decidir",TRIM('DATOS'!B64&amp;"")&lt;&gt;"Por comprobar")),NOT(AND(LEN(TRIM('DATOS'!C64&amp;""))&gt;0,TRIM('DATOS'!C64&amp;"")&lt;&gt;"Pendiente",TRIM('DATOS'!C64&amp;"")&lt;&gt;"Por confirmar",TRIM('DATOS'!C64&amp;"")&lt;&gt;"No consta",TRIM('DATOS'!C64&amp;"")&lt;&gt;"Desconocido",TRIM('DATOS'!C64&amp;"")&lt;&gt;"Sin confirmar",TRIM('DATOS'!C64&amp;"")&lt;&gt;"Por decidir",TRIM('DATOS'!C64&amp;"")&lt;&gt;"Por comprobar")),NOT(AND(LEN(TRIM('DATOS'!D64&amp;""))&gt;0,TRIM('DATOS'!D64&amp;"")&lt;&gt;"Pendiente",TRIM('DATOS'!D64&amp;"")&lt;&gt;"Por confirmar",TRIM('DATOS'!D64&amp;"")&lt;&gt;"No consta",TRIM('DATOS'!D64&amp;"")&lt;&gt;"Desconocido",TRIM('DATOS'!D64&amp;"")&lt;&gt;"Sin confirmar",TRIM('DATOS'!D64&amp;"")&lt;&gt;"Por decidir",TRIM('DATOS'!D64&amp;"")&lt;&gt;"Por comprobar")),NOT(AND(LEN(TRIM('DATOS'!E64&amp;""))&gt;0,TRIM('DATOS'!E64&amp;"")&lt;&gt;"Pendiente",TRIM('DATOS'!E64&amp;"")&lt;&gt;"Por confirmar",TRIM('DATOS'!E64&amp;"")&lt;&gt;"No consta",TRIM('DATOS'!E64&amp;"")&lt;&gt;"Desconocido",TRIM('DATOS'!E64&amp;"")&lt;&gt;"Sin confirmar",TRIM('DATOS'!E64&amp;"")&lt;&gt;"Por decidir",TRIM('DATOS'!E64&amp;"")&lt;&gt;"Por comprobar")),NOT(AND(LEN(TRIM('DATOS'!F64&amp;""))&gt;0,TRIM('DATOS'!F64&amp;"")&lt;&gt;"Pendiente",TRIM('DATOS'!F64&amp;"")&lt;&gt;"Por confirmar",TRIM('DATOS'!F64&amp;"")&lt;&gt;"No consta",TRIM('DATOS'!F64&amp;"")&lt;&gt;"Desconocido",TRIM('DATOS'!F64&amp;"")&lt;&gt;"Sin confirmar",TRIM('DATOS'!F64&amp;"")&lt;&gt;"Por decidir",TRIM('DATOS'!F64&amp;"")&lt;&gt;"Por comprobar")),NOT(AND(LEN(TRIM('DATOS'!N64&amp;""))&gt;0,TRIM('DATOS'!N64&amp;"")&lt;&gt;"Pendiente",TRIM('DATOS'!N64&amp;"")&lt;&gt;"Por confirmar",TRIM('DATOS'!N64&amp;"")&lt;&gt;"No consta",TRIM('DATOS'!N64&amp;"")&lt;&gt;"Desconocido",TRIM('DATOS'!N64&amp;"")&lt;&gt;"Sin confirmar",TRIM('DATOS'!N64&amp;"")&lt;&gt;"Por decidir",TRIM('DATOS'!N64&amp;"")&lt;&gt;"Por comprobar")),NOT(Y64=1),W64&lt;&gt;1,X64&gt;1,NOT(OR(LEN(TRIM('DATOS'!K64&amp;""))=0,'DATOS'!K64="Sin valorar",'DATOS'!K64="Sin coste documentado",'DATOS'!K64="Incluido en otra partida",'DATOS'!K64="Por confirmar")),NOT(OR(LEN(TRIM('DATOS'!M64&amp;""))=0,'DATOS'!M64="Sí",'DATOS'!M64="No",'DATOS'!M64="Por confirmar")),NOT(OR(LEN(TRIM('DATOS'!O64&amp;""))=0,'DATOS'!O64="Comparamos",'DATOS'!O64="No existe",'DATOS'!O64="Por confirmar"))),2,IF(AND(OR('DATOS'!G64&lt;0,'DATOS'!H64&lt;0,'DATOS'!J64&lt;0),NOT(AND(LEN(TRIM('DATOS'!L64&amp;""))&gt;0,TRIM('DATOS'!L64&amp;"")&lt;&gt;"Pendiente",TRIM('DATOS'!L64&amp;"")&lt;&gt;"Por confirmar",TRIM('DATOS'!L64&amp;"")&lt;&gt;"No consta",TRIM('DATOS'!L64&amp;"")&lt;&gt;"Desconocido",TRIM('DATOS'!L64&amp;"")&lt;&gt;"Sin confirmar",TRIM('DATOS'!L64&amp;"")&lt;&gt;"Por decidir",TRIM('DATOS'!L64&amp;"")&lt;&gt;"Por comprobar"))),1,0))),2)</f>
      </c>
      <c r="P64" s="29">
        <f>IFERROR(IF(N64=0,"",IF(NOT(Y64=1),1,IF('REFERENCIAS'!$Q$8&lt;&gt;1,2,IF(ABS('DATOS'!J64-ROUND('DATOS'!G64*'DATOS'!H64,'REFERENCIAS'!$K$8))&gt;0.00000001,2,IF('DATOS'!O64="No existe",IF(LEN(TRIM('DATOS'!I64&amp;""))=0,0,2),IF('DATOS'!O64="Comparamos",IF(LEN(TRIM('DATOS'!I64&amp;""))=0,1,IF(ISNUMBER('DATOS'!I64),IF(ABS('DATOS'!H64-'DATOS'!I64)&gt;0.00000001,2,0),2)),1)))))),2)</f>
      </c>
      <c r="Q64" s="29">
        <f>IFERROR(IF(N64=0,"",IF(NOT(Y64=1),1,IF('DATOS'!K64="Sin valorar",2,IF('DATOS'!G64=0,1,IF(OR('DATOS'!H64=0,'DATOS'!J64=0),IF(AND(OR('DATOS'!K64="Sin coste documentado",'DATOS'!K64="Incluido en otra partida"),AND(LEN(TRIM('DATOS'!L64&amp;""))&gt;0,TRIM('DATOS'!L64&amp;"")&lt;&gt;"Pendiente",TRIM('DATOS'!L64&amp;"")&lt;&gt;"Por confirmar",TRIM('DATOS'!L64&amp;"")&lt;&gt;"No consta",TRIM('DATOS'!L64&amp;"")&lt;&gt;"Desconocido",TRIM('DATOS'!L64&amp;"")&lt;&gt;"Sin confirmar",TRIM('DATOS'!L64&amp;"")&lt;&gt;"Por decidir",TRIM('DATOS'!L64&amp;"")&lt;&gt;"Por comprobar")),0,1),0))))),2)</f>
      </c>
      <c r="R64" s="29">
        <f>IFERROR(IF(N64=0,"",IF(OR(NOT(AND(LEN(TRIM('DATOS'!D64&amp;""))&gt;0,TRIM('DATOS'!D64&amp;"")&lt;&gt;"Pendiente",TRIM('DATOS'!D64&amp;"")&lt;&gt;"Por confirmar",TRIM('DATOS'!D64&amp;"")&lt;&gt;"No consta",TRIM('DATOS'!D64&amp;"")&lt;&gt;"Desconocido",TRIM('DATOS'!D64&amp;"")&lt;&gt;"Sin confirmar",TRIM('DATOS'!D64&amp;"")&lt;&gt;"Por decidir",TRIM('DATOS'!D64&amp;"")&lt;&gt;"Por comprobar")),NOT(AND(LEN(TRIM('DATOS'!E64&amp;""))&gt;0,TRIM('DATOS'!E64&amp;"")&lt;&gt;"Pendiente",TRIM('DATOS'!E64&amp;"")&lt;&gt;"Por confirmar",TRIM('DATOS'!E64&amp;"")&lt;&gt;"No consta",TRIM('DATOS'!E64&amp;"")&lt;&gt;"Desconocido",TRIM('DATOS'!E64&amp;"")&lt;&gt;"Sin confirmar",TRIM('DATOS'!E64&amp;"")&lt;&gt;"Por decidir",TRIM('DATOS'!E64&amp;"")&lt;&gt;"Por comprobar"))),2,IF('DATOS'!M64="No",2,IF('DATOS'!M64="Sí",0,IF(OR('DATOS'!D64&lt;&gt;'DATOS'!E64,LEN('DATOS'!E64)&gt;300,RIGHT(TRIM('DATOS'!E64),3)="...",RIGHT(TRIM('DATOS'!E64),1)="…"),1,0))))),2)</f>
      </c>
      <c r="S64" s="29">
        <f>IFERROR(IF(N64=0,"",IF('REFERENCIAS'!$Q$8&lt;&gt;1,2,IF(NOT(Y64=1),1,IF(OR(ABS('DATOS'!G64-ROUND('DATOS'!G64,'REFERENCIAS'!$E$8))&gt;0.00000001,ABS('DATOS'!H64-ROUND('DATOS'!H64,'REFERENCIAS'!$H$8))&gt;0.00000001,ABS('DATOS'!J64-ROUND('DATOS'!J64,'REFERENCIAS'!$K$8))&gt;0.00000001,IF(ISNUMBER('DATOS'!I64),ABS('DATOS'!I64-ROUND('DATOS'!I64,'REFERENCIAS'!$H$8))&gt;0.00000001,FALSE)),1,0)))),2)</f>
      </c>
      <c r="T64" s="29">
        <f>IFERROR(IF(N64=0,"",IF(NOT(AND(LEN(TRIM('DATOS'!F64&amp;""))&gt;0,TRIM('DATOS'!F64&amp;"")&lt;&gt;"Pendiente",TRIM('DATOS'!F64&amp;"")&lt;&gt;"Por confirmar",TRIM('DATOS'!F64&amp;"")&lt;&gt;"No consta",TRIM('DATOS'!F64&amp;"")&lt;&gt;"Desconocido",TRIM('DATOS'!F64&amp;"")&lt;&gt;"Sin confirmar",TRIM('DATOS'!F64&amp;"")&lt;&gt;"Por decidir",TRIM('DATOS'!F64&amp;"")&lt;&gt;"Por comprobar")),2,IF(COUNTIFS('REFERENCIAS'!$T$15:$T$34,"ID:"&amp;SUBSTITUTE(SUBSTITUTE(SUBSTITUTE(SUBSTITUTE(UPPER(TRIM('DATOS'!F64&amp;"")),"!","!E"),"*","!A"),"?","!B"),"~","!C"),'REFERENCIAS'!$H$15:$H$34,"&lt;&gt;")&gt;0,0,1))),2)</f>
      </c>
      <c r="U64" s="29" t="str">
        <f>'DATOS'!R64</f>
        <v>ID:</v>
      </c>
      <c r="V64" s="29" t="str">
        <f>'DATOS'!S64</f>
        <v>ID:</v>
      </c>
      <c r="W64" s="29" t="n">
        <f>IF(N64=0,0,COUNTIFS('REFERENCIAS'!$R$15:$R$64,U64))</f>
        <v>0</v>
      </c>
      <c r="X64" s="29" t="n">
        <f>IF(N64=0,0,COUNTIFS('DATOS'!$R$10:$R$509,U64,'DATOS'!$S$10:$S$509,V64))</f>
        <v>0</v>
      </c>
      <c r="Y64" s="29" t="n">
        <f>IF(AND(ISNUMBER('DATOS'!G64),ISNUMBER('DATOS'!H64),ISNUMBER('DATOS'!J64)),1,0)</f>
        <v>0</v>
      </c>
    </row>
    <row r="65" ht="64" customHeight="1">
      <c r="B65" s="26">
        <f>IF(N65=1,56,"")</f>
      </c>
      <c r="C65" s="26">
        <f>IF(AND(N65=1,LEN(TRIM('DATOS'!B65&amp;""))&gt;0),'DATOS'!B65,"")</f>
      </c>
      <c r="D65" s="26">
        <f>IF(AND(N65=1,LEN(TRIM('DATOS'!C65&amp;""))&gt;0),'DATOS'!C65,"")</f>
      </c>
      <c r="E65" s="26">
        <f>IF(NOT(ISNUMBER(P65)),"",IF(P65=2,"ROJO",IF(P65=1,"ÁMBAR","VERDE")))</f>
      </c>
      <c r="F65" s="26">
        <f>IF(NOT(ISNUMBER(Q65)),"",IF(Q65=2,"ROJO",IF(Q65=1,"ÁMBAR","VERDE")))</f>
      </c>
      <c r="G65" s="26">
        <f>IF(NOT(ISNUMBER(R65)),"",IF(R65=2,"ROJO",IF(R65=1,"ÁMBAR","VERDE")))</f>
      </c>
      <c r="H65" s="26">
        <f>IF(NOT(ISNUMBER(S65)),"",IF(S65=2,"ROJO",IF(S65=1,"ÁMBAR","VERDE")))</f>
      </c>
      <c r="I65" s="26">
        <f>IF(NOT(ISNUMBER(T65)),"",IF(T65=2,"ROJO",IF(T65=1,"ÁMBAR","VERDE")))</f>
      </c>
      <c r="J65" s="26">
        <f>IF(NOT(ISNUMBER(O65)),"",IF(O65=2,"ROJO",IF(O65=1,"ÁMBAR","VERDE")))</f>
      </c>
      <c r="K65" s="26">
        <f>IFERROR(IF(AND(N65=1,LEN(TRIM('DATOS'!N65&amp;""))&gt;0),'DATOS'!N65,""),"Hay una entrada con error. Corregimos el dato antes de cerrar la comprobación.")</f>
      </c>
      <c r="L65" s="26">
        <f>IFERROR(IF(N65=0,"",IF(O65&gt;0,"Completamos datos, claves o motivo. ","")&amp;IF(P65&gt;0,"Cotejamos precios e importe. ","")&amp;IF(Q65&gt;0,"Aclaramos el cero. ","")&amp;IF(R65&gt;0,"Comprobamos el texto. ","")&amp;IF(S65&gt;0,"Revisamos decimales visibles. ","")&amp;IF(T65&gt;0,"Confirmamos la unidad.","")),"Hay una entrada con error. Corregimos el dato antes de cerrar la comprobación.")</f>
      </c>
      <c r="N65" s="29" t="n">
        <f>IF(COUNTA('DATOS'!B65:O65)&gt;0,1,0)</f>
        <v>0</v>
      </c>
      <c r="O65" s="29">
        <f>IFERROR(IF(N65=0,"",IF(OR(NOT(AND(LEN(TRIM('DATOS'!B65&amp;""))&gt;0,TRIM('DATOS'!B65&amp;"")&lt;&gt;"Pendiente",TRIM('DATOS'!B65&amp;"")&lt;&gt;"Por confirmar",TRIM('DATOS'!B65&amp;"")&lt;&gt;"No consta",TRIM('DATOS'!B65&amp;"")&lt;&gt;"Desconocido",TRIM('DATOS'!B65&amp;"")&lt;&gt;"Sin confirmar",TRIM('DATOS'!B65&amp;"")&lt;&gt;"Por decidir",TRIM('DATOS'!B65&amp;"")&lt;&gt;"Por comprobar")),NOT(AND(LEN(TRIM('DATOS'!C65&amp;""))&gt;0,TRIM('DATOS'!C65&amp;"")&lt;&gt;"Pendiente",TRIM('DATOS'!C65&amp;"")&lt;&gt;"Por confirmar",TRIM('DATOS'!C65&amp;"")&lt;&gt;"No consta",TRIM('DATOS'!C65&amp;"")&lt;&gt;"Desconocido",TRIM('DATOS'!C65&amp;"")&lt;&gt;"Sin confirmar",TRIM('DATOS'!C65&amp;"")&lt;&gt;"Por decidir",TRIM('DATOS'!C65&amp;"")&lt;&gt;"Por comprobar")),NOT(AND(LEN(TRIM('DATOS'!D65&amp;""))&gt;0,TRIM('DATOS'!D65&amp;"")&lt;&gt;"Pendiente",TRIM('DATOS'!D65&amp;"")&lt;&gt;"Por confirmar",TRIM('DATOS'!D65&amp;"")&lt;&gt;"No consta",TRIM('DATOS'!D65&amp;"")&lt;&gt;"Desconocido",TRIM('DATOS'!D65&amp;"")&lt;&gt;"Sin confirmar",TRIM('DATOS'!D65&amp;"")&lt;&gt;"Por decidir",TRIM('DATOS'!D65&amp;"")&lt;&gt;"Por comprobar")),NOT(AND(LEN(TRIM('DATOS'!E65&amp;""))&gt;0,TRIM('DATOS'!E65&amp;"")&lt;&gt;"Pendiente",TRIM('DATOS'!E65&amp;"")&lt;&gt;"Por confirmar",TRIM('DATOS'!E65&amp;"")&lt;&gt;"No consta",TRIM('DATOS'!E65&amp;"")&lt;&gt;"Desconocido",TRIM('DATOS'!E65&amp;"")&lt;&gt;"Sin confirmar",TRIM('DATOS'!E65&amp;"")&lt;&gt;"Por decidir",TRIM('DATOS'!E65&amp;"")&lt;&gt;"Por comprobar")),NOT(AND(LEN(TRIM('DATOS'!F65&amp;""))&gt;0,TRIM('DATOS'!F65&amp;"")&lt;&gt;"Pendiente",TRIM('DATOS'!F65&amp;"")&lt;&gt;"Por confirmar",TRIM('DATOS'!F65&amp;"")&lt;&gt;"No consta",TRIM('DATOS'!F65&amp;"")&lt;&gt;"Desconocido",TRIM('DATOS'!F65&amp;"")&lt;&gt;"Sin confirmar",TRIM('DATOS'!F65&amp;"")&lt;&gt;"Por decidir",TRIM('DATOS'!F65&amp;"")&lt;&gt;"Por comprobar")),NOT(AND(LEN(TRIM('DATOS'!N65&amp;""))&gt;0,TRIM('DATOS'!N65&amp;"")&lt;&gt;"Pendiente",TRIM('DATOS'!N65&amp;"")&lt;&gt;"Por confirmar",TRIM('DATOS'!N65&amp;"")&lt;&gt;"No consta",TRIM('DATOS'!N65&amp;"")&lt;&gt;"Desconocido",TRIM('DATOS'!N65&amp;"")&lt;&gt;"Sin confirmar",TRIM('DATOS'!N65&amp;"")&lt;&gt;"Por decidir",TRIM('DATOS'!N65&amp;"")&lt;&gt;"Por comprobar")),NOT(Y65=1),W65&lt;&gt;1,X65&gt;1,NOT(OR(LEN(TRIM('DATOS'!K65&amp;""))=0,'DATOS'!K65="Sin valorar",'DATOS'!K65="Sin coste documentado",'DATOS'!K65="Incluido en otra partida",'DATOS'!K65="Por confirmar")),NOT(OR(LEN(TRIM('DATOS'!M65&amp;""))=0,'DATOS'!M65="Sí",'DATOS'!M65="No",'DATOS'!M65="Por confirmar")),NOT(OR(LEN(TRIM('DATOS'!O65&amp;""))=0,'DATOS'!O65="Comparamos",'DATOS'!O65="No existe",'DATOS'!O65="Por confirmar"))),2,IF(AND(OR('DATOS'!G65&lt;0,'DATOS'!H65&lt;0,'DATOS'!J65&lt;0),NOT(AND(LEN(TRIM('DATOS'!L65&amp;""))&gt;0,TRIM('DATOS'!L65&amp;"")&lt;&gt;"Pendiente",TRIM('DATOS'!L65&amp;"")&lt;&gt;"Por confirmar",TRIM('DATOS'!L65&amp;"")&lt;&gt;"No consta",TRIM('DATOS'!L65&amp;"")&lt;&gt;"Desconocido",TRIM('DATOS'!L65&amp;"")&lt;&gt;"Sin confirmar",TRIM('DATOS'!L65&amp;"")&lt;&gt;"Por decidir",TRIM('DATOS'!L65&amp;"")&lt;&gt;"Por comprobar"))),1,0))),2)</f>
      </c>
      <c r="P65" s="29">
        <f>IFERROR(IF(N65=0,"",IF(NOT(Y65=1),1,IF('REFERENCIAS'!$Q$8&lt;&gt;1,2,IF(ABS('DATOS'!J65-ROUND('DATOS'!G65*'DATOS'!H65,'REFERENCIAS'!$K$8))&gt;0.00000001,2,IF('DATOS'!O65="No existe",IF(LEN(TRIM('DATOS'!I65&amp;""))=0,0,2),IF('DATOS'!O65="Comparamos",IF(LEN(TRIM('DATOS'!I65&amp;""))=0,1,IF(ISNUMBER('DATOS'!I65),IF(ABS('DATOS'!H65-'DATOS'!I65)&gt;0.00000001,2,0),2)),1)))))),2)</f>
      </c>
      <c r="Q65" s="29">
        <f>IFERROR(IF(N65=0,"",IF(NOT(Y65=1),1,IF('DATOS'!K65="Sin valorar",2,IF('DATOS'!G65=0,1,IF(OR('DATOS'!H65=0,'DATOS'!J65=0),IF(AND(OR('DATOS'!K65="Sin coste documentado",'DATOS'!K65="Incluido en otra partida"),AND(LEN(TRIM('DATOS'!L65&amp;""))&gt;0,TRIM('DATOS'!L65&amp;"")&lt;&gt;"Pendiente",TRIM('DATOS'!L65&amp;"")&lt;&gt;"Por confirmar",TRIM('DATOS'!L65&amp;"")&lt;&gt;"No consta",TRIM('DATOS'!L65&amp;"")&lt;&gt;"Desconocido",TRIM('DATOS'!L65&amp;"")&lt;&gt;"Sin confirmar",TRIM('DATOS'!L65&amp;"")&lt;&gt;"Por decidir",TRIM('DATOS'!L65&amp;"")&lt;&gt;"Por comprobar")),0,1),0))))),2)</f>
      </c>
      <c r="R65" s="29">
        <f>IFERROR(IF(N65=0,"",IF(OR(NOT(AND(LEN(TRIM('DATOS'!D65&amp;""))&gt;0,TRIM('DATOS'!D65&amp;"")&lt;&gt;"Pendiente",TRIM('DATOS'!D65&amp;"")&lt;&gt;"Por confirmar",TRIM('DATOS'!D65&amp;"")&lt;&gt;"No consta",TRIM('DATOS'!D65&amp;"")&lt;&gt;"Desconocido",TRIM('DATOS'!D65&amp;"")&lt;&gt;"Sin confirmar",TRIM('DATOS'!D65&amp;"")&lt;&gt;"Por decidir",TRIM('DATOS'!D65&amp;"")&lt;&gt;"Por comprobar")),NOT(AND(LEN(TRIM('DATOS'!E65&amp;""))&gt;0,TRIM('DATOS'!E65&amp;"")&lt;&gt;"Pendiente",TRIM('DATOS'!E65&amp;"")&lt;&gt;"Por confirmar",TRIM('DATOS'!E65&amp;"")&lt;&gt;"No consta",TRIM('DATOS'!E65&amp;"")&lt;&gt;"Desconocido",TRIM('DATOS'!E65&amp;"")&lt;&gt;"Sin confirmar",TRIM('DATOS'!E65&amp;"")&lt;&gt;"Por decidir",TRIM('DATOS'!E65&amp;"")&lt;&gt;"Por comprobar"))),2,IF('DATOS'!M65="No",2,IF('DATOS'!M65="Sí",0,IF(OR('DATOS'!D65&lt;&gt;'DATOS'!E65,LEN('DATOS'!E65)&gt;300,RIGHT(TRIM('DATOS'!E65),3)="...",RIGHT(TRIM('DATOS'!E65),1)="…"),1,0))))),2)</f>
      </c>
      <c r="S65" s="29">
        <f>IFERROR(IF(N65=0,"",IF('REFERENCIAS'!$Q$8&lt;&gt;1,2,IF(NOT(Y65=1),1,IF(OR(ABS('DATOS'!G65-ROUND('DATOS'!G65,'REFERENCIAS'!$E$8))&gt;0.00000001,ABS('DATOS'!H65-ROUND('DATOS'!H65,'REFERENCIAS'!$H$8))&gt;0.00000001,ABS('DATOS'!J65-ROUND('DATOS'!J65,'REFERENCIAS'!$K$8))&gt;0.00000001,IF(ISNUMBER('DATOS'!I65),ABS('DATOS'!I65-ROUND('DATOS'!I65,'REFERENCIAS'!$H$8))&gt;0.00000001,FALSE)),1,0)))),2)</f>
      </c>
      <c r="T65" s="29">
        <f>IFERROR(IF(N65=0,"",IF(NOT(AND(LEN(TRIM('DATOS'!F65&amp;""))&gt;0,TRIM('DATOS'!F65&amp;"")&lt;&gt;"Pendiente",TRIM('DATOS'!F65&amp;"")&lt;&gt;"Por confirmar",TRIM('DATOS'!F65&amp;"")&lt;&gt;"No consta",TRIM('DATOS'!F65&amp;"")&lt;&gt;"Desconocido",TRIM('DATOS'!F65&amp;"")&lt;&gt;"Sin confirmar",TRIM('DATOS'!F65&amp;"")&lt;&gt;"Por decidir",TRIM('DATOS'!F65&amp;"")&lt;&gt;"Por comprobar")),2,IF(COUNTIFS('REFERENCIAS'!$T$15:$T$34,"ID:"&amp;SUBSTITUTE(SUBSTITUTE(SUBSTITUTE(SUBSTITUTE(UPPER(TRIM('DATOS'!F65&amp;"")),"!","!E"),"*","!A"),"?","!B"),"~","!C"),'REFERENCIAS'!$H$15:$H$34,"&lt;&gt;")&gt;0,0,1))),2)</f>
      </c>
      <c r="U65" s="29" t="str">
        <f>'DATOS'!R65</f>
        <v>ID:</v>
      </c>
      <c r="V65" s="29" t="str">
        <f>'DATOS'!S65</f>
        <v>ID:</v>
      </c>
      <c r="W65" s="29" t="n">
        <f>IF(N65=0,0,COUNTIFS('REFERENCIAS'!$R$15:$R$64,U65))</f>
        <v>0</v>
      </c>
      <c r="X65" s="29" t="n">
        <f>IF(N65=0,0,COUNTIFS('DATOS'!$R$10:$R$509,U65,'DATOS'!$S$10:$S$509,V65))</f>
        <v>0</v>
      </c>
      <c r="Y65" s="29" t="n">
        <f>IF(AND(ISNUMBER('DATOS'!G65),ISNUMBER('DATOS'!H65),ISNUMBER('DATOS'!J65)),1,0)</f>
        <v>0</v>
      </c>
    </row>
    <row r="66" ht="64" customHeight="1">
      <c r="B66" s="26">
        <f>IF(N66=1,57,"")</f>
      </c>
      <c r="C66" s="26">
        <f>IF(AND(N66=1,LEN(TRIM('DATOS'!B66&amp;""))&gt;0),'DATOS'!B66,"")</f>
      </c>
      <c r="D66" s="26">
        <f>IF(AND(N66=1,LEN(TRIM('DATOS'!C66&amp;""))&gt;0),'DATOS'!C66,"")</f>
      </c>
      <c r="E66" s="26">
        <f>IF(NOT(ISNUMBER(P66)),"",IF(P66=2,"ROJO",IF(P66=1,"ÁMBAR","VERDE")))</f>
      </c>
      <c r="F66" s="26">
        <f>IF(NOT(ISNUMBER(Q66)),"",IF(Q66=2,"ROJO",IF(Q66=1,"ÁMBAR","VERDE")))</f>
      </c>
      <c r="G66" s="26">
        <f>IF(NOT(ISNUMBER(R66)),"",IF(R66=2,"ROJO",IF(R66=1,"ÁMBAR","VERDE")))</f>
      </c>
      <c r="H66" s="26">
        <f>IF(NOT(ISNUMBER(S66)),"",IF(S66=2,"ROJO",IF(S66=1,"ÁMBAR","VERDE")))</f>
      </c>
      <c r="I66" s="26">
        <f>IF(NOT(ISNUMBER(T66)),"",IF(T66=2,"ROJO",IF(T66=1,"ÁMBAR","VERDE")))</f>
      </c>
      <c r="J66" s="26">
        <f>IF(NOT(ISNUMBER(O66)),"",IF(O66=2,"ROJO",IF(O66=1,"ÁMBAR","VERDE")))</f>
      </c>
      <c r="K66" s="26">
        <f>IFERROR(IF(AND(N66=1,LEN(TRIM('DATOS'!N66&amp;""))&gt;0),'DATOS'!N66,""),"Hay una entrada con error. Corregimos el dato antes de cerrar la comprobación.")</f>
      </c>
      <c r="L66" s="26">
        <f>IFERROR(IF(N66=0,"",IF(O66&gt;0,"Completamos datos, claves o motivo. ","")&amp;IF(P66&gt;0,"Cotejamos precios e importe. ","")&amp;IF(Q66&gt;0,"Aclaramos el cero. ","")&amp;IF(R66&gt;0,"Comprobamos el texto. ","")&amp;IF(S66&gt;0,"Revisamos decimales visibles. ","")&amp;IF(T66&gt;0,"Confirmamos la unidad.","")),"Hay una entrada con error. Corregimos el dato antes de cerrar la comprobación.")</f>
      </c>
      <c r="N66" s="29" t="n">
        <f>IF(COUNTA('DATOS'!B66:O66)&gt;0,1,0)</f>
        <v>0</v>
      </c>
      <c r="O66" s="29">
        <f>IFERROR(IF(N66=0,"",IF(OR(NOT(AND(LEN(TRIM('DATOS'!B66&amp;""))&gt;0,TRIM('DATOS'!B66&amp;"")&lt;&gt;"Pendiente",TRIM('DATOS'!B66&amp;"")&lt;&gt;"Por confirmar",TRIM('DATOS'!B66&amp;"")&lt;&gt;"No consta",TRIM('DATOS'!B66&amp;"")&lt;&gt;"Desconocido",TRIM('DATOS'!B66&amp;"")&lt;&gt;"Sin confirmar",TRIM('DATOS'!B66&amp;"")&lt;&gt;"Por decidir",TRIM('DATOS'!B66&amp;"")&lt;&gt;"Por comprobar")),NOT(AND(LEN(TRIM('DATOS'!C66&amp;""))&gt;0,TRIM('DATOS'!C66&amp;"")&lt;&gt;"Pendiente",TRIM('DATOS'!C66&amp;"")&lt;&gt;"Por confirmar",TRIM('DATOS'!C66&amp;"")&lt;&gt;"No consta",TRIM('DATOS'!C66&amp;"")&lt;&gt;"Desconocido",TRIM('DATOS'!C66&amp;"")&lt;&gt;"Sin confirmar",TRIM('DATOS'!C66&amp;"")&lt;&gt;"Por decidir",TRIM('DATOS'!C66&amp;"")&lt;&gt;"Por comprobar")),NOT(AND(LEN(TRIM('DATOS'!D66&amp;""))&gt;0,TRIM('DATOS'!D66&amp;"")&lt;&gt;"Pendiente",TRIM('DATOS'!D66&amp;"")&lt;&gt;"Por confirmar",TRIM('DATOS'!D66&amp;"")&lt;&gt;"No consta",TRIM('DATOS'!D66&amp;"")&lt;&gt;"Desconocido",TRIM('DATOS'!D66&amp;"")&lt;&gt;"Sin confirmar",TRIM('DATOS'!D66&amp;"")&lt;&gt;"Por decidir",TRIM('DATOS'!D66&amp;"")&lt;&gt;"Por comprobar")),NOT(AND(LEN(TRIM('DATOS'!E66&amp;""))&gt;0,TRIM('DATOS'!E66&amp;"")&lt;&gt;"Pendiente",TRIM('DATOS'!E66&amp;"")&lt;&gt;"Por confirmar",TRIM('DATOS'!E66&amp;"")&lt;&gt;"No consta",TRIM('DATOS'!E66&amp;"")&lt;&gt;"Desconocido",TRIM('DATOS'!E66&amp;"")&lt;&gt;"Sin confirmar",TRIM('DATOS'!E66&amp;"")&lt;&gt;"Por decidir",TRIM('DATOS'!E66&amp;"")&lt;&gt;"Por comprobar")),NOT(AND(LEN(TRIM('DATOS'!F66&amp;""))&gt;0,TRIM('DATOS'!F66&amp;"")&lt;&gt;"Pendiente",TRIM('DATOS'!F66&amp;"")&lt;&gt;"Por confirmar",TRIM('DATOS'!F66&amp;"")&lt;&gt;"No consta",TRIM('DATOS'!F66&amp;"")&lt;&gt;"Desconocido",TRIM('DATOS'!F66&amp;"")&lt;&gt;"Sin confirmar",TRIM('DATOS'!F66&amp;"")&lt;&gt;"Por decidir",TRIM('DATOS'!F66&amp;"")&lt;&gt;"Por comprobar")),NOT(AND(LEN(TRIM('DATOS'!N66&amp;""))&gt;0,TRIM('DATOS'!N66&amp;"")&lt;&gt;"Pendiente",TRIM('DATOS'!N66&amp;"")&lt;&gt;"Por confirmar",TRIM('DATOS'!N66&amp;"")&lt;&gt;"No consta",TRIM('DATOS'!N66&amp;"")&lt;&gt;"Desconocido",TRIM('DATOS'!N66&amp;"")&lt;&gt;"Sin confirmar",TRIM('DATOS'!N66&amp;"")&lt;&gt;"Por decidir",TRIM('DATOS'!N66&amp;"")&lt;&gt;"Por comprobar")),NOT(Y66=1),W66&lt;&gt;1,X66&gt;1,NOT(OR(LEN(TRIM('DATOS'!K66&amp;""))=0,'DATOS'!K66="Sin valorar",'DATOS'!K66="Sin coste documentado",'DATOS'!K66="Incluido en otra partida",'DATOS'!K66="Por confirmar")),NOT(OR(LEN(TRIM('DATOS'!M66&amp;""))=0,'DATOS'!M66="Sí",'DATOS'!M66="No",'DATOS'!M66="Por confirmar")),NOT(OR(LEN(TRIM('DATOS'!O66&amp;""))=0,'DATOS'!O66="Comparamos",'DATOS'!O66="No existe",'DATOS'!O66="Por confirmar"))),2,IF(AND(OR('DATOS'!G66&lt;0,'DATOS'!H66&lt;0,'DATOS'!J66&lt;0),NOT(AND(LEN(TRIM('DATOS'!L66&amp;""))&gt;0,TRIM('DATOS'!L66&amp;"")&lt;&gt;"Pendiente",TRIM('DATOS'!L66&amp;"")&lt;&gt;"Por confirmar",TRIM('DATOS'!L66&amp;"")&lt;&gt;"No consta",TRIM('DATOS'!L66&amp;"")&lt;&gt;"Desconocido",TRIM('DATOS'!L66&amp;"")&lt;&gt;"Sin confirmar",TRIM('DATOS'!L66&amp;"")&lt;&gt;"Por decidir",TRIM('DATOS'!L66&amp;"")&lt;&gt;"Por comprobar"))),1,0))),2)</f>
      </c>
      <c r="P66" s="29">
        <f>IFERROR(IF(N66=0,"",IF(NOT(Y66=1),1,IF('REFERENCIAS'!$Q$8&lt;&gt;1,2,IF(ABS('DATOS'!J66-ROUND('DATOS'!G66*'DATOS'!H66,'REFERENCIAS'!$K$8))&gt;0.00000001,2,IF('DATOS'!O66="No existe",IF(LEN(TRIM('DATOS'!I66&amp;""))=0,0,2),IF('DATOS'!O66="Comparamos",IF(LEN(TRIM('DATOS'!I66&amp;""))=0,1,IF(ISNUMBER('DATOS'!I66),IF(ABS('DATOS'!H66-'DATOS'!I66)&gt;0.00000001,2,0),2)),1)))))),2)</f>
      </c>
      <c r="Q66" s="29">
        <f>IFERROR(IF(N66=0,"",IF(NOT(Y66=1),1,IF('DATOS'!K66="Sin valorar",2,IF('DATOS'!G66=0,1,IF(OR('DATOS'!H66=0,'DATOS'!J66=0),IF(AND(OR('DATOS'!K66="Sin coste documentado",'DATOS'!K66="Incluido en otra partida"),AND(LEN(TRIM('DATOS'!L66&amp;""))&gt;0,TRIM('DATOS'!L66&amp;"")&lt;&gt;"Pendiente",TRIM('DATOS'!L66&amp;"")&lt;&gt;"Por confirmar",TRIM('DATOS'!L66&amp;"")&lt;&gt;"No consta",TRIM('DATOS'!L66&amp;"")&lt;&gt;"Desconocido",TRIM('DATOS'!L66&amp;"")&lt;&gt;"Sin confirmar",TRIM('DATOS'!L66&amp;"")&lt;&gt;"Por decidir",TRIM('DATOS'!L66&amp;"")&lt;&gt;"Por comprobar")),0,1),0))))),2)</f>
      </c>
      <c r="R66" s="29">
        <f>IFERROR(IF(N66=0,"",IF(OR(NOT(AND(LEN(TRIM('DATOS'!D66&amp;""))&gt;0,TRIM('DATOS'!D66&amp;"")&lt;&gt;"Pendiente",TRIM('DATOS'!D66&amp;"")&lt;&gt;"Por confirmar",TRIM('DATOS'!D66&amp;"")&lt;&gt;"No consta",TRIM('DATOS'!D66&amp;"")&lt;&gt;"Desconocido",TRIM('DATOS'!D66&amp;"")&lt;&gt;"Sin confirmar",TRIM('DATOS'!D66&amp;"")&lt;&gt;"Por decidir",TRIM('DATOS'!D66&amp;"")&lt;&gt;"Por comprobar")),NOT(AND(LEN(TRIM('DATOS'!E66&amp;""))&gt;0,TRIM('DATOS'!E66&amp;"")&lt;&gt;"Pendiente",TRIM('DATOS'!E66&amp;"")&lt;&gt;"Por confirmar",TRIM('DATOS'!E66&amp;"")&lt;&gt;"No consta",TRIM('DATOS'!E66&amp;"")&lt;&gt;"Desconocido",TRIM('DATOS'!E66&amp;"")&lt;&gt;"Sin confirmar",TRIM('DATOS'!E66&amp;"")&lt;&gt;"Por decidir",TRIM('DATOS'!E66&amp;"")&lt;&gt;"Por comprobar"))),2,IF('DATOS'!M66="No",2,IF('DATOS'!M66="Sí",0,IF(OR('DATOS'!D66&lt;&gt;'DATOS'!E66,LEN('DATOS'!E66)&gt;300,RIGHT(TRIM('DATOS'!E66),3)="...",RIGHT(TRIM('DATOS'!E66),1)="…"),1,0))))),2)</f>
      </c>
      <c r="S66" s="29">
        <f>IFERROR(IF(N66=0,"",IF('REFERENCIAS'!$Q$8&lt;&gt;1,2,IF(NOT(Y66=1),1,IF(OR(ABS('DATOS'!G66-ROUND('DATOS'!G66,'REFERENCIAS'!$E$8))&gt;0.00000001,ABS('DATOS'!H66-ROUND('DATOS'!H66,'REFERENCIAS'!$H$8))&gt;0.00000001,ABS('DATOS'!J66-ROUND('DATOS'!J66,'REFERENCIAS'!$K$8))&gt;0.00000001,IF(ISNUMBER('DATOS'!I66),ABS('DATOS'!I66-ROUND('DATOS'!I66,'REFERENCIAS'!$H$8))&gt;0.00000001,FALSE)),1,0)))),2)</f>
      </c>
      <c r="T66" s="29">
        <f>IFERROR(IF(N66=0,"",IF(NOT(AND(LEN(TRIM('DATOS'!F66&amp;""))&gt;0,TRIM('DATOS'!F66&amp;"")&lt;&gt;"Pendiente",TRIM('DATOS'!F66&amp;"")&lt;&gt;"Por confirmar",TRIM('DATOS'!F66&amp;"")&lt;&gt;"No consta",TRIM('DATOS'!F66&amp;"")&lt;&gt;"Desconocido",TRIM('DATOS'!F66&amp;"")&lt;&gt;"Sin confirmar",TRIM('DATOS'!F66&amp;"")&lt;&gt;"Por decidir",TRIM('DATOS'!F66&amp;"")&lt;&gt;"Por comprobar")),2,IF(COUNTIFS('REFERENCIAS'!$T$15:$T$34,"ID:"&amp;SUBSTITUTE(SUBSTITUTE(SUBSTITUTE(SUBSTITUTE(UPPER(TRIM('DATOS'!F66&amp;"")),"!","!E"),"*","!A"),"?","!B"),"~","!C"),'REFERENCIAS'!$H$15:$H$34,"&lt;&gt;")&gt;0,0,1))),2)</f>
      </c>
      <c r="U66" s="29" t="str">
        <f>'DATOS'!R66</f>
        <v>ID:</v>
      </c>
      <c r="V66" s="29" t="str">
        <f>'DATOS'!S66</f>
        <v>ID:</v>
      </c>
      <c r="W66" s="29" t="n">
        <f>IF(N66=0,0,COUNTIFS('REFERENCIAS'!$R$15:$R$64,U66))</f>
        <v>0</v>
      </c>
      <c r="X66" s="29" t="n">
        <f>IF(N66=0,0,COUNTIFS('DATOS'!$R$10:$R$509,U66,'DATOS'!$S$10:$S$509,V66))</f>
        <v>0</v>
      </c>
      <c r="Y66" s="29" t="n">
        <f>IF(AND(ISNUMBER('DATOS'!G66),ISNUMBER('DATOS'!H66),ISNUMBER('DATOS'!J66)),1,0)</f>
        <v>0</v>
      </c>
    </row>
    <row r="67" ht="64" customHeight="1">
      <c r="B67" s="26">
        <f>IF(N67=1,58,"")</f>
      </c>
      <c r="C67" s="26">
        <f>IF(AND(N67=1,LEN(TRIM('DATOS'!B67&amp;""))&gt;0),'DATOS'!B67,"")</f>
      </c>
      <c r="D67" s="26">
        <f>IF(AND(N67=1,LEN(TRIM('DATOS'!C67&amp;""))&gt;0),'DATOS'!C67,"")</f>
      </c>
      <c r="E67" s="26">
        <f>IF(NOT(ISNUMBER(P67)),"",IF(P67=2,"ROJO",IF(P67=1,"ÁMBAR","VERDE")))</f>
      </c>
      <c r="F67" s="26">
        <f>IF(NOT(ISNUMBER(Q67)),"",IF(Q67=2,"ROJO",IF(Q67=1,"ÁMBAR","VERDE")))</f>
      </c>
      <c r="G67" s="26">
        <f>IF(NOT(ISNUMBER(R67)),"",IF(R67=2,"ROJO",IF(R67=1,"ÁMBAR","VERDE")))</f>
      </c>
      <c r="H67" s="26">
        <f>IF(NOT(ISNUMBER(S67)),"",IF(S67=2,"ROJO",IF(S67=1,"ÁMBAR","VERDE")))</f>
      </c>
      <c r="I67" s="26">
        <f>IF(NOT(ISNUMBER(T67)),"",IF(T67=2,"ROJO",IF(T67=1,"ÁMBAR","VERDE")))</f>
      </c>
      <c r="J67" s="26">
        <f>IF(NOT(ISNUMBER(O67)),"",IF(O67=2,"ROJO",IF(O67=1,"ÁMBAR","VERDE")))</f>
      </c>
      <c r="K67" s="26">
        <f>IFERROR(IF(AND(N67=1,LEN(TRIM('DATOS'!N67&amp;""))&gt;0),'DATOS'!N67,""),"Hay una entrada con error. Corregimos el dato antes de cerrar la comprobación.")</f>
      </c>
      <c r="L67" s="26">
        <f>IFERROR(IF(N67=0,"",IF(O67&gt;0,"Completamos datos, claves o motivo. ","")&amp;IF(P67&gt;0,"Cotejamos precios e importe. ","")&amp;IF(Q67&gt;0,"Aclaramos el cero. ","")&amp;IF(R67&gt;0,"Comprobamos el texto. ","")&amp;IF(S67&gt;0,"Revisamos decimales visibles. ","")&amp;IF(T67&gt;0,"Confirmamos la unidad.","")),"Hay una entrada con error. Corregimos el dato antes de cerrar la comprobación.")</f>
      </c>
      <c r="N67" s="29" t="n">
        <f>IF(COUNTA('DATOS'!B67:O67)&gt;0,1,0)</f>
        <v>0</v>
      </c>
      <c r="O67" s="29">
        <f>IFERROR(IF(N67=0,"",IF(OR(NOT(AND(LEN(TRIM('DATOS'!B67&amp;""))&gt;0,TRIM('DATOS'!B67&amp;"")&lt;&gt;"Pendiente",TRIM('DATOS'!B67&amp;"")&lt;&gt;"Por confirmar",TRIM('DATOS'!B67&amp;"")&lt;&gt;"No consta",TRIM('DATOS'!B67&amp;"")&lt;&gt;"Desconocido",TRIM('DATOS'!B67&amp;"")&lt;&gt;"Sin confirmar",TRIM('DATOS'!B67&amp;"")&lt;&gt;"Por decidir",TRIM('DATOS'!B67&amp;"")&lt;&gt;"Por comprobar")),NOT(AND(LEN(TRIM('DATOS'!C67&amp;""))&gt;0,TRIM('DATOS'!C67&amp;"")&lt;&gt;"Pendiente",TRIM('DATOS'!C67&amp;"")&lt;&gt;"Por confirmar",TRIM('DATOS'!C67&amp;"")&lt;&gt;"No consta",TRIM('DATOS'!C67&amp;"")&lt;&gt;"Desconocido",TRIM('DATOS'!C67&amp;"")&lt;&gt;"Sin confirmar",TRIM('DATOS'!C67&amp;"")&lt;&gt;"Por decidir",TRIM('DATOS'!C67&amp;"")&lt;&gt;"Por comprobar")),NOT(AND(LEN(TRIM('DATOS'!D67&amp;""))&gt;0,TRIM('DATOS'!D67&amp;"")&lt;&gt;"Pendiente",TRIM('DATOS'!D67&amp;"")&lt;&gt;"Por confirmar",TRIM('DATOS'!D67&amp;"")&lt;&gt;"No consta",TRIM('DATOS'!D67&amp;"")&lt;&gt;"Desconocido",TRIM('DATOS'!D67&amp;"")&lt;&gt;"Sin confirmar",TRIM('DATOS'!D67&amp;"")&lt;&gt;"Por decidir",TRIM('DATOS'!D67&amp;"")&lt;&gt;"Por comprobar")),NOT(AND(LEN(TRIM('DATOS'!E67&amp;""))&gt;0,TRIM('DATOS'!E67&amp;"")&lt;&gt;"Pendiente",TRIM('DATOS'!E67&amp;"")&lt;&gt;"Por confirmar",TRIM('DATOS'!E67&amp;"")&lt;&gt;"No consta",TRIM('DATOS'!E67&amp;"")&lt;&gt;"Desconocido",TRIM('DATOS'!E67&amp;"")&lt;&gt;"Sin confirmar",TRIM('DATOS'!E67&amp;"")&lt;&gt;"Por decidir",TRIM('DATOS'!E67&amp;"")&lt;&gt;"Por comprobar")),NOT(AND(LEN(TRIM('DATOS'!F67&amp;""))&gt;0,TRIM('DATOS'!F67&amp;"")&lt;&gt;"Pendiente",TRIM('DATOS'!F67&amp;"")&lt;&gt;"Por confirmar",TRIM('DATOS'!F67&amp;"")&lt;&gt;"No consta",TRIM('DATOS'!F67&amp;"")&lt;&gt;"Desconocido",TRIM('DATOS'!F67&amp;"")&lt;&gt;"Sin confirmar",TRIM('DATOS'!F67&amp;"")&lt;&gt;"Por decidir",TRIM('DATOS'!F67&amp;"")&lt;&gt;"Por comprobar")),NOT(AND(LEN(TRIM('DATOS'!N67&amp;""))&gt;0,TRIM('DATOS'!N67&amp;"")&lt;&gt;"Pendiente",TRIM('DATOS'!N67&amp;"")&lt;&gt;"Por confirmar",TRIM('DATOS'!N67&amp;"")&lt;&gt;"No consta",TRIM('DATOS'!N67&amp;"")&lt;&gt;"Desconocido",TRIM('DATOS'!N67&amp;"")&lt;&gt;"Sin confirmar",TRIM('DATOS'!N67&amp;"")&lt;&gt;"Por decidir",TRIM('DATOS'!N67&amp;"")&lt;&gt;"Por comprobar")),NOT(Y67=1),W67&lt;&gt;1,X67&gt;1,NOT(OR(LEN(TRIM('DATOS'!K67&amp;""))=0,'DATOS'!K67="Sin valorar",'DATOS'!K67="Sin coste documentado",'DATOS'!K67="Incluido en otra partida",'DATOS'!K67="Por confirmar")),NOT(OR(LEN(TRIM('DATOS'!M67&amp;""))=0,'DATOS'!M67="Sí",'DATOS'!M67="No",'DATOS'!M67="Por confirmar")),NOT(OR(LEN(TRIM('DATOS'!O67&amp;""))=0,'DATOS'!O67="Comparamos",'DATOS'!O67="No existe",'DATOS'!O67="Por confirmar"))),2,IF(AND(OR('DATOS'!G67&lt;0,'DATOS'!H67&lt;0,'DATOS'!J67&lt;0),NOT(AND(LEN(TRIM('DATOS'!L67&amp;""))&gt;0,TRIM('DATOS'!L67&amp;"")&lt;&gt;"Pendiente",TRIM('DATOS'!L67&amp;"")&lt;&gt;"Por confirmar",TRIM('DATOS'!L67&amp;"")&lt;&gt;"No consta",TRIM('DATOS'!L67&amp;"")&lt;&gt;"Desconocido",TRIM('DATOS'!L67&amp;"")&lt;&gt;"Sin confirmar",TRIM('DATOS'!L67&amp;"")&lt;&gt;"Por decidir",TRIM('DATOS'!L67&amp;"")&lt;&gt;"Por comprobar"))),1,0))),2)</f>
      </c>
      <c r="P67" s="29">
        <f>IFERROR(IF(N67=0,"",IF(NOT(Y67=1),1,IF('REFERENCIAS'!$Q$8&lt;&gt;1,2,IF(ABS('DATOS'!J67-ROUND('DATOS'!G67*'DATOS'!H67,'REFERENCIAS'!$K$8))&gt;0.00000001,2,IF('DATOS'!O67="No existe",IF(LEN(TRIM('DATOS'!I67&amp;""))=0,0,2),IF('DATOS'!O67="Comparamos",IF(LEN(TRIM('DATOS'!I67&amp;""))=0,1,IF(ISNUMBER('DATOS'!I67),IF(ABS('DATOS'!H67-'DATOS'!I67)&gt;0.00000001,2,0),2)),1)))))),2)</f>
      </c>
      <c r="Q67" s="29">
        <f>IFERROR(IF(N67=0,"",IF(NOT(Y67=1),1,IF('DATOS'!K67="Sin valorar",2,IF('DATOS'!G67=0,1,IF(OR('DATOS'!H67=0,'DATOS'!J67=0),IF(AND(OR('DATOS'!K67="Sin coste documentado",'DATOS'!K67="Incluido en otra partida"),AND(LEN(TRIM('DATOS'!L67&amp;""))&gt;0,TRIM('DATOS'!L67&amp;"")&lt;&gt;"Pendiente",TRIM('DATOS'!L67&amp;"")&lt;&gt;"Por confirmar",TRIM('DATOS'!L67&amp;"")&lt;&gt;"No consta",TRIM('DATOS'!L67&amp;"")&lt;&gt;"Desconocido",TRIM('DATOS'!L67&amp;"")&lt;&gt;"Sin confirmar",TRIM('DATOS'!L67&amp;"")&lt;&gt;"Por decidir",TRIM('DATOS'!L67&amp;"")&lt;&gt;"Por comprobar")),0,1),0))))),2)</f>
      </c>
      <c r="R67" s="29">
        <f>IFERROR(IF(N67=0,"",IF(OR(NOT(AND(LEN(TRIM('DATOS'!D67&amp;""))&gt;0,TRIM('DATOS'!D67&amp;"")&lt;&gt;"Pendiente",TRIM('DATOS'!D67&amp;"")&lt;&gt;"Por confirmar",TRIM('DATOS'!D67&amp;"")&lt;&gt;"No consta",TRIM('DATOS'!D67&amp;"")&lt;&gt;"Desconocido",TRIM('DATOS'!D67&amp;"")&lt;&gt;"Sin confirmar",TRIM('DATOS'!D67&amp;"")&lt;&gt;"Por decidir",TRIM('DATOS'!D67&amp;"")&lt;&gt;"Por comprobar")),NOT(AND(LEN(TRIM('DATOS'!E67&amp;""))&gt;0,TRIM('DATOS'!E67&amp;"")&lt;&gt;"Pendiente",TRIM('DATOS'!E67&amp;"")&lt;&gt;"Por confirmar",TRIM('DATOS'!E67&amp;"")&lt;&gt;"No consta",TRIM('DATOS'!E67&amp;"")&lt;&gt;"Desconocido",TRIM('DATOS'!E67&amp;"")&lt;&gt;"Sin confirmar",TRIM('DATOS'!E67&amp;"")&lt;&gt;"Por decidir",TRIM('DATOS'!E67&amp;"")&lt;&gt;"Por comprobar"))),2,IF('DATOS'!M67="No",2,IF('DATOS'!M67="Sí",0,IF(OR('DATOS'!D67&lt;&gt;'DATOS'!E67,LEN('DATOS'!E67)&gt;300,RIGHT(TRIM('DATOS'!E67),3)="...",RIGHT(TRIM('DATOS'!E67),1)="…"),1,0))))),2)</f>
      </c>
      <c r="S67" s="29">
        <f>IFERROR(IF(N67=0,"",IF('REFERENCIAS'!$Q$8&lt;&gt;1,2,IF(NOT(Y67=1),1,IF(OR(ABS('DATOS'!G67-ROUND('DATOS'!G67,'REFERENCIAS'!$E$8))&gt;0.00000001,ABS('DATOS'!H67-ROUND('DATOS'!H67,'REFERENCIAS'!$H$8))&gt;0.00000001,ABS('DATOS'!J67-ROUND('DATOS'!J67,'REFERENCIAS'!$K$8))&gt;0.00000001,IF(ISNUMBER('DATOS'!I67),ABS('DATOS'!I67-ROUND('DATOS'!I67,'REFERENCIAS'!$H$8))&gt;0.00000001,FALSE)),1,0)))),2)</f>
      </c>
      <c r="T67" s="29">
        <f>IFERROR(IF(N67=0,"",IF(NOT(AND(LEN(TRIM('DATOS'!F67&amp;""))&gt;0,TRIM('DATOS'!F67&amp;"")&lt;&gt;"Pendiente",TRIM('DATOS'!F67&amp;"")&lt;&gt;"Por confirmar",TRIM('DATOS'!F67&amp;"")&lt;&gt;"No consta",TRIM('DATOS'!F67&amp;"")&lt;&gt;"Desconocido",TRIM('DATOS'!F67&amp;"")&lt;&gt;"Sin confirmar",TRIM('DATOS'!F67&amp;"")&lt;&gt;"Por decidir",TRIM('DATOS'!F67&amp;"")&lt;&gt;"Por comprobar")),2,IF(COUNTIFS('REFERENCIAS'!$T$15:$T$34,"ID:"&amp;SUBSTITUTE(SUBSTITUTE(SUBSTITUTE(SUBSTITUTE(UPPER(TRIM('DATOS'!F67&amp;"")),"!","!E"),"*","!A"),"?","!B"),"~","!C"),'REFERENCIAS'!$H$15:$H$34,"&lt;&gt;")&gt;0,0,1))),2)</f>
      </c>
      <c r="U67" s="29" t="str">
        <f>'DATOS'!R67</f>
        <v>ID:</v>
      </c>
      <c r="V67" s="29" t="str">
        <f>'DATOS'!S67</f>
        <v>ID:</v>
      </c>
      <c r="W67" s="29" t="n">
        <f>IF(N67=0,0,COUNTIFS('REFERENCIAS'!$R$15:$R$64,U67))</f>
        <v>0</v>
      </c>
      <c r="X67" s="29" t="n">
        <f>IF(N67=0,0,COUNTIFS('DATOS'!$R$10:$R$509,U67,'DATOS'!$S$10:$S$509,V67))</f>
        <v>0</v>
      </c>
      <c r="Y67" s="29" t="n">
        <f>IF(AND(ISNUMBER('DATOS'!G67),ISNUMBER('DATOS'!H67),ISNUMBER('DATOS'!J67)),1,0)</f>
        <v>0</v>
      </c>
    </row>
    <row r="68" ht="64" customHeight="1">
      <c r="B68" s="26">
        <f>IF(N68=1,59,"")</f>
      </c>
      <c r="C68" s="26">
        <f>IF(AND(N68=1,LEN(TRIM('DATOS'!B68&amp;""))&gt;0),'DATOS'!B68,"")</f>
      </c>
      <c r="D68" s="26">
        <f>IF(AND(N68=1,LEN(TRIM('DATOS'!C68&amp;""))&gt;0),'DATOS'!C68,"")</f>
      </c>
      <c r="E68" s="26">
        <f>IF(NOT(ISNUMBER(P68)),"",IF(P68=2,"ROJO",IF(P68=1,"ÁMBAR","VERDE")))</f>
      </c>
      <c r="F68" s="26">
        <f>IF(NOT(ISNUMBER(Q68)),"",IF(Q68=2,"ROJO",IF(Q68=1,"ÁMBAR","VERDE")))</f>
      </c>
      <c r="G68" s="26">
        <f>IF(NOT(ISNUMBER(R68)),"",IF(R68=2,"ROJO",IF(R68=1,"ÁMBAR","VERDE")))</f>
      </c>
      <c r="H68" s="26">
        <f>IF(NOT(ISNUMBER(S68)),"",IF(S68=2,"ROJO",IF(S68=1,"ÁMBAR","VERDE")))</f>
      </c>
      <c r="I68" s="26">
        <f>IF(NOT(ISNUMBER(T68)),"",IF(T68=2,"ROJO",IF(T68=1,"ÁMBAR","VERDE")))</f>
      </c>
      <c r="J68" s="26">
        <f>IF(NOT(ISNUMBER(O68)),"",IF(O68=2,"ROJO",IF(O68=1,"ÁMBAR","VERDE")))</f>
      </c>
      <c r="K68" s="26">
        <f>IFERROR(IF(AND(N68=1,LEN(TRIM('DATOS'!N68&amp;""))&gt;0),'DATOS'!N68,""),"Hay una entrada con error. Corregimos el dato antes de cerrar la comprobación.")</f>
      </c>
      <c r="L68" s="26">
        <f>IFERROR(IF(N68=0,"",IF(O68&gt;0,"Completamos datos, claves o motivo. ","")&amp;IF(P68&gt;0,"Cotejamos precios e importe. ","")&amp;IF(Q68&gt;0,"Aclaramos el cero. ","")&amp;IF(R68&gt;0,"Comprobamos el texto. ","")&amp;IF(S68&gt;0,"Revisamos decimales visibles. ","")&amp;IF(T68&gt;0,"Confirmamos la unidad.","")),"Hay una entrada con error. Corregimos el dato antes de cerrar la comprobación.")</f>
      </c>
      <c r="N68" s="29" t="n">
        <f>IF(COUNTA('DATOS'!B68:O68)&gt;0,1,0)</f>
        <v>0</v>
      </c>
      <c r="O68" s="29">
        <f>IFERROR(IF(N68=0,"",IF(OR(NOT(AND(LEN(TRIM('DATOS'!B68&amp;""))&gt;0,TRIM('DATOS'!B68&amp;"")&lt;&gt;"Pendiente",TRIM('DATOS'!B68&amp;"")&lt;&gt;"Por confirmar",TRIM('DATOS'!B68&amp;"")&lt;&gt;"No consta",TRIM('DATOS'!B68&amp;"")&lt;&gt;"Desconocido",TRIM('DATOS'!B68&amp;"")&lt;&gt;"Sin confirmar",TRIM('DATOS'!B68&amp;"")&lt;&gt;"Por decidir",TRIM('DATOS'!B68&amp;"")&lt;&gt;"Por comprobar")),NOT(AND(LEN(TRIM('DATOS'!C68&amp;""))&gt;0,TRIM('DATOS'!C68&amp;"")&lt;&gt;"Pendiente",TRIM('DATOS'!C68&amp;"")&lt;&gt;"Por confirmar",TRIM('DATOS'!C68&amp;"")&lt;&gt;"No consta",TRIM('DATOS'!C68&amp;"")&lt;&gt;"Desconocido",TRIM('DATOS'!C68&amp;"")&lt;&gt;"Sin confirmar",TRIM('DATOS'!C68&amp;"")&lt;&gt;"Por decidir",TRIM('DATOS'!C68&amp;"")&lt;&gt;"Por comprobar")),NOT(AND(LEN(TRIM('DATOS'!D68&amp;""))&gt;0,TRIM('DATOS'!D68&amp;"")&lt;&gt;"Pendiente",TRIM('DATOS'!D68&amp;"")&lt;&gt;"Por confirmar",TRIM('DATOS'!D68&amp;"")&lt;&gt;"No consta",TRIM('DATOS'!D68&amp;"")&lt;&gt;"Desconocido",TRIM('DATOS'!D68&amp;"")&lt;&gt;"Sin confirmar",TRIM('DATOS'!D68&amp;"")&lt;&gt;"Por decidir",TRIM('DATOS'!D68&amp;"")&lt;&gt;"Por comprobar")),NOT(AND(LEN(TRIM('DATOS'!E68&amp;""))&gt;0,TRIM('DATOS'!E68&amp;"")&lt;&gt;"Pendiente",TRIM('DATOS'!E68&amp;"")&lt;&gt;"Por confirmar",TRIM('DATOS'!E68&amp;"")&lt;&gt;"No consta",TRIM('DATOS'!E68&amp;"")&lt;&gt;"Desconocido",TRIM('DATOS'!E68&amp;"")&lt;&gt;"Sin confirmar",TRIM('DATOS'!E68&amp;"")&lt;&gt;"Por decidir",TRIM('DATOS'!E68&amp;"")&lt;&gt;"Por comprobar")),NOT(AND(LEN(TRIM('DATOS'!F68&amp;""))&gt;0,TRIM('DATOS'!F68&amp;"")&lt;&gt;"Pendiente",TRIM('DATOS'!F68&amp;"")&lt;&gt;"Por confirmar",TRIM('DATOS'!F68&amp;"")&lt;&gt;"No consta",TRIM('DATOS'!F68&amp;"")&lt;&gt;"Desconocido",TRIM('DATOS'!F68&amp;"")&lt;&gt;"Sin confirmar",TRIM('DATOS'!F68&amp;"")&lt;&gt;"Por decidir",TRIM('DATOS'!F68&amp;"")&lt;&gt;"Por comprobar")),NOT(AND(LEN(TRIM('DATOS'!N68&amp;""))&gt;0,TRIM('DATOS'!N68&amp;"")&lt;&gt;"Pendiente",TRIM('DATOS'!N68&amp;"")&lt;&gt;"Por confirmar",TRIM('DATOS'!N68&amp;"")&lt;&gt;"No consta",TRIM('DATOS'!N68&amp;"")&lt;&gt;"Desconocido",TRIM('DATOS'!N68&amp;"")&lt;&gt;"Sin confirmar",TRIM('DATOS'!N68&amp;"")&lt;&gt;"Por decidir",TRIM('DATOS'!N68&amp;"")&lt;&gt;"Por comprobar")),NOT(Y68=1),W68&lt;&gt;1,X68&gt;1,NOT(OR(LEN(TRIM('DATOS'!K68&amp;""))=0,'DATOS'!K68="Sin valorar",'DATOS'!K68="Sin coste documentado",'DATOS'!K68="Incluido en otra partida",'DATOS'!K68="Por confirmar")),NOT(OR(LEN(TRIM('DATOS'!M68&amp;""))=0,'DATOS'!M68="Sí",'DATOS'!M68="No",'DATOS'!M68="Por confirmar")),NOT(OR(LEN(TRIM('DATOS'!O68&amp;""))=0,'DATOS'!O68="Comparamos",'DATOS'!O68="No existe",'DATOS'!O68="Por confirmar"))),2,IF(AND(OR('DATOS'!G68&lt;0,'DATOS'!H68&lt;0,'DATOS'!J68&lt;0),NOT(AND(LEN(TRIM('DATOS'!L68&amp;""))&gt;0,TRIM('DATOS'!L68&amp;"")&lt;&gt;"Pendiente",TRIM('DATOS'!L68&amp;"")&lt;&gt;"Por confirmar",TRIM('DATOS'!L68&amp;"")&lt;&gt;"No consta",TRIM('DATOS'!L68&amp;"")&lt;&gt;"Desconocido",TRIM('DATOS'!L68&amp;"")&lt;&gt;"Sin confirmar",TRIM('DATOS'!L68&amp;"")&lt;&gt;"Por decidir",TRIM('DATOS'!L68&amp;"")&lt;&gt;"Por comprobar"))),1,0))),2)</f>
      </c>
      <c r="P68" s="29">
        <f>IFERROR(IF(N68=0,"",IF(NOT(Y68=1),1,IF('REFERENCIAS'!$Q$8&lt;&gt;1,2,IF(ABS('DATOS'!J68-ROUND('DATOS'!G68*'DATOS'!H68,'REFERENCIAS'!$K$8))&gt;0.00000001,2,IF('DATOS'!O68="No existe",IF(LEN(TRIM('DATOS'!I68&amp;""))=0,0,2),IF('DATOS'!O68="Comparamos",IF(LEN(TRIM('DATOS'!I68&amp;""))=0,1,IF(ISNUMBER('DATOS'!I68),IF(ABS('DATOS'!H68-'DATOS'!I68)&gt;0.00000001,2,0),2)),1)))))),2)</f>
      </c>
      <c r="Q68" s="29">
        <f>IFERROR(IF(N68=0,"",IF(NOT(Y68=1),1,IF('DATOS'!K68="Sin valorar",2,IF('DATOS'!G68=0,1,IF(OR('DATOS'!H68=0,'DATOS'!J68=0),IF(AND(OR('DATOS'!K68="Sin coste documentado",'DATOS'!K68="Incluido en otra partida"),AND(LEN(TRIM('DATOS'!L68&amp;""))&gt;0,TRIM('DATOS'!L68&amp;"")&lt;&gt;"Pendiente",TRIM('DATOS'!L68&amp;"")&lt;&gt;"Por confirmar",TRIM('DATOS'!L68&amp;"")&lt;&gt;"No consta",TRIM('DATOS'!L68&amp;"")&lt;&gt;"Desconocido",TRIM('DATOS'!L68&amp;"")&lt;&gt;"Sin confirmar",TRIM('DATOS'!L68&amp;"")&lt;&gt;"Por decidir",TRIM('DATOS'!L68&amp;"")&lt;&gt;"Por comprobar")),0,1),0))))),2)</f>
      </c>
      <c r="R68" s="29">
        <f>IFERROR(IF(N68=0,"",IF(OR(NOT(AND(LEN(TRIM('DATOS'!D68&amp;""))&gt;0,TRIM('DATOS'!D68&amp;"")&lt;&gt;"Pendiente",TRIM('DATOS'!D68&amp;"")&lt;&gt;"Por confirmar",TRIM('DATOS'!D68&amp;"")&lt;&gt;"No consta",TRIM('DATOS'!D68&amp;"")&lt;&gt;"Desconocido",TRIM('DATOS'!D68&amp;"")&lt;&gt;"Sin confirmar",TRIM('DATOS'!D68&amp;"")&lt;&gt;"Por decidir",TRIM('DATOS'!D68&amp;"")&lt;&gt;"Por comprobar")),NOT(AND(LEN(TRIM('DATOS'!E68&amp;""))&gt;0,TRIM('DATOS'!E68&amp;"")&lt;&gt;"Pendiente",TRIM('DATOS'!E68&amp;"")&lt;&gt;"Por confirmar",TRIM('DATOS'!E68&amp;"")&lt;&gt;"No consta",TRIM('DATOS'!E68&amp;"")&lt;&gt;"Desconocido",TRIM('DATOS'!E68&amp;"")&lt;&gt;"Sin confirmar",TRIM('DATOS'!E68&amp;"")&lt;&gt;"Por decidir",TRIM('DATOS'!E68&amp;"")&lt;&gt;"Por comprobar"))),2,IF('DATOS'!M68="No",2,IF('DATOS'!M68="Sí",0,IF(OR('DATOS'!D68&lt;&gt;'DATOS'!E68,LEN('DATOS'!E68)&gt;300,RIGHT(TRIM('DATOS'!E68),3)="...",RIGHT(TRIM('DATOS'!E68),1)="…"),1,0))))),2)</f>
      </c>
      <c r="S68" s="29">
        <f>IFERROR(IF(N68=0,"",IF('REFERENCIAS'!$Q$8&lt;&gt;1,2,IF(NOT(Y68=1),1,IF(OR(ABS('DATOS'!G68-ROUND('DATOS'!G68,'REFERENCIAS'!$E$8))&gt;0.00000001,ABS('DATOS'!H68-ROUND('DATOS'!H68,'REFERENCIAS'!$H$8))&gt;0.00000001,ABS('DATOS'!J68-ROUND('DATOS'!J68,'REFERENCIAS'!$K$8))&gt;0.00000001,IF(ISNUMBER('DATOS'!I68),ABS('DATOS'!I68-ROUND('DATOS'!I68,'REFERENCIAS'!$H$8))&gt;0.00000001,FALSE)),1,0)))),2)</f>
      </c>
      <c r="T68" s="29">
        <f>IFERROR(IF(N68=0,"",IF(NOT(AND(LEN(TRIM('DATOS'!F68&amp;""))&gt;0,TRIM('DATOS'!F68&amp;"")&lt;&gt;"Pendiente",TRIM('DATOS'!F68&amp;"")&lt;&gt;"Por confirmar",TRIM('DATOS'!F68&amp;"")&lt;&gt;"No consta",TRIM('DATOS'!F68&amp;"")&lt;&gt;"Desconocido",TRIM('DATOS'!F68&amp;"")&lt;&gt;"Sin confirmar",TRIM('DATOS'!F68&amp;"")&lt;&gt;"Por decidir",TRIM('DATOS'!F68&amp;"")&lt;&gt;"Por comprobar")),2,IF(COUNTIFS('REFERENCIAS'!$T$15:$T$34,"ID:"&amp;SUBSTITUTE(SUBSTITUTE(SUBSTITUTE(SUBSTITUTE(UPPER(TRIM('DATOS'!F68&amp;"")),"!","!E"),"*","!A"),"?","!B"),"~","!C"),'REFERENCIAS'!$H$15:$H$34,"&lt;&gt;")&gt;0,0,1))),2)</f>
      </c>
      <c r="U68" s="29" t="str">
        <f>'DATOS'!R68</f>
        <v>ID:</v>
      </c>
      <c r="V68" s="29" t="str">
        <f>'DATOS'!S68</f>
        <v>ID:</v>
      </c>
      <c r="W68" s="29" t="n">
        <f>IF(N68=0,0,COUNTIFS('REFERENCIAS'!$R$15:$R$64,U68))</f>
        <v>0</v>
      </c>
      <c r="X68" s="29" t="n">
        <f>IF(N68=0,0,COUNTIFS('DATOS'!$R$10:$R$509,U68,'DATOS'!$S$10:$S$509,V68))</f>
        <v>0</v>
      </c>
      <c r="Y68" s="29" t="n">
        <f>IF(AND(ISNUMBER('DATOS'!G68),ISNUMBER('DATOS'!H68),ISNUMBER('DATOS'!J68)),1,0)</f>
        <v>0</v>
      </c>
    </row>
    <row r="69" ht="64" customHeight="1">
      <c r="B69" s="26">
        <f>IF(N69=1,60,"")</f>
      </c>
      <c r="C69" s="26">
        <f>IF(AND(N69=1,LEN(TRIM('DATOS'!B69&amp;""))&gt;0),'DATOS'!B69,"")</f>
      </c>
      <c r="D69" s="26">
        <f>IF(AND(N69=1,LEN(TRIM('DATOS'!C69&amp;""))&gt;0),'DATOS'!C69,"")</f>
      </c>
      <c r="E69" s="26">
        <f>IF(NOT(ISNUMBER(P69)),"",IF(P69=2,"ROJO",IF(P69=1,"ÁMBAR","VERDE")))</f>
      </c>
      <c r="F69" s="26">
        <f>IF(NOT(ISNUMBER(Q69)),"",IF(Q69=2,"ROJO",IF(Q69=1,"ÁMBAR","VERDE")))</f>
      </c>
      <c r="G69" s="26">
        <f>IF(NOT(ISNUMBER(R69)),"",IF(R69=2,"ROJO",IF(R69=1,"ÁMBAR","VERDE")))</f>
      </c>
      <c r="H69" s="26">
        <f>IF(NOT(ISNUMBER(S69)),"",IF(S69=2,"ROJO",IF(S69=1,"ÁMBAR","VERDE")))</f>
      </c>
      <c r="I69" s="26">
        <f>IF(NOT(ISNUMBER(T69)),"",IF(T69=2,"ROJO",IF(T69=1,"ÁMBAR","VERDE")))</f>
      </c>
      <c r="J69" s="26">
        <f>IF(NOT(ISNUMBER(O69)),"",IF(O69=2,"ROJO",IF(O69=1,"ÁMBAR","VERDE")))</f>
      </c>
      <c r="K69" s="26">
        <f>IFERROR(IF(AND(N69=1,LEN(TRIM('DATOS'!N69&amp;""))&gt;0),'DATOS'!N69,""),"Hay una entrada con error. Corregimos el dato antes de cerrar la comprobación.")</f>
      </c>
      <c r="L69" s="26">
        <f>IFERROR(IF(N69=0,"",IF(O69&gt;0,"Completamos datos, claves o motivo. ","")&amp;IF(P69&gt;0,"Cotejamos precios e importe. ","")&amp;IF(Q69&gt;0,"Aclaramos el cero. ","")&amp;IF(R69&gt;0,"Comprobamos el texto. ","")&amp;IF(S69&gt;0,"Revisamos decimales visibles. ","")&amp;IF(T69&gt;0,"Confirmamos la unidad.","")),"Hay una entrada con error. Corregimos el dato antes de cerrar la comprobación.")</f>
      </c>
      <c r="N69" s="29" t="n">
        <f>IF(COUNTA('DATOS'!B69:O69)&gt;0,1,0)</f>
        <v>0</v>
      </c>
      <c r="O69" s="29">
        <f>IFERROR(IF(N69=0,"",IF(OR(NOT(AND(LEN(TRIM('DATOS'!B69&amp;""))&gt;0,TRIM('DATOS'!B69&amp;"")&lt;&gt;"Pendiente",TRIM('DATOS'!B69&amp;"")&lt;&gt;"Por confirmar",TRIM('DATOS'!B69&amp;"")&lt;&gt;"No consta",TRIM('DATOS'!B69&amp;"")&lt;&gt;"Desconocido",TRIM('DATOS'!B69&amp;"")&lt;&gt;"Sin confirmar",TRIM('DATOS'!B69&amp;"")&lt;&gt;"Por decidir",TRIM('DATOS'!B69&amp;"")&lt;&gt;"Por comprobar")),NOT(AND(LEN(TRIM('DATOS'!C69&amp;""))&gt;0,TRIM('DATOS'!C69&amp;"")&lt;&gt;"Pendiente",TRIM('DATOS'!C69&amp;"")&lt;&gt;"Por confirmar",TRIM('DATOS'!C69&amp;"")&lt;&gt;"No consta",TRIM('DATOS'!C69&amp;"")&lt;&gt;"Desconocido",TRIM('DATOS'!C69&amp;"")&lt;&gt;"Sin confirmar",TRIM('DATOS'!C69&amp;"")&lt;&gt;"Por decidir",TRIM('DATOS'!C69&amp;"")&lt;&gt;"Por comprobar")),NOT(AND(LEN(TRIM('DATOS'!D69&amp;""))&gt;0,TRIM('DATOS'!D69&amp;"")&lt;&gt;"Pendiente",TRIM('DATOS'!D69&amp;"")&lt;&gt;"Por confirmar",TRIM('DATOS'!D69&amp;"")&lt;&gt;"No consta",TRIM('DATOS'!D69&amp;"")&lt;&gt;"Desconocido",TRIM('DATOS'!D69&amp;"")&lt;&gt;"Sin confirmar",TRIM('DATOS'!D69&amp;"")&lt;&gt;"Por decidir",TRIM('DATOS'!D69&amp;"")&lt;&gt;"Por comprobar")),NOT(AND(LEN(TRIM('DATOS'!E69&amp;""))&gt;0,TRIM('DATOS'!E69&amp;"")&lt;&gt;"Pendiente",TRIM('DATOS'!E69&amp;"")&lt;&gt;"Por confirmar",TRIM('DATOS'!E69&amp;"")&lt;&gt;"No consta",TRIM('DATOS'!E69&amp;"")&lt;&gt;"Desconocido",TRIM('DATOS'!E69&amp;"")&lt;&gt;"Sin confirmar",TRIM('DATOS'!E69&amp;"")&lt;&gt;"Por decidir",TRIM('DATOS'!E69&amp;"")&lt;&gt;"Por comprobar")),NOT(AND(LEN(TRIM('DATOS'!F69&amp;""))&gt;0,TRIM('DATOS'!F69&amp;"")&lt;&gt;"Pendiente",TRIM('DATOS'!F69&amp;"")&lt;&gt;"Por confirmar",TRIM('DATOS'!F69&amp;"")&lt;&gt;"No consta",TRIM('DATOS'!F69&amp;"")&lt;&gt;"Desconocido",TRIM('DATOS'!F69&amp;"")&lt;&gt;"Sin confirmar",TRIM('DATOS'!F69&amp;"")&lt;&gt;"Por decidir",TRIM('DATOS'!F69&amp;"")&lt;&gt;"Por comprobar")),NOT(AND(LEN(TRIM('DATOS'!N69&amp;""))&gt;0,TRIM('DATOS'!N69&amp;"")&lt;&gt;"Pendiente",TRIM('DATOS'!N69&amp;"")&lt;&gt;"Por confirmar",TRIM('DATOS'!N69&amp;"")&lt;&gt;"No consta",TRIM('DATOS'!N69&amp;"")&lt;&gt;"Desconocido",TRIM('DATOS'!N69&amp;"")&lt;&gt;"Sin confirmar",TRIM('DATOS'!N69&amp;"")&lt;&gt;"Por decidir",TRIM('DATOS'!N69&amp;"")&lt;&gt;"Por comprobar")),NOT(Y69=1),W69&lt;&gt;1,X69&gt;1,NOT(OR(LEN(TRIM('DATOS'!K69&amp;""))=0,'DATOS'!K69="Sin valorar",'DATOS'!K69="Sin coste documentado",'DATOS'!K69="Incluido en otra partida",'DATOS'!K69="Por confirmar")),NOT(OR(LEN(TRIM('DATOS'!M69&amp;""))=0,'DATOS'!M69="Sí",'DATOS'!M69="No",'DATOS'!M69="Por confirmar")),NOT(OR(LEN(TRIM('DATOS'!O69&amp;""))=0,'DATOS'!O69="Comparamos",'DATOS'!O69="No existe",'DATOS'!O69="Por confirmar"))),2,IF(AND(OR('DATOS'!G69&lt;0,'DATOS'!H69&lt;0,'DATOS'!J69&lt;0),NOT(AND(LEN(TRIM('DATOS'!L69&amp;""))&gt;0,TRIM('DATOS'!L69&amp;"")&lt;&gt;"Pendiente",TRIM('DATOS'!L69&amp;"")&lt;&gt;"Por confirmar",TRIM('DATOS'!L69&amp;"")&lt;&gt;"No consta",TRIM('DATOS'!L69&amp;"")&lt;&gt;"Desconocido",TRIM('DATOS'!L69&amp;"")&lt;&gt;"Sin confirmar",TRIM('DATOS'!L69&amp;"")&lt;&gt;"Por decidir",TRIM('DATOS'!L69&amp;"")&lt;&gt;"Por comprobar"))),1,0))),2)</f>
      </c>
      <c r="P69" s="29">
        <f>IFERROR(IF(N69=0,"",IF(NOT(Y69=1),1,IF('REFERENCIAS'!$Q$8&lt;&gt;1,2,IF(ABS('DATOS'!J69-ROUND('DATOS'!G69*'DATOS'!H69,'REFERENCIAS'!$K$8))&gt;0.00000001,2,IF('DATOS'!O69="No existe",IF(LEN(TRIM('DATOS'!I69&amp;""))=0,0,2),IF('DATOS'!O69="Comparamos",IF(LEN(TRIM('DATOS'!I69&amp;""))=0,1,IF(ISNUMBER('DATOS'!I69),IF(ABS('DATOS'!H69-'DATOS'!I69)&gt;0.00000001,2,0),2)),1)))))),2)</f>
      </c>
      <c r="Q69" s="29">
        <f>IFERROR(IF(N69=0,"",IF(NOT(Y69=1),1,IF('DATOS'!K69="Sin valorar",2,IF('DATOS'!G69=0,1,IF(OR('DATOS'!H69=0,'DATOS'!J69=0),IF(AND(OR('DATOS'!K69="Sin coste documentado",'DATOS'!K69="Incluido en otra partida"),AND(LEN(TRIM('DATOS'!L69&amp;""))&gt;0,TRIM('DATOS'!L69&amp;"")&lt;&gt;"Pendiente",TRIM('DATOS'!L69&amp;"")&lt;&gt;"Por confirmar",TRIM('DATOS'!L69&amp;"")&lt;&gt;"No consta",TRIM('DATOS'!L69&amp;"")&lt;&gt;"Desconocido",TRIM('DATOS'!L69&amp;"")&lt;&gt;"Sin confirmar",TRIM('DATOS'!L69&amp;"")&lt;&gt;"Por decidir",TRIM('DATOS'!L69&amp;"")&lt;&gt;"Por comprobar")),0,1),0))))),2)</f>
      </c>
      <c r="R69" s="29">
        <f>IFERROR(IF(N69=0,"",IF(OR(NOT(AND(LEN(TRIM('DATOS'!D69&amp;""))&gt;0,TRIM('DATOS'!D69&amp;"")&lt;&gt;"Pendiente",TRIM('DATOS'!D69&amp;"")&lt;&gt;"Por confirmar",TRIM('DATOS'!D69&amp;"")&lt;&gt;"No consta",TRIM('DATOS'!D69&amp;"")&lt;&gt;"Desconocido",TRIM('DATOS'!D69&amp;"")&lt;&gt;"Sin confirmar",TRIM('DATOS'!D69&amp;"")&lt;&gt;"Por decidir",TRIM('DATOS'!D69&amp;"")&lt;&gt;"Por comprobar")),NOT(AND(LEN(TRIM('DATOS'!E69&amp;""))&gt;0,TRIM('DATOS'!E69&amp;"")&lt;&gt;"Pendiente",TRIM('DATOS'!E69&amp;"")&lt;&gt;"Por confirmar",TRIM('DATOS'!E69&amp;"")&lt;&gt;"No consta",TRIM('DATOS'!E69&amp;"")&lt;&gt;"Desconocido",TRIM('DATOS'!E69&amp;"")&lt;&gt;"Sin confirmar",TRIM('DATOS'!E69&amp;"")&lt;&gt;"Por decidir",TRIM('DATOS'!E69&amp;"")&lt;&gt;"Por comprobar"))),2,IF('DATOS'!M69="No",2,IF('DATOS'!M69="Sí",0,IF(OR('DATOS'!D69&lt;&gt;'DATOS'!E69,LEN('DATOS'!E69)&gt;300,RIGHT(TRIM('DATOS'!E69),3)="...",RIGHT(TRIM('DATOS'!E69),1)="…"),1,0))))),2)</f>
      </c>
      <c r="S69" s="29">
        <f>IFERROR(IF(N69=0,"",IF('REFERENCIAS'!$Q$8&lt;&gt;1,2,IF(NOT(Y69=1),1,IF(OR(ABS('DATOS'!G69-ROUND('DATOS'!G69,'REFERENCIAS'!$E$8))&gt;0.00000001,ABS('DATOS'!H69-ROUND('DATOS'!H69,'REFERENCIAS'!$H$8))&gt;0.00000001,ABS('DATOS'!J69-ROUND('DATOS'!J69,'REFERENCIAS'!$K$8))&gt;0.00000001,IF(ISNUMBER('DATOS'!I69),ABS('DATOS'!I69-ROUND('DATOS'!I69,'REFERENCIAS'!$H$8))&gt;0.00000001,FALSE)),1,0)))),2)</f>
      </c>
      <c r="T69" s="29">
        <f>IFERROR(IF(N69=0,"",IF(NOT(AND(LEN(TRIM('DATOS'!F69&amp;""))&gt;0,TRIM('DATOS'!F69&amp;"")&lt;&gt;"Pendiente",TRIM('DATOS'!F69&amp;"")&lt;&gt;"Por confirmar",TRIM('DATOS'!F69&amp;"")&lt;&gt;"No consta",TRIM('DATOS'!F69&amp;"")&lt;&gt;"Desconocido",TRIM('DATOS'!F69&amp;"")&lt;&gt;"Sin confirmar",TRIM('DATOS'!F69&amp;"")&lt;&gt;"Por decidir",TRIM('DATOS'!F69&amp;"")&lt;&gt;"Por comprobar")),2,IF(COUNTIFS('REFERENCIAS'!$T$15:$T$34,"ID:"&amp;SUBSTITUTE(SUBSTITUTE(SUBSTITUTE(SUBSTITUTE(UPPER(TRIM('DATOS'!F69&amp;"")),"!","!E"),"*","!A"),"?","!B"),"~","!C"),'REFERENCIAS'!$H$15:$H$34,"&lt;&gt;")&gt;0,0,1))),2)</f>
      </c>
      <c r="U69" s="29" t="str">
        <f>'DATOS'!R69</f>
        <v>ID:</v>
      </c>
      <c r="V69" s="29" t="str">
        <f>'DATOS'!S69</f>
        <v>ID:</v>
      </c>
      <c r="W69" s="29" t="n">
        <f>IF(N69=0,0,COUNTIFS('REFERENCIAS'!$R$15:$R$64,U69))</f>
        <v>0</v>
      </c>
      <c r="X69" s="29" t="n">
        <f>IF(N69=0,0,COUNTIFS('DATOS'!$R$10:$R$509,U69,'DATOS'!$S$10:$S$509,V69))</f>
        <v>0</v>
      </c>
      <c r="Y69" s="29" t="n">
        <f>IF(AND(ISNUMBER('DATOS'!G69),ISNUMBER('DATOS'!H69),ISNUMBER('DATOS'!J69)),1,0)</f>
        <v>0</v>
      </c>
    </row>
    <row r="70" ht="64" customHeight="1">
      <c r="B70" s="26">
        <f>IF(N70=1,61,"")</f>
      </c>
      <c r="C70" s="26">
        <f>IF(AND(N70=1,LEN(TRIM('DATOS'!B70&amp;""))&gt;0),'DATOS'!B70,"")</f>
      </c>
      <c r="D70" s="26">
        <f>IF(AND(N70=1,LEN(TRIM('DATOS'!C70&amp;""))&gt;0),'DATOS'!C70,"")</f>
      </c>
      <c r="E70" s="26">
        <f>IF(NOT(ISNUMBER(P70)),"",IF(P70=2,"ROJO",IF(P70=1,"ÁMBAR","VERDE")))</f>
      </c>
      <c r="F70" s="26">
        <f>IF(NOT(ISNUMBER(Q70)),"",IF(Q70=2,"ROJO",IF(Q70=1,"ÁMBAR","VERDE")))</f>
      </c>
      <c r="G70" s="26">
        <f>IF(NOT(ISNUMBER(R70)),"",IF(R70=2,"ROJO",IF(R70=1,"ÁMBAR","VERDE")))</f>
      </c>
      <c r="H70" s="26">
        <f>IF(NOT(ISNUMBER(S70)),"",IF(S70=2,"ROJO",IF(S70=1,"ÁMBAR","VERDE")))</f>
      </c>
      <c r="I70" s="26">
        <f>IF(NOT(ISNUMBER(T70)),"",IF(T70=2,"ROJO",IF(T70=1,"ÁMBAR","VERDE")))</f>
      </c>
      <c r="J70" s="26">
        <f>IF(NOT(ISNUMBER(O70)),"",IF(O70=2,"ROJO",IF(O70=1,"ÁMBAR","VERDE")))</f>
      </c>
      <c r="K70" s="26">
        <f>IFERROR(IF(AND(N70=1,LEN(TRIM('DATOS'!N70&amp;""))&gt;0),'DATOS'!N70,""),"Hay una entrada con error. Corregimos el dato antes de cerrar la comprobación.")</f>
      </c>
      <c r="L70" s="26">
        <f>IFERROR(IF(N70=0,"",IF(O70&gt;0,"Completamos datos, claves o motivo. ","")&amp;IF(P70&gt;0,"Cotejamos precios e importe. ","")&amp;IF(Q70&gt;0,"Aclaramos el cero. ","")&amp;IF(R70&gt;0,"Comprobamos el texto. ","")&amp;IF(S70&gt;0,"Revisamos decimales visibles. ","")&amp;IF(T70&gt;0,"Confirmamos la unidad.","")),"Hay una entrada con error. Corregimos el dato antes de cerrar la comprobación.")</f>
      </c>
      <c r="N70" s="29" t="n">
        <f>IF(COUNTA('DATOS'!B70:O70)&gt;0,1,0)</f>
        <v>0</v>
      </c>
      <c r="O70" s="29">
        <f>IFERROR(IF(N70=0,"",IF(OR(NOT(AND(LEN(TRIM('DATOS'!B70&amp;""))&gt;0,TRIM('DATOS'!B70&amp;"")&lt;&gt;"Pendiente",TRIM('DATOS'!B70&amp;"")&lt;&gt;"Por confirmar",TRIM('DATOS'!B70&amp;"")&lt;&gt;"No consta",TRIM('DATOS'!B70&amp;"")&lt;&gt;"Desconocido",TRIM('DATOS'!B70&amp;"")&lt;&gt;"Sin confirmar",TRIM('DATOS'!B70&amp;"")&lt;&gt;"Por decidir",TRIM('DATOS'!B70&amp;"")&lt;&gt;"Por comprobar")),NOT(AND(LEN(TRIM('DATOS'!C70&amp;""))&gt;0,TRIM('DATOS'!C70&amp;"")&lt;&gt;"Pendiente",TRIM('DATOS'!C70&amp;"")&lt;&gt;"Por confirmar",TRIM('DATOS'!C70&amp;"")&lt;&gt;"No consta",TRIM('DATOS'!C70&amp;"")&lt;&gt;"Desconocido",TRIM('DATOS'!C70&amp;"")&lt;&gt;"Sin confirmar",TRIM('DATOS'!C70&amp;"")&lt;&gt;"Por decidir",TRIM('DATOS'!C70&amp;"")&lt;&gt;"Por comprobar")),NOT(AND(LEN(TRIM('DATOS'!D70&amp;""))&gt;0,TRIM('DATOS'!D70&amp;"")&lt;&gt;"Pendiente",TRIM('DATOS'!D70&amp;"")&lt;&gt;"Por confirmar",TRIM('DATOS'!D70&amp;"")&lt;&gt;"No consta",TRIM('DATOS'!D70&amp;"")&lt;&gt;"Desconocido",TRIM('DATOS'!D70&amp;"")&lt;&gt;"Sin confirmar",TRIM('DATOS'!D70&amp;"")&lt;&gt;"Por decidir",TRIM('DATOS'!D70&amp;"")&lt;&gt;"Por comprobar")),NOT(AND(LEN(TRIM('DATOS'!E70&amp;""))&gt;0,TRIM('DATOS'!E70&amp;"")&lt;&gt;"Pendiente",TRIM('DATOS'!E70&amp;"")&lt;&gt;"Por confirmar",TRIM('DATOS'!E70&amp;"")&lt;&gt;"No consta",TRIM('DATOS'!E70&amp;"")&lt;&gt;"Desconocido",TRIM('DATOS'!E70&amp;"")&lt;&gt;"Sin confirmar",TRIM('DATOS'!E70&amp;"")&lt;&gt;"Por decidir",TRIM('DATOS'!E70&amp;"")&lt;&gt;"Por comprobar")),NOT(AND(LEN(TRIM('DATOS'!F70&amp;""))&gt;0,TRIM('DATOS'!F70&amp;"")&lt;&gt;"Pendiente",TRIM('DATOS'!F70&amp;"")&lt;&gt;"Por confirmar",TRIM('DATOS'!F70&amp;"")&lt;&gt;"No consta",TRIM('DATOS'!F70&amp;"")&lt;&gt;"Desconocido",TRIM('DATOS'!F70&amp;"")&lt;&gt;"Sin confirmar",TRIM('DATOS'!F70&amp;"")&lt;&gt;"Por decidir",TRIM('DATOS'!F70&amp;"")&lt;&gt;"Por comprobar")),NOT(AND(LEN(TRIM('DATOS'!N70&amp;""))&gt;0,TRIM('DATOS'!N70&amp;"")&lt;&gt;"Pendiente",TRIM('DATOS'!N70&amp;"")&lt;&gt;"Por confirmar",TRIM('DATOS'!N70&amp;"")&lt;&gt;"No consta",TRIM('DATOS'!N70&amp;"")&lt;&gt;"Desconocido",TRIM('DATOS'!N70&amp;"")&lt;&gt;"Sin confirmar",TRIM('DATOS'!N70&amp;"")&lt;&gt;"Por decidir",TRIM('DATOS'!N70&amp;"")&lt;&gt;"Por comprobar")),NOT(Y70=1),W70&lt;&gt;1,X70&gt;1,NOT(OR(LEN(TRIM('DATOS'!K70&amp;""))=0,'DATOS'!K70="Sin valorar",'DATOS'!K70="Sin coste documentado",'DATOS'!K70="Incluido en otra partida",'DATOS'!K70="Por confirmar")),NOT(OR(LEN(TRIM('DATOS'!M70&amp;""))=0,'DATOS'!M70="Sí",'DATOS'!M70="No",'DATOS'!M70="Por confirmar")),NOT(OR(LEN(TRIM('DATOS'!O70&amp;""))=0,'DATOS'!O70="Comparamos",'DATOS'!O70="No existe",'DATOS'!O70="Por confirmar"))),2,IF(AND(OR('DATOS'!G70&lt;0,'DATOS'!H70&lt;0,'DATOS'!J70&lt;0),NOT(AND(LEN(TRIM('DATOS'!L70&amp;""))&gt;0,TRIM('DATOS'!L70&amp;"")&lt;&gt;"Pendiente",TRIM('DATOS'!L70&amp;"")&lt;&gt;"Por confirmar",TRIM('DATOS'!L70&amp;"")&lt;&gt;"No consta",TRIM('DATOS'!L70&amp;"")&lt;&gt;"Desconocido",TRIM('DATOS'!L70&amp;"")&lt;&gt;"Sin confirmar",TRIM('DATOS'!L70&amp;"")&lt;&gt;"Por decidir",TRIM('DATOS'!L70&amp;"")&lt;&gt;"Por comprobar"))),1,0))),2)</f>
      </c>
      <c r="P70" s="29">
        <f>IFERROR(IF(N70=0,"",IF(NOT(Y70=1),1,IF('REFERENCIAS'!$Q$8&lt;&gt;1,2,IF(ABS('DATOS'!J70-ROUND('DATOS'!G70*'DATOS'!H70,'REFERENCIAS'!$K$8))&gt;0.00000001,2,IF('DATOS'!O70="No existe",IF(LEN(TRIM('DATOS'!I70&amp;""))=0,0,2),IF('DATOS'!O70="Comparamos",IF(LEN(TRIM('DATOS'!I70&amp;""))=0,1,IF(ISNUMBER('DATOS'!I70),IF(ABS('DATOS'!H70-'DATOS'!I70)&gt;0.00000001,2,0),2)),1)))))),2)</f>
      </c>
      <c r="Q70" s="29">
        <f>IFERROR(IF(N70=0,"",IF(NOT(Y70=1),1,IF('DATOS'!K70="Sin valorar",2,IF('DATOS'!G70=0,1,IF(OR('DATOS'!H70=0,'DATOS'!J70=0),IF(AND(OR('DATOS'!K70="Sin coste documentado",'DATOS'!K70="Incluido en otra partida"),AND(LEN(TRIM('DATOS'!L70&amp;""))&gt;0,TRIM('DATOS'!L70&amp;"")&lt;&gt;"Pendiente",TRIM('DATOS'!L70&amp;"")&lt;&gt;"Por confirmar",TRIM('DATOS'!L70&amp;"")&lt;&gt;"No consta",TRIM('DATOS'!L70&amp;"")&lt;&gt;"Desconocido",TRIM('DATOS'!L70&amp;"")&lt;&gt;"Sin confirmar",TRIM('DATOS'!L70&amp;"")&lt;&gt;"Por decidir",TRIM('DATOS'!L70&amp;"")&lt;&gt;"Por comprobar")),0,1),0))))),2)</f>
      </c>
      <c r="R70" s="29">
        <f>IFERROR(IF(N70=0,"",IF(OR(NOT(AND(LEN(TRIM('DATOS'!D70&amp;""))&gt;0,TRIM('DATOS'!D70&amp;"")&lt;&gt;"Pendiente",TRIM('DATOS'!D70&amp;"")&lt;&gt;"Por confirmar",TRIM('DATOS'!D70&amp;"")&lt;&gt;"No consta",TRIM('DATOS'!D70&amp;"")&lt;&gt;"Desconocido",TRIM('DATOS'!D70&amp;"")&lt;&gt;"Sin confirmar",TRIM('DATOS'!D70&amp;"")&lt;&gt;"Por decidir",TRIM('DATOS'!D70&amp;"")&lt;&gt;"Por comprobar")),NOT(AND(LEN(TRIM('DATOS'!E70&amp;""))&gt;0,TRIM('DATOS'!E70&amp;"")&lt;&gt;"Pendiente",TRIM('DATOS'!E70&amp;"")&lt;&gt;"Por confirmar",TRIM('DATOS'!E70&amp;"")&lt;&gt;"No consta",TRIM('DATOS'!E70&amp;"")&lt;&gt;"Desconocido",TRIM('DATOS'!E70&amp;"")&lt;&gt;"Sin confirmar",TRIM('DATOS'!E70&amp;"")&lt;&gt;"Por decidir",TRIM('DATOS'!E70&amp;"")&lt;&gt;"Por comprobar"))),2,IF('DATOS'!M70="No",2,IF('DATOS'!M70="Sí",0,IF(OR('DATOS'!D70&lt;&gt;'DATOS'!E70,LEN('DATOS'!E70)&gt;300,RIGHT(TRIM('DATOS'!E70),3)="...",RIGHT(TRIM('DATOS'!E70),1)="…"),1,0))))),2)</f>
      </c>
      <c r="S70" s="29">
        <f>IFERROR(IF(N70=0,"",IF('REFERENCIAS'!$Q$8&lt;&gt;1,2,IF(NOT(Y70=1),1,IF(OR(ABS('DATOS'!G70-ROUND('DATOS'!G70,'REFERENCIAS'!$E$8))&gt;0.00000001,ABS('DATOS'!H70-ROUND('DATOS'!H70,'REFERENCIAS'!$H$8))&gt;0.00000001,ABS('DATOS'!J70-ROUND('DATOS'!J70,'REFERENCIAS'!$K$8))&gt;0.00000001,IF(ISNUMBER('DATOS'!I70),ABS('DATOS'!I70-ROUND('DATOS'!I70,'REFERENCIAS'!$H$8))&gt;0.00000001,FALSE)),1,0)))),2)</f>
      </c>
      <c r="T70" s="29">
        <f>IFERROR(IF(N70=0,"",IF(NOT(AND(LEN(TRIM('DATOS'!F70&amp;""))&gt;0,TRIM('DATOS'!F70&amp;"")&lt;&gt;"Pendiente",TRIM('DATOS'!F70&amp;"")&lt;&gt;"Por confirmar",TRIM('DATOS'!F70&amp;"")&lt;&gt;"No consta",TRIM('DATOS'!F70&amp;"")&lt;&gt;"Desconocido",TRIM('DATOS'!F70&amp;"")&lt;&gt;"Sin confirmar",TRIM('DATOS'!F70&amp;"")&lt;&gt;"Por decidir",TRIM('DATOS'!F70&amp;"")&lt;&gt;"Por comprobar")),2,IF(COUNTIFS('REFERENCIAS'!$T$15:$T$34,"ID:"&amp;SUBSTITUTE(SUBSTITUTE(SUBSTITUTE(SUBSTITUTE(UPPER(TRIM('DATOS'!F70&amp;"")),"!","!E"),"*","!A"),"?","!B"),"~","!C"),'REFERENCIAS'!$H$15:$H$34,"&lt;&gt;")&gt;0,0,1))),2)</f>
      </c>
      <c r="U70" s="29" t="str">
        <f>'DATOS'!R70</f>
        <v>ID:</v>
      </c>
      <c r="V70" s="29" t="str">
        <f>'DATOS'!S70</f>
        <v>ID:</v>
      </c>
      <c r="W70" s="29" t="n">
        <f>IF(N70=0,0,COUNTIFS('REFERENCIAS'!$R$15:$R$64,U70))</f>
        <v>0</v>
      </c>
      <c r="X70" s="29" t="n">
        <f>IF(N70=0,0,COUNTIFS('DATOS'!$R$10:$R$509,U70,'DATOS'!$S$10:$S$509,V70))</f>
        <v>0</v>
      </c>
      <c r="Y70" s="29" t="n">
        <f>IF(AND(ISNUMBER('DATOS'!G70),ISNUMBER('DATOS'!H70),ISNUMBER('DATOS'!J70)),1,0)</f>
        <v>0</v>
      </c>
    </row>
    <row r="71" ht="64" customHeight="1">
      <c r="B71" s="26">
        <f>IF(N71=1,62,"")</f>
      </c>
      <c r="C71" s="26">
        <f>IF(AND(N71=1,LEN(TRIM('DATOS'!B71&amp;""))&gt;0),'DATOS'!B71,"")</f>
      </c>
      <c r="D71" s="26">
        <f>IF(AND(N71=1,LEN(TRIM('DATOS'!C71&amp;""))&gt;0),'DATOS'!C71,"")</f>
      </c>
      <c r="E71" s="26">
        <f>IF(NOT(ISNUMBER(P71)),"",IF(P71=2,"ROJO",IF(P71=1,"ÁMBAR","VERDE")))</f>
      </c>
      <c r="F71" s="26">
        <f>IF(NOT(ISNUMBER(Q71)),"",IF(Q71=2,"ROJO",IF(Q71=1,"ÁMBAR","VERDE")))</f>
      </c>
      <c r="G71" s="26">
        <f>IF(NOT(ISNUMBER(R71)),"",IF(R71=2,"ROJO",IF(R71=1,"ÁMBAR","VERDE")))</f>
      </c>
      <c r="H71" s="26">
        <f>IF(NOT(ISNUMBER(S71)),"",IF(S71=2,"ROJO",IF(S71=1,"ÁMBAR","VERDE")))</f>
      </c>
      <c r="I71" s="26">
        <f>IF(NOT(ISNUMBER(T71)),"",IF(T71=2,"ROJO",IF(T71=1,"ÁMBAR","VERDE")))</f>
      </c>
      <c r="J71" s="26">
        <f>IF(NOT(ISNUMBER(O71)),"",IF(O71=2,"ROJO",IF(O71=1,"ÁMBAR","VERDE")))</f>
      </c>
      <c r="K71" s="26">
        <f>IFERROR(IF(AND(N71=1,LEN(TRIM('DATOS'!N71&amp;""))&gt;0),'DATOS'!N71,""),"Hay una entrada con error. Corregimos el dato antes de cerrar la comprobación.")</f>
      </c>
      <c r="L71" s="26">
        <f>IFERROR(IF(N71=0,"",IF(O71&gt;0,"Completamos datos, claves o motivo. ","")&amp;IF(P71&gt;0,"Cotejamos precios e importe. ","")&amp;IF(Q71&gt;0,"Aclaramos el cero. ","")&amp;IF(R71&gt;0,"Comprobamos el texto. ","")&amp;IF(S71&gt;0,"Revisamos decimales visibles. ","")&amp;IF(T71&gt;0,"Confirmamos la unidad.","")),"Hay una entrada con error. Corregimos el dato antes de cerrar la comprobación.")</f>
      </c>
      <c r="N71" s="29" t="n">
        <f>IF(COUNTA('DATOS'!B71:O71)&gt;0,1,0)</f>
        <v>0</v>
      </c>
      <c r="O71" s="29">
        <f>IFERROR(IF(N71=0,"",IF(OR(NOT(AND(LEN(TRIM('DATOS'!B71&amp;""))&gt;0,TRIM('DATOS'!B71&amp;"")&lt;&gt;"Pendiente",TRIM('DATOS'!B71&amp;"")&lt;&gt;"Por confirmar",TRIM('DATOS'!B71&amp;"")&lt;&gt;"No consta",TRIM('DATOS'!B71&amp;"")&lt;&gt;"Desconocido",TRIM('DATOS'!B71&amp;"")&lt;&gt;"Sin confirmar",TRIM('DATOS'!B71&amp;"")&lt;&gt;"Por decidir",TRIM('DATOS'!B71&amp;"")&lt;&gt;"Por comprobar")),NOT(AND(LEN(TRIM('DATOS'!C71&amp;""))&gt;0,TRIM('DATOS'!C71&amp;"")&lt;&gt;"Pendiente",TRIM('DATOS'!C71&amp;"")&lt;&gt;"Por confirmar",TRIM('DATOS'!C71&amp;"")&lt;&gt;"No consta",TRIM('DATOS'!C71&amp;"")&lt;&gt;"Desconocido",TRIM('DATOS'!C71&amp;"")&lt;&gt;"Sin confirmar",TRIM('DATOS'!C71&amp;"")&lt;&gt;"Por decidir",TRIM('DATOS'!C71&amp;"")&lt;&gt;"Por comprobar")),NOT(AND(LEN(TRIM('DATOS'!D71&amp;""))&gt;0,TRIM('DATOS'!D71&amp;"")&lt;&gt;"Pendiente",TRIM('DATOS'!D71&amp;"")&lt;&gt;"Por confirmar",TRIM('DATOS'!D71&amp;"")&lt;&gt;"No consta",TRIM('DATOS'!D71&amp;"")&lt;&gt;"Desconocido",TRIM('DATOS'!D71&amp;"")&lt;&gt;"Sin confirmar",TRIM('DATOS'!D71&amp;"")&lt;&gt;"Por decidir",TRIM('DATOS'!D71&amp;"")&lt;&gt;"Por comprobar")),NOT(AND(LEN(TRIM('DATOS'!E71&amp;""))&gt;0,TRIM('DATOS'!E71&amp;"")&lt;&gt;"Pendiente",TRIM('DATOS'!E71&amp;"")&lt;&gt;"Por confirmar",TRIM('DATOS'!E71&amp;"")&lt;&gt;"No consta",TRIM('DATOS'!E71&amp;"")&lt;&gt;"Desconocido",TRIM('DATOS'!E71&amp;"")&lt;&gt;"Sin confirmar",TRIM('DATOS'!E71&amp;"")&lt;&gt;"Por decidir",TRIM('DATOS'!E71&amp;"")&lt;&gt;"Por comprobar")),NOT(AND(LEN(TRIM('DATOS'!F71&amp;""))&gt;0,TRIM('DATOS'!F71&amp;"")&lt;&gt;"Pendiente",TRIM('DATOS'!F71&amp;"")&lt;&gt;"Por confirmar",TRIM('DATOS'!F71&amp;"")&lt;&gt;"No consta",TRIM('DATOS'!F71&amp;"")&lt;&gt;"Desconocido",TRIM('DATOS'!F71&amp;"")&lt;&gt;"Sin confirmar",TRIM('DATOS'!F71&amp;"")&lt;&gt;"Por decidir",TRIM('DATOS'!F71&amp;"")&lt;&gt;"Por comprobar")),NOT(AND(LEN(TRIM('DATOS'!N71&amp;""))&gt;0,TRIM('DATOS'!N71&amp;"")&lt;&gt;"Pendiente",TRIM('DATOS'!N71&amp;"")&lt;&gt;"Por confirmar",TRIM('DATOS'!N71&amp;"")&lt;&gt;"No consta",TRIM('DATOS'!N71&amp;"")&lt;&gt;"Desconocido",TRIM('DATOS'!N71&amp;"")&lt;&gt;"Sin confirmar",TRIM('DATOS'!N71&amp;"")&lt;&gt;"Por decidir",TRIM('DATOS'!N71&amp;"")&lt;&gt;"Por comprobar")),NOT(Y71=1),W71&lt;&gt;1,X71&gt;1,NOT(OR(LEN(TRIM('DATOS'!K71&amp;""))=0,'DATOS'!K71="Sin valorar",'DATOS'!K71="Sin coste documentado",'DATOS'!K71="Incluido en otra partida",'DATOS'!K71="Por confirmar")),NOT(OR(LEN(TRIM('DATOS'!M71&amp;""))=0,'DATOS'!M71="Sí",'DATOS'!M71="No",'DATOS'!M71="Por confirmar")),NOT(OR(LEN(TRIM('DATOS'!O71&amp;""))=0,'DATOS'!O71="Comparamos",'DATOS'!O71="No existe",'DATOS'!O71="Por confirmar"))),2,IF(AND(OR('DATOS'!G71&lt;0,'DATOS'!H71&lt;0,'DATOS'!J71&lt;0),NOT(AND(LEN(TRIM('DATOS'!L71&amp;""))&gt;0,TRIM('DATOS'!L71&amp;"")&lt;&gt;"Pendiente",TRIM('DATOS'!L71&amp;"")&lt;&gt;"Por confirmar",TRIM('DATOS'!L71&amp;"")&lt;&gt;"No consta",TRIM('DATOS'!L71&amp;"")&lt;&gt;"Desconocido",TRIM('DATOS'!L71&amp;"")&lt;&gt;"Sin confirmar",TRIM('DATOS'!L71&amp;"")&lt;&gt;"Por decidir",TRIM('DATOS'!L71&amp;"")&lt;&gt;"Por comprobar"))),1,0))),2)</f>
      </c>
      <c r="P71" s="29">
        <f>IFERROR(IF(N71=0,"",IF(NOT(Y71=1),1,IF('REFERENCIAS'!$Q$8&lt;&gt;1,2,IF(ABS('DATOS'!J71-ROUND('DATOS'!G71*'DATOS'!H71,'REFERENCIAS'!$K$8))&gt;0.00000001,2,IF('DATOS'!O71="No existe",IF(LEN(TRIM('DATOS'!I71&amp;""))=0,0,2),IF('DATOS'!O71="Comparamos",IF(LEN(TRIM('DATOS'!I71&amp;""))=0,1,IF(ISNUMBER('DATOS'!I71),IF(ABS('DATOS'!H71-'DATOS'!I71)&gt;0.00000001,2,0),2)),1)))))),2)</f>
      </c>
      <c r="Q71" s="29">
        <f>IFERROR(IF(N71=0,"",IF(NOT(Y71=1),1,IF('DATOS'!K71="Sin valorar",2,IF('DATOS'!G71=0,1,IF(OR('DATOS'!H71=0,'DATOS'!J71=0),IF(AND(OR('DATOS'!K71="Sin coste documentado",'DATOS'!K71="Incluido en otra partida"),AND(LEN(TRIM('DATOS'!L71&amp;""))&gt;0,TRIM('DATOS'!L71&amp;"")&lt;&gt;"Pendiente",TRIM('DATOS'!L71&amp;"")&lt;&gt;"Por confirmar",TRIM('DATOS'!L71&amp;"")&lt;&gt;"No consta",TRIM('DATOS'!L71&amp;"")&lt;&gt;"Desconocido",TRIM('DATOS'!L71&amp;"")&lt;&gt;"Sin confirmar",TRIM('DATOS'!L71&amp;"")&lt;&gt;"Por decidir",TRIM('DATOS'!L71&amp;"")&lt;&gt;"Por comprobar")),0,1),0))))),2)</f>
      </c>
      <c r="R71" s="29">
        <f>IFERROR(IF(N71=0,"",IF(OR(NOT(AND(LEN(TRIM('DATOS'!D71&amp;""))&gt;0,TRIM('DATOS'!D71&amp;"")&lt;&gt;"Pendiente",TRIM('DATOS'!D71&amp;"")&lt;&gt;"Por confirmar",TRIM('DATOS'!D71&amp;"")&lt;&gt;"No consta",TRIM('DATOS'!D71&amp;"")&lt;&gt;"Desconocido",TRIM('DATOS'!D71&amp;"")&lt;&gt;"Sin confirmar",TRIM('DATOS'!D71&amp;"")&lt;&gt;"Por decidir",TRIM('DATOS'!D71&amp;"")&lt;&gt;"Por comprobar")),NOT(AND(LEN(TRIM('DATOS'!E71&amp;""))&gt;0,TRIM('DATOS'!E71&amp;"")&lt;&gt;"Pendiente",TRIM('DATOS'!E71&amp;"")&lt;&gt;"Por confirmar",TRIM('DATOS'!E71&amp;"")&lt;&gt;"No consta",TRIM('DATOS'!E71&amp;"")&lt;&gt;"Desconocido",TRIM('DATOS'!E71&amp;"")&lt;&gt;"Sin confirmar",TRIM('DATOS'!E71&amp;"")&lt;&gt;"Por decidir",TRIM('DATOS'!E71&amp;"")&lt;&gt;"Por comprobar"))),2,IF('DATOS'!M71="No",2,IF('DATOS'!M71="Sí",0,IF(OR('DATOS'!D71&lt;&gt;'DATOS'!E71,LEN('DATOS'!E71)&gt;300,RIGHT(TRIM('DATOS'!E71),3)="...",RIGHT(TRIM('DATOS'!E71),1)="…"),1,0))))),2)</f>
      </c>
      <c r="S71" s="29">
        <f>IFERROR(IF(N71=0,"",IF('REFERENCIAS'!$Q$8&lt;&gt;1,2,IF(NOT(Y71=1),1,IF(OR(ABS('DATOS'!G71-ROUND('DATOS'!G71,'REFERENCIAS'!$E$8))&gt;0.00000001,ABS('DATOS'!H71-ROUND('DATOS'!H71,'REFERENCIAS'!$H$8))&gt;0.00000001,ABS('DATOS'!J71-ROUND('DATOS'!J71,'REFERENCIAS'!$K$8))&gt;0.00000001,IF(ISNUMBER('DATOS'!I71),ABS('DATOS'!I71-ROUND('DATOS'!I71,'REFERENCIAS'!$H$8))&gt;0.00000001,FALSE)),1,0)))),2)</f>
      </c>
      <c r="T71" s="29">
        <f>IFERROR(IF(N71=0,"",IF(NOT(AND(LEN(TRIM('DATOS'!F71&amp;""))&gt;0,TRIM('DATOS'!F71&amp;"")&lt;&gt;"Pendiente",TRIM('DATOS'!F71&amp;"")&lt;&gt;"Por confirmar",TRIM('DATOS'!F71&amp;"")&lt;&gt;"No consta",TRIM('DATOS'!F71&amp;"")&lt;&gt;"Desconocido",TRIM('DATOS'!F71&amp;"")&lt;&gt;"Sin confirmar",TRIM('DATOS'!F71&amp;"")&lt;&gt;"Por decidir",TRIM('DATOS'!F71&amp;"")&lt;&gt;"Por comprobar")),2,IF(COUNTIFS('REFERENCIAS'!$T$15:$T$34,"ID:"&amp;SUBSTITUTE(SUBSTITUTE(SUBSTITUTE(SUBSTITUTE(UPPER(TRIM('DATOS'!F71&amp;"")),"!","!E"),"*","!A"),"?","!B"),"~","!C"),'REFERENCIAS'!$H$15:$H$34,"&lt;&gt;")&gt;0,0,1))),2)</f>
      </c>
      <c r="U71" s="29" t="str">
        <f>'DATOS'!R71</f>
        <v>ID:</v>
      </c>
      <c r="V71" s="29" t="str">
        <f>'DATOS'!S71</f>
        <v>ID:</v>
      </c>
      <c r="W71" s="29" t="n">
        <f>IF(N71=0,0,COUNTIFS('REFERENCIAS'!$R$15:$R$64,U71))</f>
        <v>0</v>
      </c>
      <c r="X71" s="29" t="n">
        <f>IF(N71=0,0,COUNTIFS('DATOS'!$R$10:$R$509,U71,'DATOS'!$S$10:$S$509,V71))</f>
        <v>0</v>
      </c>
      <c r="Y71" s="29" t="n">
        <f>IF(AND(ISNUMBER('DATOS'!G71),ISNUMBER('DATOS'!H71),ISNUMBER('DATOS'!J71)),1,0)</f>
        <v>0</v>
      </c>
    </row>
    <row r="72" ht="64" customHeight="1">
      <c r="B72" s="26">
        <f>IF(N72=1,63,"")</f>
      </c>
      <c r="C72" s="26">
        <f>IF(AND(N72=1,LEN(TRIM('DATOS'!B72&amp;""))&gt;0),'DATOS'!B72,"")</f>
      </c>
      <c r="D72" s="26">
        <f>IF(AND(N72=1,LEN(TRIM('DATOS'!C72&amp;""))&gt;0),'DATOS'!C72,"")</f>
      </c>
      <c r="E72" s="26">
        <f>IF(NOT(ISNUMBER(P72)),"",IF(P72=2,"ROJO",IF(P72=1,"ÁMBAR","VERDE")))</f>
      </c>
      <c r="F72" s="26">
        <f>IF(NOT(ISNUMBER(Q72)),"",IF(Q72=2,"ROJO",IF(Q72=1,"ÁMBAR","VERDE")))</f>
      </c>
      <c r="G72" s="26">
        <f>IF(NOT(ISNUMBER(R72)),"",IF(R72=2,"ROJO",IF(R72=1,"ÁMBAR","VERDE")))</f>
      </c>
      <c r="H72" s="26">
        <f>IF(NOT(ISNUMBER(S72)),"",IF(S72=2,"ROJO",IF(S72=1,"ÁMBAR","VERDE")))</f>
      </c>
      <c r="I72" s="26">
        <f>IF(NOT(ISNUMBER(T72)),"",IF(T72=2,"ROJO",IF(T72=1,"ÁMBAR","VERDE")))</f>
      </c>
      <c r="J72" s="26">
        <f>IF(NOT(ISNUMBER(O72)),"",IF(O72=2,"ROJO",IF(O72=1,"ÁMBAR","VERDE")))</f>
      </c>
      <c r="K72" s="26">
        <f>IFERROR(IF(AND(N72=1,LEN(TRIM('DATOS'!N72&amp;""))&gt;0),'DATOS'!N72,""),"Hay una entrada con error. Corregimos el dato antes de cerrar la comprobación.")</f>
      </c>
      <c r="L72" s="26">
        <f>IFERROR(IF(N72=0,"",IF(O72&gt;0,"Completamos datos, claves o motivo. ","")&amp;IF(P72&gt;0,"Cotejamos precios e importe. ","")&amp;IF(Q72&gt;0,"Aclaramos el cero. ","")&amp;IF(R72&gt;0,"Comprobamos el texto. ","")&amp;IF(S72&gt;0,"Revisamos decimales visibles. ","")&amp;IF(T72&gt;0,"Confirmamos la unidad.","")),"Hay una entrada con error. Corregimos el dato antes de cerrar la comprobación.")</f>
      </c>
      <c r="N72" s="29" t="n">
        <f>IF(COUNTA('DATOS'!B72:O72)&gt;0,1,0)</f>
        <v>0</v>
      </c>
      <c r="O72" s="29">
        <f>IFERROR(IF(N72=0,"",IF(OR(NOT(AND(LEN(TRIM('DATOS'!B72&amp;""))&gt;0,TRIM('DATOS'!B72&amp;"")&lt;&gt;"Pendiente",TRIM('DATOS'!B72&amp;"")&lt;&gt;"Por confirmar",TRIM('DATOS'!B72&amp;"")&lt;&gt;"No consta",TRIM('DATOS'!B72&amp;"")&lt;&gt;"Desconocido",TRIM('DATOS'!B72&amp;"")&lt;&gt;"Sin confirmar",TRIM('DATOS'!B72&amp;"")&lt;&gt;"Por decidir",TRIM('DATOS'!B72&amp;"")&lt;&gt;"Por comprobar")),NOT(AND(LEN(TRIM('DATOS'!C72&amp;""))&gt;0,TRIM('DATOS'!C72&amp;"")&lt;&gt;"Pendiente",TRIM('DATOS'!C72&amp;"")&lt;&gt;"Por confirmar",TRIM('DATOS'!C72&amp;"")&lt;&gt;"No consta",TRIM('DATOS'!C72&amp;"")&lt;&gt;"Desconocido",TRIM('DATOS'!C72&amp;"")&lt;&gt;"Sin confirmar",TRIM('DATOS'!C72&amp;"")&lt;&gt;"Por decidir",TRIM('DATOS'!C72&amp;"")&lt;&gt;"Por comprobar")),NOT(AND(LEN(TRIM('DATOS'!D72&amp;""))&gt;0,TRIM('DATOS'!D72&amp;"")&lt;&gt;"Pendiente",TRIM('DATOS'!D72&amp;"")&lt;&gt;"Por confirmar",TRIM('DATOS'!D72&amp;"")&lt;&gt;"No consta",TRIM('DATOS'!D72&amp;"")&lt;&gt;"Desconocido",TRIM('DATOS'!D72&amp;"")&lt;&gt;"Sin confirmar",TRIM('DATOS'!D72&amp;"")&lt;&gt;"Por decidir",TRIM('DATOS'!D72&amp;"")&lt;&gt;"Por comprobar")),NOT(AND(LEN(TRIM('DATOS'!E72&amp;""))&gt;0,TRIM('DATOS'!E72&amp;"")&lt;&gt;"Pendiente",TRIM('DATOS'!E72&amp;"")&lt;&gt;"Por confirmar",TRIM('DATOS'!E72&amp;"")&lt;&gt;"No consta",TRIM('DATOS'!E72&amp;"")&lt;&gt;"Desconocido",TRIM('DATOS'!E72&amp;"")&lt;&gt;"Sin confirmar",TRIM('DATOS'!E72&amp;"")&lt;&gt;"Por decidir",TRIM('DATOS'!E72&amp;"")&lt;&gt;"Por comprobar")),NOT(AND(LEN(TRIM('DATOS'!F72&amp;""))&gt;0,TRIM('DATOS'!F72&amp;"")&lt;&gt;"Pendiente",TRIM('DATOS'!F72&amp;"")&lt;&gt;"Por confirmar",TRIM('DATOS'!F72&amp;"")&lt;&gt;"No consta",TRIM('DATOS'!F72&amp;"")&lt;&gt;"Desconocido",TRIM('DATOS'!F72&amp;"")&lt;&gt;"Sin confirmar",TRIM('DATOS'!F72&amp;"")&lt;&gt;"Por decidir",TRIM('DATOS'!F72&amp;"")&lt;&gt;"Por comprobar")),NOT(AND(LEN(TRIM('DATOS'!N72&amp;""))&gt;0,TRIM('DATOS'!N72&amp;"")&lt;&gt;"Pendiente",TRIM('DATOS'!N72&amp;"")&lt;&gt;"Por confirmar",TRIM('DATOS'!N72&amp;"")&lt;&gt;"No consta",TRIM('DATOS'!N72&amp;"")&lt;&gt;"Desconocido",TRIM('DATOS'!N72&amp;"")&lt;&gt;"Sin confirmar",TRIM('DATOS'!N72&amp;"")&lt;&gt;"Por decidir",TRIM('DATOS'!N72&amp;"")&lt;&gt;"Por comprobar")),NOT(Y72=1),W72&lt;&gt;1,X72&gt;1,NOT(OR(LEN(TRIM('DATOS'!K72&amp;""))=0,'DATOS'!K72="Sin valorar",'DATOS'!K72="Sin coste documentado",'DATOS'!K72="Incluido en otra partida",'DATOS'!K72="Por confirmar")),NOT(OR(LEN(TRIM('DATOS'!M72&amp;""))=0,'DATOS'!M72="Sí",'DATOS'!M72="No",'DATOS'!M72="Por confirmar")),NOT(OR(LEN(TRIM('DATOS'!O72&amp;""))=0,'DATOS'!O72="Comparamos",'DATOS'!O72="No existe",'DATOS'!O72="Por confirmar"))),2,IF(AND(OR('DATOS'!G72&lt;0,'DATOS'!H72&lt;0,'DATOS'!J72&lt;0),NOT(AND(LEN(TRIM('DATOS'!L72&amp;""))&gt;0,TRIM('DATOS'!L72&amp;"")&lt;&gt;"Pendiente",TRIM('DATOS'!L72&amp;"")&lt;&gt;"Por confirmar",TRIM('DATOS'!L72&amp;"")&lt;&gt;"No consta",TRIM('DATOS'!L72&amp;"")&lt;&gt;"Desconocido",TRIM('DATOS'!L72&amp;"")&lt;&gt;"Sin confirmar",TRIM('DATOS'!L72&amp;"")&lt;&gt;"Por decidir",TRIM('DATOS'!L72&amp;"")&lt;&gt;"Por comprobar"))),1,0))),2)</f>
      </c>
      <c r="P72" s="29">
        <f>IFERROR(IF(N72=0,"",IF(NOT(Y72=1),1,IF('REFERENCIAS'!$Q$8&lt;&gt;1,2,IF(ABS('DATOS'!J72-ROUND('DATOS'!G72*'DATOS'!H72,'REFERENCIAS'!$K$8))&gt;0.00000001,2,IF('DATOS'!O72="No existe",IF(LEN(TRIM('DATOS'!I72&amp;""))=0,0,2),IF('DATOS'!O72="Comparamos",IF(LEN(TRIM('DATOS'!I72&amp;""))=0,1,IF(ISNUMBER('DATOS'!I72),IF(ABS('DATOS'!H72-'DATOS'!I72)&gt;0.00000001,2,0),2)),1)))))),2)</f>
      </c>
      <c r="Q72" s="29">
        <f>IFERROR(IF(N72=0,"",IF(NOT(Y72=1),1,IF('DATOS'!K72="Sin valorar",2,IF('DATOS'!G72=0,1,IF(OR('DATOS'!H72=0,'DATOS'!J72=0),IF(AND(OR('DATOS'!K72="Sin coste documentado",'DATOS'!K72="Incluido en otra partida"),AND(LEN(TRIM('DATOS'!L72&amp;""))&gt;0,TRIM('DATOS'!L72&amp;"")&lt;&gt;"Pendiente",TRIM('DATOS'!L72&amp;"")&lt;&gt;"Por confirmar",TRIM('DATOS'!L72&amp;"")&lt;&gt;"No consta",TRIM('DATOS'!L72&amp;"")&lt;&gt;"Desconocido",TRIM('DATOS'!L72&amp;"")&lt;&gt;"Sin confirmar",TRIM('DATOS'!L72&amp;"")&lt;&gt;"Por decidir",TRIM('DATOS'!L72&amp;"")&lt;&gt;"Por comprobar")),0,1),0))))),2)</f>
      </c>
      <c r="R72" s="29">
        <f>IFERROR(IF(N72=0,"",IF(OR(NOT(AND(LEN(TRIM('DATOS'!D72&amp;""))&gt;0,TRIM('DATOS'!D72&amp;"")&lt;&gt;"Pendiente",TRIM('DATOS'!D72&amp;"")&lt;&gt;"Por confirmar",TRIM('DATOS'!D72&amp;"")&lt;&gt;"No consta",TRIM('DATOS'!D72&amp;"")&lt;&gt;"Desconocido",TRIM('DATOS'!D72&amp;"")&lt;&gt;"Sin confirmar",TRIM('DATOS'!D72&amp;"")&lt;&gt;"Por decidir",TRIM('DATOS'!D72&amp;"")&lt;&gt;"Por comprobar")),NOT(AND(LEN(TRIM('DATOS'!E72&amp;""))&gt;0,TRIM('DATOS'!E72&amp;"")&lt;&gt;"Pendiente",TRIM('DATOS'!E72&amp;"")&lt;&gt;"Por confirmar",TRIM('DATOS'!E72&amp;"")&lt;&gt;"No consta",TRIM('DATOS'!E72&amp;"")&lt;&gt;"Desconocido",TRIM('DATOS'!E72&amp;"")&lt;&gt;"Sin confirmar",TRIM('DATOS'!E72&amp;"")&lt;&gt;"Por decidir",TRIM('DATOS'!E72&amp;"")&lt;&gt;"Por comprobar"))),2,IF('DATOS'!M72="No",2,IF('DATOS'!M72="Sí",0,IF(OR('DATOS'!D72&lt;&gt;'DATOS'!E72,LEN('DATOS'!E72)&gt;300,RIGHT(TRIM('DATOS'!E72),3)="...",RIGHT(TRIM('DATOS'!E72),1)="…"),1,0))))),2)</f>
      </c>
      <c r="S72" s="29">
        <f>IFERROR(IF(N72=0,"",IF('REFERENCIAS'!$Q$8&lt;&gt;1,2,IF(NOT(Y72=1),1,IF(OR(ABS('DATOS'!G72-ROUND('DATOS'!G72,'REFERENCIAS'!$E$8))&gt;0.00000001,ABS('DATOS'!H72-ROUND('DATOS'!H72,'REFERENCIAS'!$H$8))&gt;0.00000001,ABS('DATOS'!J72-ROUND('DATOS'!J72,'REFERENCIAS'!$K$8))&gt;0.00000001,IF(ISNUMBER('DATOS'!I72),ABS('DATOS'!I72-ROUND('DATOS'!I72,'REFERENCIAS'!$H$8))&gt;0.00000001,FALSE)),1,0)))),2)</f>
      </c>
      <c r="T72" s="29">
        <f>IFERROR(IF(N72=0,"",IF(NOT(AND(LEN(TRIM('DATOS'!F72&amp;""))&gt;0,TRIM('DATOS'!F72&amp;"")&lt;&gt;"Pendiente",TRIM('DATOS'!F72&amp;"")&lt;&gt;"Por confirmar",TRIM('DATOS'!F72&amp;"")&lt;&gt;"No consta",TRIM('DATOS'!F72&amp;"")&lt;&gt;"Desconocido",TRIM('DATOS'!F72&amp;"")&lt;&gt;"Sin confirmar",TRIM('DATOS'!F72&amp;"")&lt;&gt;"Por decidir",TRIM('DATOS'!F72&amp;"")&lt;&gt;"Por comprobar")),2,IF(COUNTIFS('REFERENCIAS'!$T$15:$T$34,"ID:"&amp;SUBSTITUTE(SUBSTITUTE(SUBSTITUTE(SUBSTITUTE(UPPER(TRIM('DATOS'!F72&amp;"")),"!","!E"),"*","!A"),"?","!B"),"~","!C"),'REFERENCIAS'!$H$15:$H$34,"&lt;&gt;")&gt;0,0,1))),2)</f>
      </c>
      <c r="U72" s="29" t="str">
        <f>'DATOS'!R72</f>
        <v>ID:</v>
      </c>
      <c r="V72" s="29" t="str">
        <f>'DATOS'!S72</f>
        <v>ID:</v>
      </c>
      <c r="W72" s="29" t="n">
        <f>IF(N72=0,0,COUNTIFS('REFERENCIAS'!$R$15:$R$64,U72))</f>
        <v>0</v>
      </c>
      <c r="X72" s="29" t="n">
        <f>IF(N72=0,0,COUNTIFS('DATOS'!$R$10:$R$509,U72,'DATOS'!$S$10:$S$509,V72))</f>
        <v>0</v>
      </c>
      <c r="Y72" s="29" t="n">
        <f>IF(AND(ISNUMBER('DATOS'!G72),ISNUMBER('DATOS'!H72),ISNUMBER('DATOS'!J72)),1,0)</f>
        <v>0</v>
      </c>
    </row>
    <row r="73" ht="64" customHeight="1">
      <c r="B73" s="26">
        <f>IF(N73=1,64,"")</f>
      </c>
      <c r="C73" s="26">
        <f>IF(AND(N73=1,LEN(TRIM('DATOS'!B73&amp;""))&gt;0),'DATOS'!B73,"")</f>
      </c>
      <c r="D73" s="26">
        <f>IF(AND(N73=1,LEN(TRIM('DATOS'!C73&amp;""))&gt;0),'DATOS'!C73,"")</f>
      </c>
      <c r="E73" s="26">
        <f>IF(NOT(ISNUMBER(P73)),"",IF(P73=2,"ROJO",IF(P73=1,"ÁMBAR","VERDE")))</f>
      </c>
      <c r="F73" s="26">
        <f>IF(NOT(ISNUMBER(Q73)),"",IF(Q73=2,"ROJO",IF(Q73=1,"ÁMBAR","VERDE")))</f>
      </c>
      <c r="G73" s="26">
        <f>IF(NOT(ISNUMBER(R73)),"",IF(R73=2,"ROJO",IF(R73=1,"ÁMBAR","VERDE")))</f>
      </c>
      <c r="H73" s="26">
        <f>IF(NOT(ISNUMBER(S73)),"",IF(S73=2,"ROJO",IF(S73=1,"ÁMBAR","VERDE")))</f>
      </c>
      <c r="I73" s="26">
        <f>IF(NOT(ISNUMBER(T73)),"",IF(T73=2,"ROJO",IF(T73=1,"ÁMBAR","VERDE")))</f>
      </c>
      <c r="J73" s="26">
        <f>IF(NOT(ISNUMBER(O73)),"",IF(O73=2,"ROJO",IF(O73=1,"ÁMBAR","VERDE")))</f>
      </c>
      <c r="K73" s="26">
        <f>IFERROR(IF(AND(N73=1,LEN(TRIM('DATOS'!N73&amp;""))&gt;0),'DATOS'!N73,""),"Hay una entrada con error. Corregimos el dato antes de cerrar la comprobación.")</f>
      </c>
      <c r="L73" s="26">
        <f>IFERROR(IF(N73=0,"",IF(O73&gt;0,"Completamos datos, claves o motivo. ","")&amp;IF(P73&gt;0,"Cotejamos precios e importe. ","")&amp;IF(Q73&gt;0,"Aclaramos el cero. ","")&amp;IF(R73&gt;0,"Comprobamos el texto. ","")&amp;IF(S73&gt;0,"Revisamos decimales visibles. ","")&amp;IF(T73&gt;0,"Confirmamos la unidad.","")),"Hay una entrada con error. Corregimos el dato antes de cerrar la comprobación.")</f>
      </c>
      <c r="N73" s="29" t="n">
        <f>IF(COUNTA('DATOS'!B73:O73)&gt;0,1,0)</f>
        <v>0</v>
      </c>
      <c r="O73" s="29">
        <f>IFERROR(IF(N73=0,"",IF(OR(NOT(AND(LEN(TRIM('DATOS'!B73&amp;""))&gt;0,TRIM('DATOS'!B73&amp;"")&lt;&gt;"Pendiente",TRIM('DATOS'!B73&amp;"")&lt;&gt;"Por confirmar",TRIM('DATOS'!B73&amp;"")&lt;&gt;"No consta",TRIM('DATOS'!B73&amp;"")&lt;&gt;"Desconocido",TRIM('DATOS'!B73&amp;"")&lt;&gt;"Sin confirmar",TRIM('DATOS'!B73&amp;"")&lt;&gt;"Por decidir",TRIM('DATOS'!B73&amp;"")&lt;&gt;"Por comprobar")),NOT(AND(LEN(TRIM('DATOS'!C73&amp;""))&gt;0,TRIM('DATOS'!C73&amp;"")&lt;&gt;"Pendiente",TRIM('DATOS'!C73&amp;"")&lt;&gt;"Por confirmar",TRIM('DATOS'!C73&amp;"")&lt;&gt;"No consta",TRIM('DATOS'!C73&amp;"")&lt;&gt;"Desconocido",TRIM('DATOS'!C73&amp;"")&lt;&gt;"Sin confirmar",TRIM('DATOS'!C73&amp;"")&lt;&gt;"Por decidir",TRIM('DATOS'!C73&amp;"")&lt;&gt;"Por comprobar")),NOT(AND(LEN(TRIM('DATOS'!D73&amp;""))&gt;0,TRIM('DATOS'!D73&amp;"")&lt;&gt;"Pendiente",TRIM('DATOS'!D73&amp;"")&lt;&gt;"Por confirmar",TRIM('DATOS'!D73&amp;"")&lt;&gt;"No consta",TRIM('DATOS'!D73&amp;"")&lt;&gt;"Desconocido",TRIM('DATOS'!D73&amp;"")&lt;&gt;"Sin confirmar",TRIM('DATOS'!D73&amp;"")&lt;&gt;"Por decidir",TRIM('DATOS'!D73&amp;"")&lt;&gt;"Por comprobar")),NOT(AND(LEN(TRIM('DATOS'!E73&amp;""))&gt;0,TRIM('DATOS'!E73&amp;"")&lt;&gt;"Pendiente",TRIM('DATOS'!E73&amp;"")&lt;&gt;"Por confirmar",TRIM('DATOS'!E73&amp;"")&lt;&gt;"No consta",TRIM('DATOS'!E73&amp;"")&lt;&gt;"Desconocido",TRIM('DATOS'!E73&amp;"")&lt;&gt;"Sin confirmar",TRIM('DATOS'!E73&amp;"")&lt;&gt;"Por decidir",TRIM('DATOS'!E73&amp;"")&lt;&gt;"Por comprobar")),NOT(AND(LEN(TRIM('DATOS'!F73&amp;""))&gt;0,TRIM('DATOS'!F73&amp;"")&lt;&gt;"Pendiente",TRIM('DATOS'!F73&amp;"")&lt;&gt;"Por confirmar",TRIM('DATOS'!F73&amp;"")&lt;&gt;"No consta",TRIM('DATOS'!F73&amp;"")&lt;&gt;"Desconocido",TRIM('DATOS'!F73&amp;"")&lt;&gt;"Sin confirmar",TRIM('DATOS'!F73&amp;"")&lt;&gt;"Por decidir",TRIM('DATOS'!F73&amp;"")&lt;&gt;"Por comprobar")),NOT(AND(LEN(TRIM('DATOS'!N73&amp;""))&gt;0,TRIM('DATOS'!N73&amp;"")&lt;&gt;"Pendiente",TRIM('DATOS'!N73&amp;"")&lt;&gt;"Por confirmar",TRIM('DATOS'!N73&amp;"")&lt;&gt;"No consta",TRIM('DATOS'!N73&amp;"")&lt;&gt;"Desconocido",TRIM('DATOS'!N73&amp;"")&lt;&gt;"Sin confirmar",TRIM('DATOS'!N73&amp;"")&lt;&gt;"Por decidir",TRIM('DATOS'!N73&amp;"")&lt;&gt;"Por comprobar")),NOT(Y73=1),W73&lt;&gt;1,X73&gt;1,NOT(OR(LEN(TRIM('DATOS'!K73&amp;""))=0,'DATOS'!K73="Sin valorar",'DATOS'!K73="Sin coste documentado",'DATOS'!K73="Incluido en otra partida",'DATOS'!K73="Por confirmar")),NOT(OR(LEN(TRIM('DATOS'!M73&amp;""))=0,'DATOS'!M73="Sí",'DATOS'!M73="No",'DATOS'!M73="Por confirmar")),NOT(OR(LEN(TRIM('DATOS'!O73&amp;""))=0,'DATOS'!O73="Comparamos",'DATOS'!O73="No existe",'DATOS'!O73="Por confirmar"))),2,IF(AND(OR('DATOS'!G73&lt;0,'DATOS'!H73&lt;0,'DATOS'!J73&lt;0),NOT(AND(LEN(TRIM('DATOS'!L73&amp;""))&gt;0,TRIM('DATOS'!L73&amp;"")&lt;&gt;"Pendiente",TRIM('DATOS'!L73&amp;"")&lt;&gt;"Por confirmar",TRIM('DATOS'!L73&amp;"")&lt;&gt;"No consta",TRIM('DATOS'!L73&amp;"")&lt;&gt;"Desconocido",TRIM('DATOS'!L73&amp;"")&lt;&gt;"Sin confirmar",TRIM('DATOS'!L73&amp;"")&lt;&gt;"Por decidir",TRIM('DATOS'!L73&amp;"")&lt;&gt;"Por comprobar"))),1,0))),2)</f>
      </c>
      <c r="P73" s="29">
        <f>IFERROR(IF(N73=0,"",IF(NOT(Y73=1),1,IF('REFERENCIAS'!$Q$8&lt;&gt;1,2,IF(ABS('DATOS'!J73-ROUND('DATOS'!G73*'DATOS'!H73,'REFERENCIAS'!$K$8))&gt;0.00000001,2,IF('DATOS'!O73="No existe",IF(LEN(TRIM('DATOS'!I73&amp;""))=0,0,2),IF('DATOS'!O73="Comparamos",IF(LEN(TRIM('DATOS'!I73&amp;""))=0,1,IF(ISNUMBER('DATOS'!I73),IF(ABS('DATOS'!H73-'DATOS'!I73)&gt;0.00000001,2,0),2)),1)))))),2)</f>
      </c>
      <c r="Q73" s="29">
        <f>IFERROR(IF(N73=0,"",IF(NOT(Y73=1),1,IF('DATOS'!K73="Sin valorar",2,IF('DATOS'!G73=0,1,IF(OR('DATOS'!H73=0,'DATOS'!J73=0),IF(AND(OR('DATOS'!K73="Sin coste documentado",'DATOS'!K73="Incluido en otra partida"),AND(LEN(TRIM('DATOS'!L73&amp;""))&gt;0,TRIM('DATOS'!L73&amp;"")&lt;&gt;"Pendiente",TRIM('DATOS'!L73&amp;"")&lt;&gt;"Por confirmar",TRIM('DATOS'!L73&amp;"")&lt;&gt;"No consta",TRIM('DATOS'!L73&amp;"")&lt;&gt;"Desconocido",TRIM('DATOS'!L73&amp;"")&lt;&gt;"Sin confirmar",TRIM('DATOS'!L73&amp;"")&lt;&gt;"Por decidir",TRIM('DATOS'!L73&amp;"")&lt;&gt;"Por comprobar")),0,1),0))))),2)</f>
      </c>
      <c r="R73" s="29">
        <f>IFERROR(IF(N73=0,"",IF(OR(NOT(AND(LEN(TRIM('DATOS'!D73&amp;""))&gt;0,TRIM('DATOS'!D73&amp;"")&lt;&gt;"Pendiente",TRIM('DATOS'!D73&amp;"")&lt;&gt;"Por confirmar",TRIM('DATOS'!D73&amp;"")&lt;&gt;"No consta",TRIM('DATOS'!D73&amp;"")&lt;&gt;"Desconocido",TRIM('DATOS'!D73&amp;"")&lt;&gt;"Sin confirmar",TRIM('DATOS'!D73&amp;"")&lt;&gt;"Por decidir",TRIM('DATOS'!D73&amp;"")&lt;&gt;"Por comprobar")),NOT(AND(LEN(TRIM('DATOS'!E73&amp;""))&gt;0,TRIM('DATOS'!E73&amp;"")&lt;&gt;"Pendiente",TRIM('DATOS'!E73&amp;"")&lt;&gt;"Por confirmar",TRIM('DATOS'!E73&amp;"")&lt;&gt;"No consta",TRIM('DATOS'!E73&amp;"")&lt;&gt;"Desconocido",TRIM('DATOS'!E73&amp;"")&lt;&gt;"Sin confirmar",TRIM('DATOS'!E73&amp;"")&lt;&gt;"Por decidir",TRIM('DATOS'!E73&amp;"")&lt;&gt;"Por comprobar"))),2,IF('DATOS'!M73="No",2,IF('DATOS'!M73="Sí",0,IF(OR('DATOS'!D73&lt;&gt;'DATOS'!E73,LEN('DATOS'!E73)&gt;300,RIGHT(TRIM('DATOS'!E73),3)="...",RIGHT(TRIM('DATOS'!E73),1)="…"),1,0))))),2)</f>
      </c>
      <c r="S73" s="29">
        <f>IFERROR(IF(N73=0,"",IF('REFERENCIAS'!$Q$8&lt;&gt;1,2,IF(NOT(Y73=1),1,IF(OR(ABS('DATOS'!G73-ROUND('DATOS'!G73,'REFERENCIAS'!$E$8))&gt;0.00000001,ABS('DATOS'!H73-ROUND('DATOS'!H73,'REFERENCIAS'!$H$8))&gt;0.00000001,ABS('DATOS'!J73-ROUND('DATOS'!J73,'REFERENCIAS'!$K$8))&gt;0.00000001,IF(ISNUMBER('DATOS'!I73),ABS('DATOS'!I73-ROUND('DATOS'!I73,'REFERENCIAS'!$H$8))&gt;0.00000001,FALSE)),1,0)))),2)</f>
      </c>
      <c r="T73" s="29">
        <f>IFERROR(IF(N73=0,"",IF(NOT(AND(LEN(TRIM('DATOS'!F73&amp;""))&gt;0,TRIM('DATOS'!F73&amp;"")&lt;&gt;"Pendiente",TRIM('DATOS'!F73&amp;"")&lt;&gt;"Por confirmar",TRIM('DATOS'!F73&amp;"")&lt;&gt;"No consta",TRIM('DATOS'!F73&amp;"")&lt;&gt;"Desconocido",TRIM('DATOS'!F73&amp;"")&lt;&gt;"Sin confirmar",TRIM('DATOS'!F73&amp;"")&lt;&gt;"Por decidir",TRIM('DATOS'!F73&amp;"")&lt;&gt;"Por comprobar")),2,IF(COUNTIFS('REFERENCIAS'!$T$15:$T$34,"ID:"&amp;SUBSTITUTE(SUBSTITUTE(SUBSTITUTE(SUBSTITUTE(UPPER(TRIM('DATOS'!F73&amp;"")),"!","!E"),"*","!A"),"?","!B"),"~","!C"),'REFERENCIAS'!$H$15:$H$34,"&lt;&gt;")&gt;0,0,1))),2)</f>
      </c>
      <c r="U73" s="29" t="str">
        <f>'DATOS'!R73</f>
        <v>ID:</v>
      </c>
      <c r="V73" s="29" t="str">
        <f>'DATOS'!S73</f>
        <v>ID:</v>
      </c>
      <c r="W73" s="29" t="n">
        <f>IF(N73=0,0,COUNTIFS('REFERENCIAS'!$R$15:$R$64,U73))</f>
        <v>0</v>
      </c>
      <c r="X73" s="29" t="n">
        <f>IF(N73=0,0,COUNTIFS('DATOS'!$R$10:$R$509,U73,'DATOS'!$S$10:$S$509,V73))</f>
        <v>0</v>
      </c>
      <c r="Y73" s="29" t="n">
        <f>IF(AND(ISNUMBER('DATOS'!G73),ISNUMBER('DATOS'!H73),ISNUMBER('DATOS'!J73)),1,0)</f>
        <v>0</v>
      </c>
    </row>
    <row r="74" ht="64" customHeight="1">
      <c r="B74" s="26">
        <f>IF(N74=1,65,"")</f>
      </c>
      <c r="C74" s="26">
        <f>IF(AND(N74=1,LEN(TRIM('DATOS'!B74&amp;""))&gt;0),'DATOS'!B74,"")</f>
      </c>
      <c r="D74" s="26">
        <f>IF(AND(N74=1,LEN(TRIM('DATOS'!C74&amp;""))&gt;0),'DATOS'!C74,"")</f>
      </c>
      <c r="E74" s="26">
        <f>IF(NOT(ISNUMBER(P74)),"",IF(P74=2,"ROJO",IF(P74=1,"ÁMBAR","VERDE")))</f>
      </c>
      <c r="F74" s="26">
        <f>IF(NOT(ISNUMBER(Q74)),"",IF(Q74=2,"ROJO",IF(Q74=1,"ÁMBAR","VERDE")))</f>
      </c>
      <c r="G74" s="26">
        <f>IF(NOT(ISNUMBER(R74)),"",IF(R74=2,"ROJO",IF(R74=1,"ÁMBAR","VERDE")))</f>
      </c>
      <c r="H74" s="26">
        <f>IF(NOT(ISNUMBER(S74)),"",IF(S74=2,"ROJO",IF(S74=1,"ÁMBAR","VERDE")))</f>
      </c>
      <c r="I74" s="26">
        <f>IF(NOT(ISNUMBER(T74)),"",IF(T74=2,"ROJO",IF(T74=1,"ÁMBAR","VERDE")))</f>
      </c>
      <c r="J74" s="26">
        <f>IF(NOT(ISNUMBER(O74)),"",IF(O74=2,"ROJO",IF(O74=1,"ÁMBAR","VERDE")))</f>
      </c>
      <c r="K74" s="26">
        <f>IFERROR(IF(AND(N74=1,LEN(TRIM('DATOS'!N74&amp;""))&gt;0),'DATOS'!N74,""),"Hay una entrada con error. Corregimos el dato antes de cerrar la comprobación.")</f>
      </c>
      <c r="L74" s="26">
        <f>IFERROR(IF(N74=0,"",IF(O74&gt;0,"Completamos datos, claves o motivo. ","")&amp;IF(P74&gt;0,"Cotejamos precios e importe. ","")&amp;IF(Q74&gt;0,"Aclaramos el cero. ","")&amp;IF(R74&gt;0,"Comprobamos el texto. ","")&amp;IF(S74&gt;0,"Revisamos decimales visibles. ","")&amp;IF(T74&gt;0,"Confirmamos la unidad.","")),"Hay una entrada con error. Corregimos el dato antes de cerrar la comprobación.")</f>
      </c>
      <c r="N74" s="29" t="n">
        <f>IF(COUNTA('DATOS'!B74:O74)&gt;0,1,0)</f>
        <v>0</v>
      </c>
      <c r="O74" s="29">
        <f>IFERROR(IF(N74=0,"",IF(OR(NOT(AND(LEN(TRIM('DATOS'!B74&amp;""))&gt;0,TRIM('DATOS'!B74&amp;"")&lt;&gt;"Pendiente",TRIM('DATOS'!B74&amp;"")&lt;&gt;"Por confirmar",TRIM('DATOS'!B74&amp;"")&lt;&gt;"No consta",TRIM('DATOS'!B74&amp;"")&lt;&gt;"Desconocido",TRIM('DATOS'!B74&amp;"")&lt;&gt;"Sin confirmar",TRIM('DATOS'!B74&amp;"")&lt;&gt;"Por decidir",TRIM('DATOS'!B74&amp;"")&lt;&gt;"Por comprobar")),NOT(AND(LEN(TRIM('DATOS'!C74&amp;""))&gt;0,TRIM('DATOS'!C74&amp;"")&lt;&gt;"Pendiente",TRIM('DATOS'!C74&amp;"")&lt;&gt;"Por confirmar",TRIM('DATOS'!C74&amp;"")&lt;&gt;"No consta",TRIM('DATOS'!C74&amp;"")&lt;&gt;"Desconocido",TRIM('DATOS'!C74&amp;"")&lt;&gt;"Sin confirmar",TRIM('DATOS'!C74&amp;"")&lt;&gt;"Por decidir",TRIM('DATOS'!C74&amp;"")&lt;&gt;"Por comprobar")),NOT(AND(LEN(TRIM('DATOS'!D74&amp;""))&gt;0,TRIM('DATOS'!D74&amp;"")&lt;&gt;"Pendiente",TRIM('DATOS'!D74&amp;"")&lt;&gt;"Por confirmar",TRIM('DATOS'!D74&amp;"")&lt;&gt;"No consta",TRIM('DATOS'!D74&amp;"")&lt;&gt;"Desconocido",TRIM('DATOS'!D74&amp;"")&lt;&gt;"Sin confirmar",TRIM('DATOS'!D74&amp;"")&lt;&gt;"Por decidir",TRIM('DATOS'!D74&amp;"")&lt;&gt;"Por comprobar")),NOT(AND(LEN(TRIM('DATOS'!E74&amp;""))&gt;0,TRIM('DATOS'!E74&amp;"")&lt;&gt;"Pendiente",TRIM('DATOS'!E74&amp;"")&lt;&gt;"Por confirmar",TRIM('DATOS'!E74&amp;"")&lt;&gt;"No consta",TRIM('DATOS'!E74&amp;"")&lt;&gt;"Desconocido",TRIM('DATOS'!E74&amp;"")&lt;&gt;"Sin confirmar",TRIM('DATOS'!E74&amp;"")&lt;&gt;"Por decidir",TRIM('DATOS'!E74&amp;"")&lt;&gt;"Por comprobar")),NOT(AND(LEN(TRIM('DATOS'!F74&amp;""))&gt;0,TRIM('DATOS'!F74&amp;"")&lt;&gt;"Pendiente",TRIM('DATOS'!F74&amp;"")&lt;&gt;"Por confirmar",TRIM('DATOS'!F74&amp;"")&lt;&gt;"No consta",TRIM('DATOS'!F74&amp;"")&lt;&gt;"Desconocido",TRIM('DATOS'!F74&amp;"")&lt;&gt;"Sin confirmar",TRIM('DATOS'!F74&amp;"")&lt;&gt;"Por decidir",TRIM('DATOS'!F74&amp;"")&lt;&gt;"Por comprobar")),NOT(AND(LEN(TRIM('DATOS'!N74&amp;""))&gt;0,TRIM('DATOS'!N74&amp;"")&lt;&gt;"Pendiente",TRIM('DATOS'!N74&amp;"")&lt;&gt;"Por confirmar",TRIM('DATOS'!N74&amp;"")&lt;&gt;"No consta",TRIM('DATOS'!N74&amp;"")&lt;&gt;"Desconocido",TRIM('DATOS'!N74&amp;"")&lt;&gt;"Sin confirmar",TRIM('DATOS'!N74&amp;"")&lt;&gt;"Por decidir",TRIM('DATOS'!N74&amp;"")&lt;&gt;"Por comprobar")),NOT(Y74=1),W74&lt;&gt;1,X74&gt;1,NOT(OR(LEN(TRIM('DATOS'!K74&amp;""))=0,'DATOS'!K74="Sin valorar",'DATOS'!K74="Sin coste documentado",'DATOS'!K74="Incluido en otra partida",'DATOS'!K74="Por confirmar")),NOT(OR(LEN(TRIM('DATOS'!M74&amp;""))=0,'DATOS'!M74="Sí",'DATOS'!M74="No",'DATOS'!M74="Por confirmar")),NOT(OR(LEN(TRIM('DATOS'!O74&amp;""))=0,'DATOS'!O74="Comparamos",'DATOS'!O74="No existe",'DATOS'!O74="Por confirmar"))),2,IF(AND(OR('DATOS'!G74&lt;0,'DATOS'!H74&lt;0,'DATOS'!J74&lt;0),NOT(AND(LEN(TRIM('DATOS'!L74&amp;""))&gt;0,TRIM('DATOS'!L74&amp;"")&lt;&gt;"Pendiente",TRIM('DATOS'!L74&amp;"")&lt;&gt;"Por confirmar",TRIM('DATOS'!L74&amp;"")&lt;&gt;"No consta",TRIM('DATOS'!L74&amp;"")&lt;&gt;"Desconocido",TRIM('DATOS'!L74&amp;"")&lt;&gt;"Sin confirmar",TRIM('DATOS'!L74&amp;"")&lt;&gt;"Por decidir",TRIM('DATOS'!L74&amp;"")&lt;&gt;"Por comprobar"))),1,0))),2)</f>
      </c>
      <c r="P74" s="29">
        <f>IFERROR(IF(N74=0,"",IF(NOT(Y74=1),1,IF('REFERENCIAS'!$Q$8&lt;&gt;1,2,IF(ABS('DATOS'!J74-ROUND('DATOS'!G74*'DATOS'!H74,'REFERENCIAS'!$K$8))&gt;0.00000001,2,IF('DATOS'!O74="No existe",IF(LEN(TRIM('DATOS'!I74&amp;""))=0,0,2),IF('DATOS'!O74="Comparamos",IF(LEN(TRIM('DATOS'!I74&amp;""))=0,1,IF(ISNUMBER('DATOS'!I74),IF(ABS('DATOS'!H74-'DATOS'!I74)&gt;0.00000001,2,0),2)),1)))))),2)</f>
      </c>
      <c r="Q74" s="29">
        <f>IFERROR(IF(N74=0,"",IF(NOT(Y74=1),1,IF('DATOS'!K74="Sin valorar",2,IF('DATOS'!G74=0,1,IF(OR('DATOS'!H74=0,'DATOS'!J74=0),IF(AND(OR('DATOS'!K74="Sin coste documentado",'DATOS'!K74="Incluido en otra partida"),AND(LEN(TRIM('DATOS'!L74&amp;""))&gt;0,TRIM('DATOS'!L74&amp;"")&lt;&gt;"Pendiente",TRIM('DATOS'!L74&amp;"")&lt;&gt;"Por confirmar",TRIM('DATOS'!L74&amp;"")&lt;&gt;"No consta",TRIM('DATOS'!L74&amp;"")&lt;&gt;"Desconocido",TRIM('DATOS'!L74&amp;"")&lt;&gt;"Sin confirmar",TRIM('DATOS'!L74&amp;"")&lt;&gt;"Por decidir",TRIM('DATOS'!L74&amp;"")&lt;&gt;"Por comprobar")),0,1),0))))),2)</f>
      </c>
      <c r="R74" s="29">
        <f>IFERROR(IF(N74=0,"",IF(OR(NOT(AND(LEN(TRIM('DATOS'!D74&amp;""))&gt;0,TRIM('DATOS'!D74&amp;"")&lt;&gt;"Pendiente",TRIM('DATOS'!D74&amp;"")&lt;&gt;"Por confirmar",TRIM('DATOS'!D74&amp;"")&lt;&gt;"No consta",TRIM('DATOS'!D74&amp;"")&lt;&gt;"Desconocido",TRIM('DATOS'!D74&amp;"")&lt;&gt;"Sin confirmar",TRIM('DATOS'!D74&amp;"")&lt;&gt;"Por decidir",TRIM('DATOS'!D74&amp;"")&lt;&gt;"Por comprobar")),NOT(AND(LEN(TRIM('DATOS'!E74&amp;""))&gt;0,TRIM('DATOS'!E74&amp;"")&lt;&gt;"Pendiente",TRIM('DATOS'!E74&amp;"")&lt;&gt;"Por confirmar",TRIM('DATOS'!E74&amp;"")&lt;&gt;"No consta",TRIM('DATOS'!E74&amp;"")&lt;&gt;"Desconocido",TRIM('DATOS'!E74&amp;"")&lt;&gt;"Sin confirmar",TRIM('DATOS'!E74&amp;"")&lt;&gt;"Por decidir",TRIM('DATOS'!E74&amp;"")&lt;&gt;"Por comprobar"))),2,IF('DATOS'!M74="No",2,IF('DATOS'!M74="Sí",0,IF(OR('DATOS'!D74&lt;&gt;'DATOS'!E74,LEN('DATOS'!E74)&gt;300,RIGHT(TRIM('DATOS'!E74),3)="...",RIGHT(TRIM('DATOS'!E74),1)="…"),1,0))))),2)</f>
      </c>
      <c r="S74" s="29">
        <f>IFERROR(IF(N74=0,"",IF('REFERENCIAS'!$Q$8&lt;&gt;1,2,IF(NOT(Y74=1),1,IF(OR(ABS('DATOS'!G74-ROUND('DATOS'!G74,'REFERENCIAS'!$E$8))&gt;0.00000001,ABS('DATOS'!H74-ROUND('DATOS'!H74,'REFERENCIAS'!$H$8))&gt;0.00000001,ABS('DATOS'!J74-ROUND('DATOS'!J74,'REFERENCIAS'!$K$8))&gt;0.00000001,IF(ISNUMBER('DATOS'!I74),ABS('DATOS'!I74-ROUND('DATOS'!I74,'REFERENCIAS'!$H$8))&gt;0.00000001,FALSE)),1,0)))),2)</f>
      </c>
      <c r="T74" s="29">
        <f>IFERROR(IF(N74=0,"",IF(NOT(AND(LEN(TRIM('DATOS'!F74&amp;""))&gt;0,TRIM('DATOS'!F74&amp;"")&lt;&gt;"Pendiente",TRIM('DATOS'!F74&amp;"")&lt;&gt;"Por confirmar",TRIM('DATOS'!F74&amp;"")&lt;&gt;"No consta",TRIM('DATOS'!F74&amp;"")&lt;&gt;"Desconocido",TRIM('DATOS'!F74&amp;"")&lt;&gt;"Sin confirmar",TRIM('DATOS'!F74&amp;"")&lt;&gt;"Por decidir",TRIM('DATOS'!F74&amp;"")&lt;&gt;"Por comprobar")),2,IF(COUNTIFS('REFERENCIAS'!$T$15:$T$34,"ID:"&amp;SUBSTITUTE(SUBSTITUTE(SUBSTITUTE(SUBSTITUTE(UPPER(TRIM('DATOS'!F74&amp;"")),"!","!E"),"*","!A"),"?","!B"),"~","!C"),'REFERENCIAS'!$H$15:$H$34,"&lt;&gt;")&gt;0,0,1))),2)</f>
      </c>
      <c r="U74" s="29" t="str">
        <f>'DATOS'!R74</f>
        <v>ID:</v>
      </c>
      <c r="V74" s="29" t="str">
        <f>'DATOS'!S74</f>
        <v>ID:</v>
      </c>
      <c r="W74" s="29" t="n">
        <f>IF(N74=0,0,COUNTIFS('REFERENCIAS'!$R$15:$R$64,U74))</f>
        <v>0</v>
      </c>
      <c r="X74" s="29" t="n">
        <f>IF(N74=0,0,COUNTIFS('DATOS'!$R$10:$R$509,U74,'DATOS'!$S$10:$S$509,V74))</f>
        <v>0</v>
      </c>
      <c r="Y74" s="29" t="n">
        <f>IF(AND(ISNUMBER('DATOS'!G74),ISNUMBER('DATOS'!H74),ISNUMBER('DATOS'!J74)),1,0)</f>
        <v>0</v>
      </c>
    </row>
    <row r="75" ht="64" customHeight="1">
      <c r="B75" s="26">
        <f>IF(N75=1,66,"")</f>
      </c>
      <c r="C75" s="26">
        <f>IF(AND(N75=1,LEN(TRIM('DATOS'!B75&amp;""))&gt;0),'DATOS'!B75,"")</f>
      </c>
      <c r="D75" s="26">
        <f>IF(AND(N75=1,LEN(TRIM('DATOS'!C75&amp;""))&gt;0),'DATOS'!C75,"")</f>
      </c>
      <c r="E75" s="26">
        <f>IF(NOT(ISNUMBER(P75)),"",IF(P75=2,"ROJO",IF(P75=1,"ÁMBAR","VERDE")))</f>
      </c>
      <c r="F75" s="26">
        <f>IF(NOT(ISNUMBER(Q75)),"",IF(Q75=2,"ROJO",IF(Q75=1,"ÁMBAR","VERDE")))</f>
      </c>
      <c r="G75" s="26">
        <f>IF(NOT(ISNUMBER(R75)),"",IF(R75=2,"ROJO",IF(R75=1,"ÁMBAR","VERDE")))</f>
      </c>
      <c r="H75" s="26">
        <f>IF(NOT(ISNUMBER(S75)),"",IF(S75=2,"ROJO",IF(S75=1,"ÁMBAR","VERDE")))</f>
      </c>
      <c r="I75" s="26">
        <f>IF(NOT(ISNUMBER(T75)),"",IF(T75=2,"ROJO",IF(T75=1,"ÁMBAR","VERDE")))</f>
      </c>
      <c r="J75" s="26">
        <f>IF(NOT(ISNUMBER(O75)),"",IF(O75=2,"ROJO",IF(O75=1,"ÁMBAR","VERDE")))</f>
      </c>
      <c r="K75" s="26">
        <f>IFERROR(IF(AND(N75=1,LEN(TRIM('DATOS'!N75&amp;""))&gt;0),'DATOS'!N75,""),"Hay una entrada con error. Corregimos el dato antes de cerrar la comprobación.")</f>
      </c>
      <c r="L75" s="26">
        <f>IFERROR(IF(N75=0,"",IF(O75&gt;0,"Completamos datos, claves o motivo. ","")&amp;IF(P75&gt;0,"Cotejamos precios e importe. ","")&amp;IF(Q75&gt;0,"Aclaramos el cero. ","")&amp;IF(R75&gt;0,"Comprobamos el texto. ","")&amp;IF(S75&gt;0,"Revisamos decimales visibles. ","")&amp;IF(T75&gt;0,"Confirmamos la unidad.","")),"Hay una entrada con error. Corregimos el dato antes de cerrar la comprobación.")</f>
      </c>
      <c r="N75" s="29" t="n">
        <f>IF(COUNTA('DATOS'!B75:O75)&gt;0,1,0)</f>
        <v>0</v>
      </c>
      <c r="O75" s="29">
        <f>IFERROR(IF(N75=0,"",IF(OR(NOT(AND(LEN(TRIM('DATOS'!B75&amp;""))&gt;0,TRIM('DATOS'!B75&amp;"")&lt;&gt;"Pendiente",TRIM('DATOS'!B75&amp;"")&lt;&gt;"Por confirmar",TRIM('DATOS'!B75&amp;"")&lt;&gt;"No consta",TRIM('DATOS'!B75&amp;"")&lt;&gt;"Desconocido",TRIM('DATOS'!B75&amp;"")&lt;&gt;"Sin confirmar",TRIM('DATOS'!B75&amp;"")&lt;&gt;"Por decidir",TRIM('DATOS'!B75&amp;"")&lt;&gt;"Por comprobar")),NOT(AND(LEN(TRIM('DATOS'!C75&amp;""))&gt;0,TRIM('DATOS'!C75&amp;"")&lt;&gt;"Pendiente",TRIM('DATOS'!C75&amp;"")&lt;&gt;"Por confirmar",TRIM('DATOS'!C75&amp;"")&lt;&gt;"No consta",TRIM('DATOS'!C75&amp;"")&lt;&gt;"Desconocido",TRIM('DATOS'!C75&amp;"")&lt;&gt;"Sin confirmar",TRIM('DATOS'!C75&amp;"")&lt;&gt;"Por decidir",TRIM('DATOS'!C75&amp;"")&lt;&gt;"Por comprobar")),NOT(AND(LEN(TRIM('DATOS'!D75&amp;""))&gt;0,TRIM('DATOS'!D75&amp;"")&lt;&gt;"Pendiente",TRIM('DATOS'!D75&amp;"")&lt;&gt;"Por confirmar",TRIM('DATOS'!D75&amp;"")&lt;&gt;"No consta",TRIM('DATOS'!D75&amp;"")&lt;&gt;"Desconocido",TRIM('DATOS'!D75&amp;"")&lt;&gt;"Sin confirmar",TRIM('DATOS'!D75&amp;"")&lt;&gt;"Por decidir",TRIM('DATOS'!D75&amp;"")&lt;&gt;"Por comprobar")),NOT(AND(LEN(TRIM('DATOS'!E75&amp;""))&gt;0,TRIM('DATOS'!E75&amp;"")&lt;&gt;"Pendiente",TRIM('DATOS'!E75&amp;"")&lt;&gt;"Por confirmar",TRIM('DATOS'!E75&amp;"")&lt;&gt;"No consta",TRIM('DATOS'!E75&amp;"")&lt;&gt;"Desconocido",TRIM('DATOS'!E75&amp;"")&lt;&gt;"Sin confirmar",TRIM('DATOS'!E75&amp;"")&lt;&gt;"Por decidir",TRIM('DATOS'!E75&amp;"")&lt;&gt;"Por comprobar")),NOT(AND(LEN(TRIM('DATOS'!F75&amp;""))&gt;0,TRIM('DATOS'!F75&amp;"")&lt;&gt;"Pendiente",TRIM('DATOS'!F75&amp;"")&lt;&gt;"Por confirmar",TRIM('DATOS'!F75&amp;"")&lt;&gt;"No consta",TRIM('DATOS'!F75&amp;"")&lt;&gt;"Desconocido",TRIM('DATOS'!F75&amp;"")&lt;&gt;"Sin confirmar",TRIM('DATOS'!F75&amp;"")&lt;&gt;"Por decidir",TRIM('DATOS'!F75&amp;"")&lt;&gt;"Por comprobar")),NOT(AND(LEN(TRIM('DATOS'!N75&amp;""))&gt;0,TRIM('DATOS'!N75&amp;"")&lt;&gt;"Pendiente",TRIM('DATOS'!N75&amp;"")&lt;&gt;"Por confirmar",TRIM('DATOS'!N75&amp;"")&lt;&gt;"No consta",TRIM('DATOS'!N75&amp;"")&lt;&gt;"Desconocido",TRIM('DATOS'!N75&amp;"")&lt;&gt;"Sin confirmar",TRIM('DATOS'!N75&amp;"")&lt;&gt;"Por decidir",TRIM('DATOS'!N75&amp;"")&lt;&gt;"Por comprobar")),NOT(Y75=1),W75&lt;&gt;1,X75&gt;1,NOT(OR(LEN(TRIM('DATOS'!K75&amp;""))=0,'DATOS'!K75="Sin valorar",'DATOS'!K75="Sin coste documentado",'DATOS'!K75="Incluido en otra partida",'DATOS'!K75="Por confirmar")),NOT(OR(LEN(TRIM('DATOS'!M75&amp;""))=0,'DATOS'!M75="Sí",'DATOS'!M75="No",'DATOS'!M75="Por confirmar")),NOT(OR(LEN(TRIM('DATOS'!O75&amp;""))=0,'DATOS'!O75="Comparamos",'DATOS'!O75="No existe",'DATOS'!O75="Por confirmar"))),2,IF(AND(OR('DATOS'!G75&lt;0,'DATOS'!H75&lt;0,'DATOS'!J75&lt;0),NOT(AND(LEN(TRIM('DATOS'!L75&amp;""))&gt;0,TRIM('DATOS'!L75&amp;"")&lt;&gt;"Pendiente",TRIM('DATOS'!L75&amp;"")&lt;&gt;"Por confirmar",TRIM('DATOS'!L75&amp;"")&lt;&gt;"No consta",TRIM('DATOS'!L75&amp;"")&lt;&gt;"Desconocido",TRIM('DATOS'!L75&amp;"")&lt;&gt;"Sin confirmar",TRIM('DATOS'!L75&amp;"")&lt;&gt;"Por decidir",TRIM('DATOS'!L75&amp;"")&lt;&gt;"Por comprobar"))),1,0))),2)</f>
      </c>
      <c r="P75" s="29">
        <f>IFERROR(IF(N75=0,"",IF(NOT(Y75=1),1,IF('REFERENCIAS'!$Q$8&lt;&gt;1,2,IF(ABS('DATOS'!J75-ROUND('DATOS'!G75*'DATOS'!H75,'REFERENCIAS'!$K$8))&gt;0.00000001,2,IF('DATOS'!O75="No existe",IF(LEN(TRIM('DATOS'!I75&amp;""))=0,0,2),IF('DATOS'!O75="Comparamos",IF(LEN(TRIM('DATOS'!I75&amp;""))=0,1,IF(ISNUMBER('DATOS'!I75),IF(ABS('DATOS'!H75-'DATOS'!I75)&gt;0.00000001,2,0),2)),1)))))),2)</f>
      </c>
      <c r="Q75" s="29">
        <f>IFERROR(IF(N75=0,"",IF(NOT(Y75=1),1,IF('DATOS'!K75="Sin valorar",2,IF('DATOS'!G75=0,1,IF(OR('DATOS'!H75=0,'DATOS'!J75=0),IF(AND(OR('DATOS'!K75="Sin coste documentado",'DATOS'!K75="Incluido en otra partida"),AND(LEN(TRIM('DATOS'!L75&amp;""))&gt;0,TRIM('DATOS'!L75&amp;"")&lt;&gt;"Pendiente",TRIM('DATOS'!L75&amp;"")&lt;&gt;"Por confirmar",TRIM('DATOS'!L75&amp;"")&lt;&gt;"No consta",TRIM('DATOS'!L75&amp;"")&lt;&gt;"Desconocido",TRIM('DATOS'!L75&amp;"")&lt;&gt;"Sin confirmar",TRIM('DATOS'!L75&amp;"")&lt;&gt;"Por decidir",TRIM('DATOS'!L75&amp;"")&lt;&gt;"Por comprobar")),0,1),0))))),2)</f>
      </c>
      <c r="R75" s="29">
        <f>IFERROR(IF(N75=0,"",IF(OR(NOT(AND(LEN(TRIM('DATOS'!D75&amp;""))&gt;0,TRIM('DATOS'!D75&amp;"")&lt;&gt;"Pendiente",TRIM('DATOS'!D75&amp;"")&lt;&gt;"Por confirmar",TRIM('DATOS'!D75&amp;"")&lt;&gt;"No consta",TRIM('DATOS'!D75&amp;"")&lt;&gt;"Desconocido",TRIM('DATOS'!D75&amp;"")&lt;&gt;"Sin confirmar",TRIM('DATOS'!D75&amp;"")&lt;&gt;"Por decidir",TRIM('DATOS'!D75&amp;"")&lt;&gt;"Por comprobar")),NOT(AND(LEN(TRIM('DATOS'!E75&amp;""))&gt;0,TRIM('DATOS'!E75&amp;"")&lt;&gt;"Pendiente",TRIM('DATOS'!E75&amp;"")&lt;&gt;"Por confirmar",TRIM('DATOS'!E75&amp;"")&lt;&gt;"No consta",TRIM('DATOS'!E75&amp;"")&lt;&gt;"Desconocido",TRIM('DATOS'!E75&amp;"")&lt;&gt;"Sin confirmar",TRIM('DATOS'!E75&amp;"")&lt;&gt;"Por decidir",TRIM('DATOS'!E75&amp;"")&lt;&gt;"Por comprobar"))),2,IF('DATOS'!M75="No",2,IF('DATOS'!M75="Sí",0,IF(OR('DATOS'!D75&lt;&gt;'DATOS'!E75,LEN('DATOS'!E75)&gt;300,RIGHT(TRIM('DATOS'!E75),3)="...",RIGHT(TRIM('DATOS'!E75),1)="…"),1,0))))),2)</f>
      </c>
      <c r="S75" s="29">
        <f>IFERROR(IF(N75=0,"",IF('REFERENCIAS'!$Q$8&lt;&gt;1,2,IF(NOT(Y75=1),1,IF(OR(ABS('DATOS'!G75-ROUND('DATOS'!G75,'REFERENCIAS'!$E$8))&gt;0.00000001,ABS('DATOS'!H75-ROUND('DATOS'!H75,'REFERENCIAS'!$H$8))&gt;0.00000001,ABS('DATOS'!J75-ROUND('DATOS'!J75,'REFERENCIAS'!$K$8))&gt;0.00000001,IF(ISNUMBER('DATOS'!I75),ABS('DATOS'!I75-ROUND('DATOS'!I75,'REFERENCIAS'!$H$8))&gt;0.00000001,FALSE)),1,0)))),2)</f>
      </c>
      <c r="T75" s="29">
        <f>IFERROR(IF(N75=0,"",IF(NOT(AND(LEN(TRIM('DATOS'!F75&amp;""))&gt;0,TRIM('DATOS'!F75&amp;"")&lt;&gt;"Pendiente",TRIM('DATOS'!F75&amp;"")&lt;&gt;"Por confirmar",TRIM('DATOS'!F75&amp;"")&lt;&gt;"No consta",TRIM('DATOS'!F75&amp;"")&lt;&gt;"Desconocido",TRIM('DATOS'!F75&amp;"")&lt;&gt;"Sin confirmar",TRIM('DATOS'!F75&amp;"")&lt;&gt;"Por decidir",TRIM('DATOS'!F75&amp;"")&lt;&gt;"Por comprobar")),2,IF(COUNTIFS('REFERENCIAS'!$T$15:$T$34,"ID:"&amp;SUBSTITUTE(SUBSTITUTE(SUBSTITUTE(SUBSTITUTE(UPPER(TRIM('DATOS'!F75&amp;"")),"!","!E"),"*","!A"),"?","!B"),"~","!C"),'REFERENCIAS'!$H$15:$H$34,"&lt;&gt;")&gt;0,0,1))),2)</f>
      </c>
      <c r="U75" s="29" t="str">
        <f>'DATOS'!R75</f>
        <v>ID:</v>
      </c>
      <c r="V75" s="29" t="str">
        <f>'DATOS'!S75</f>
        <v>ID:</v>
      </c>
      <c r="W75" s="29" t="n">
        <f>IF(N75=0,0,COUNTIFS('REFERENCIAS'!$R$15:$R$64,U75))</f>
        <v>0</v>
      </c>
      <c r="X75" s="29" t="n">
        <f>IF(N75=0,0,COUNTIFS('DATOS'!$R$10:$R$509,U75,'DATOS'!$S$10:$S$509,V75))</f>
        <v>0</v>
      </c>
      <c r="Y75" s="29" t="n">
        <f>IF(AND(ISNUMBER('DATOS'!G75),ISNUMBER('DATOS'!H75),ISNUMBER('DATOS'!J75)),1,0)</f>
        <v>0</v>
      </c>
    </row>
    <row r="76" ht="64" customHeight="1">
      <c r="B76" s="26">
        <f>IF(N76=1,67,"")</f>
      </c>
      <c r="C76" s="26">
        <f>IF(AND(N76=1,LEN(TRIM('DATOS'!B76&amp;""))&gt;0),'DATOS'!B76,"")</f>
      </c>
      <c r="D76" s="26">
        <f>IF(AND(N76=1,LEN(TRIM('DATOS'!C76&amp;""))&gt;0),'DATOS'!C76,"")</f>
      </c>
      <c r="E76" s="26">
        <f>IF(NOT(ISNUMBER(P76)),"",IF(P76=2,"ROJO",IF(P76=1,"ÁMBAR","VERDE")))</f>
      </c>
      <c r="F76" s="26">
        <f>IF(NOT(ISNUMBER(Q76)),"",IF(Q76=2,"ROJO",IF(Q76=1,"ÁMBAR","VERDE")))</f>
      </c>
      <c r="G76" s="26">
        <f>IF(NOT(ISNUMBER(R76)),"",IF(R76=2,"ROJO",IF(R76=1,"ÁMBAR","VERDE")))</f>
      </c>
      <c r="H76" s="26">
        <f>IF(NOT(ISNUMBER(S76)),"",IF(S76=2,"ROJO",IF(S76=1,"ÁMBAR","VERDE")))</f>
      </c>
      <c r="I76" s="26">
        <f>IF(NOT(ISNUMBER(T76)),"",IF(T76=2,"ROJO",IF(T76=1,"ÁMBAR","VERDE")))</f>
      </c>
      <c r="J76" s="26">
        <f>IF(NOT(ISNUMBER(O76)),"",IF(O76=2,"ROJO",IF(O76=1,"ÁMBAR","VERDE")))</f>
      </c>
      <c r="K76" s="26">
        <f>IFERROR(IF(AND(N76=1,LEN(TRIM('DATOS'!N76&amp;""))&gt;0),'DATOS'!N76,""),"Hay una entrada con error. Corregimos el dato antes de cerrar la comprobación.")</f>
      </c>
      <c r="L76" s="26">
        <f>IFERROR(IF(N76=0,"",IF(O76&gt;0,"Completamos datos, claves o motivo. ","")&amp;IF(P76&gt;0,"Cotejamos precios e importe. ","")&amp;IF(Q76&gt;0,"Aclaramos el cero. ","")&amp;IF(R76&gt;0,"Comprobamos el texto. ","")&amp;IF(S76&gt;0,"Revisamos decimales visibles. ","")&amp;IF(T76&gt;0,"Confirmamos la unidad.","")),"Hay una entrada con error. Corregimos el dato antes de cerrar la comprobación.")</f>
      </c>
      <c r="N76" s="29" t="n">
        <f>IF(COUNTA('DATOS'!B76:O76)&gt;0,1,0)</f>
        <v>0</v>
      </c>
      <c r="O76" s="29">
        <f>IFERROR(IF(N76=0,"",IF(OR(NOT(AND(LEN(TRIM('DATOS'!B76&amp;""))&gt;0,TRIM('DATOS'!B76&amp;"")&lt;&gt;"Pendiente",TRIM('DATOS'!B76&amp;"")&lt;&gt;"Por confirmar",TRIM('DATOS'!B76&amp;"")&lt;&gt;"No consta",TRIM('DATOS'!B76&amp;"")&lt;&gt;"Desconocido",TRIM('DATOS'!B76&amp;"")&lt;&gt;"Sin confirmar",TRIM('DATOS'!B76&amp;"")&lt;&gt;"Por decidir",TRIM('DATOS'!B76&amp;"")&lt;&gt;"Por comprobar")),NOT(AND(LEN(TRIM('DATOS'!C76&amp;""))&gt;0,TRIM('DATOS'!C76&amp;"")&lt;&gt;"Pendiente",TRIM('DATOS'!C76&amp;"")&lt;&gt;"Por confirmar",TRIM('DATOS'!C76&amp;"")&lt;&gt;"No consta",TRIM('DATOS'!C76&amp;"")&lt;&gt;"Desconocido",TRIM('DATOS'!C76&amp;"")&lt;&gt;"Sin confirmar",TRIM('DATOS'!C76&amp;"")&lt;&gt;"Por decidir",TRIM('DATOS'!C76&amp;"")&lt;&gt;"Por comprobar")),NOT(AND(LEN(TRIM('DATOS'!D76&amp;""))&gt;0,TRIM('DATOS'!D76&amp;"")&lt;&gt;"Pendiente",TRIM('DATOS'!D76&amp;"")&lt;&gt;"Por confirmar",TRIM('DATOS'!D76&amp;"")&lt;&gt;"No consta",TRIM('DATOS'!D76&amp;"")&lt;&gt;"Desconocido",TRIM('DATOS'!D76&amp;"")&lt;&gt;"Sin confirmar",TRIM('DATOS'!D76&amp;"")&lt;&gt;"Por decidir",TRIM('DATOS'!D76&amp;"")&lt;&gt;"Por comprobar")),NOT(AND(LEN(TRIM('DATOS'!E76&amp;""))&gt;0,TRIM('DATOS'!E76&amp;"")&lt;&gt;"Pendiente",TRIM('DATOS'!E76&amp;"")&lt;&gt;"Por confirmar",TRIM('DATOS'!E76&amp;"")&lt;&gt;"No consta",TRIM('DATOS'!E76&amp;"")&lt;&gt;"Desconocido",TRIM('DATOS'!E76&amp;"")&lt;&gt;"Sin confirmar",TRIM('DATOS'!E76&amp;"")&lt;&gt;"Por decidir",TRIM('DATOS'!E76&amp;"")&lt;&gt;"Por comprobar")),NOT(AND(LEN(TRIM('DATOS'!F76&amp;""))&gt;0,TRIM('DATOS'!F76&amp;"")&lt;&gt;"Pendiente",TRIM('DATOS'!F76&amp;"")&lt;&gt;"Por confirmar",TRIM('DATOS'!F76&amp;"")&lt;&gt;"No consta",TRIM('DATOS'!F76&amp;"")&lt;&gt;"Desconocido",TRIM('DATOS'!F76&amp;"")&lt;&gt;"Sin confirmar",TRIM('DATOS'!F76&amp;"")&lt;&gt;"Por decidir",TRIM('DATOS'!F76&amp;"")&lt;&gt;"Por comprobar")),NOT(AND(LEN(TRIM('DATOS'!N76&amp;""))&gt;0,TRIM('DATOS'!N76&amp;"")&lt;&gt;"Pendiente",TRIM('DATOS'!N76&amp;"")&lt;&gt;"Por confirmar",TRIM('DATOS'!N76&amp;"")&lt;&gt;"No consta",TRIM('DATOS'!N76&amp;"")&lt;&gt;"Desconocido",TRIM('DATOS'!N76&amp;"")&lt;&gt;"Sin confirmar",TRIM('DATOS'!N76&amp;"")&lt;&gt;"Por decidir",TRIM('DATOS'!N76&amp;"")&lt;&gt;"Por comprobar")),NOT(Y76=1),W76&lt;&gt;1,X76&gt;1,NOT(OR(LEN(TRIM('DATOS'!K76&amp;""))=0,'DATOS'!K76="Sin valorar",'DATOS'!K76="Sin coste documentado",'DATOS'!K76="Incluido en otra partida",'DATOS'!K76="Por confirmar")),NOT(OR(LEN(TRIM('DATOS'!M76&amp;""))=0,'DATOS'!M76="Sí",'DATOS'!M76="No",'DATOS'!M76="Por confirmar")),NOT(OR(LEN(TRIM('DATOS'!O76&amp;""))=0,'DATOS'!O76="Comparamos",'DATOS'!O76="No existe",'DATOS'!O76="Por confirmar"))),2,IF(AND(OR('DATOS'!G76&lt;0,'DATOS'!H76&lt;0,'DATOS'!J76&lt;0),NOT(AND(LEN(TRIM('DATOS'!L76&amp;""))&gt;0,TRIM('DATOS'!L76&amp;"")&lt;&gt;"Pendiente",TRIM('DATOS'!L76&amp;"")&lt;&gt;"Por confirmar",TRIM('DATOS'!L76&amp;"")&lt;&gt;"No consta",TRIM('DATOS'!L76&amp;"")&lt;&gt;"Desconocido",TRIM('DATOS'!L76&amp;"")&lt;&gt;"Sin confirmar",TRIM('DATOS'!L76&amp;"")&lt;&gt;"Por decidir",TRIM('DATOS'!L76&amp;"")&lt;&gt;"Por comprobar"))),1,0))),2)</f>
      </c>
      <c r="P76" s="29">
        <f>IFERROR(IF(N76=0,"",IF(NOT(Y76=1),1,IF('REFERENCIAS'!$Q$8&lt;&gt;1,2,IF(ABS('DATOS'!J76-ROUND('DATOS'!G76*'DATOS'!H76,'REFERENCIAS'!$K$8))&gt;0.00000001,2,IF('DATOS'!O76="No existe",IF(LEN(TRIM('DATOS'!I76&amp;""))=0,0,2),IF('DATOS'!O76="Comparamos",IF(LEN(TRIM('DATOS'!I76&amp;""))=0,1,IF(ISNUMBER('DATOS'!I76),IF(ABS('DATOS'!H76-'DATOS'!I76)&gt;0.00000001,2,0),2)),1)))))),2)</f>
      </c>
      <c r="Q76" s="29">
        <f>IFERROR(IF(N76=0,"",IF(NOT(Y76=1),1,IF('DATOS'!K76="Sin valorar",2,IF('DATOS'!G76=0,1,IF(OR('DATOS'!H76=0,'DATOS'!J76=0),IF(AND(OR('DATOS'!K76="Sin coste documentado",'DATOS'!K76="Incluido en otra partida"),AND(LEN(TRIM('DATOS'!L76&amp;""))&gt;0,TRIM('DATOS'!L76&amp;"")&lt;&gt;"Pendiente",TRIM('DATOS'!L76&amp;"")&lt;&gt;"Por confirmar",TRIM('DATOS'!L76&amp;"")&lt;&gt;"No consta",TRIM('DATOS'!L76&amp;"")&lt;&gt;"Desconocido",TRIM('DATOS'!L76&amp;"")&lt;&gt;"Sin confirmar",TRIM('DATOS'!L76&amp;"")&lt;&gt;"Por decidir",TRIM('DATOS'!L76&amp;"")&lt;&gt;"Por comprobar")),0,1),0))))),2)</f>
      </c>
      <c r="R76" s="29">
        <f>IFERROR(IF(N76=0,"",IF(OR(NOT(AND(LEN(TRIM('DATOS'!D76&amp;""))&gt;0,TRIM('DATOS'!D76&amp;"")&lt;&gt;"Pendiente",TRIM('DATOS'!D76&amp;"")&lt;&gt;"Por confirmar",TRIM('DATOS'!D76&amp;"")&lt;&gt;"No consta",TRIM('DATOS'!D76&amp;"")&lt;&gt;"Desconocido",TRIM('DATOS'!D76&amp;"")&lt;&gt;"Sin confirmar",TRIM('DATOS'!D76&amp;"")&lt;&gt;"Por decidir",TRIM('DATOS'!D76&amp;"")&lt;&gt;"Por comprobar")),NOT(AND(LEN(TRIM('DATOS'!E76&amp;""))&gt;0,TRIM('DATOS'!E76&amp;"")&lt;&gt;"Pendiente",TRIM('DATOS'!E76&amp;"")&lt;&gt;"Por confirmar",TRIM('DATOS'!E76&amp;"")&lt;&gt;"No consta",TRIM('DATOS'!E76&amp;"")&lt;&gt;"Desconocido",TRIM('DATOS'!E76&amp;"")&lt;&gt;"Sin confirmar",TRIM('DATOS'!E76&amp;"")&lt;&gt;"Por decidir",TRIM('DATOS'!E76&amp;"")&lt;&gt;"Por comprobar"))),2,IF('DATOS'!M76="No",2,IF('DATOS'!M76="Sí",0,IF(OR('DATOS'!D76&lt;&gt;'DATOS'!E76,LEN('DATOS'!E76)&gt;300,RIGHT(TRIM('DATOS'!E76),3)="...",RIGHT(TRIM('DATOS'!E76),1)="…"),1,0))))),2)</f>
      </c>
      <c r="S76" s="29">
        <f>IFERROR(IF(N76=0,"",IF('REFERENCIAS'!$Q$8&lt;&gt;1,2,IF(NOT(Y76=1),1,IF(OR(ABS('DATOS'!G76-ROUND('DATOS'!G76,'REFERENCIAS'!$E$8))&gt;0.00000001,ABS('DATOS'!H76-ROUND('DATOS'!H76,'REFERENCIAS'!$H$8))&gt;0.00000001,ABS('DATOS'!J76-ROUND('DATOS'!J76,'REFERENCIAS'!$K$8))&gt;0.00000001,IF(ISNUMBER('DATOS'!I76),ABS('DATOS'!I76-ROUND('DATOS'!I76,'REFERENCIAS'!$H$8))&gt;0.00000001,FALSE)),1,0)))),2)</f>
      </c>
      <c r="T76" s="29">
        <f>IFERROR(IF(N76=0,"",IF(NOT(AND(LEN(TRIM('DATOS'!F76&amp;""))&gt;0,TRIM('DATOS'!F76&amp;"")&lt;&gt;"Pendiente",TRIM('DATOS'!F76&amp;"")&lt;&gt;"Por confirmar",TRIM('DATOS'!F76&amp;"")&lt;&gt;"No consta",TRIM('DATOS'!F76&amp;"")&lt;&gt;"Desconocido",TRIM('DATOS'!F76&amp;"")&lt;&gt;"Sin confirmar",TRIM('DATOS'!F76&amp;"")&lt;&gt;"Por decidir",TRIM('DATOS'!F76&amp;"")&lt;&gt;"Por comprobar")),2,IF(COUNTIFS('REFERENCIAS'!$T$15:$T$34,"ID:"&amp;SUBSTITUTE(SUBSTITUTE(SUBSTITUTE(SUBSTITUTE(UPPER(TRIM('DATOS'!F76&amp;"")),"!","!E"),"*","!A"),"?","!B"),"~","!C"),'REFERENCIAS'!$H$15:$H$34,"&lt;&gt;")&gt;0,0,1))),2)</f>
      </c>
      <c r="U76" s="29" t="str">
        <f>'DATOS'!R76</f>
        <v>ID:</v>
      </c>
      <c r="V76" s="29" t="str">
        <f>'DATOS'!S76</f>
        <v>ID:</v>
      </c>
      <c r="W76" s="29" t="n">
        <f>IF(N76=0,0,COUNTIFS('REFERENCIAS'!$R$15:$R$64,U76))</f>
        <v>0</v>
      </c>
      <c r="X76" s="29" t="n">
        <f>IF(N76=0,0,COUNTIFS('DATOS'!$R$10:$R$509,U76,'DATOS'!$S$10:$S$509,V76))</f>
        <v>0</v>
      </c>
      <c r="Y76" s="29" t="n">
        <f>IF(AND(ISNUMBER('DATOS'!G76),ISNUMBER('DATOS'!H76),ISNUMBER('DATOS'!J76)),1,0)</f>
        <v>0</v>
      </c>
    </row>
    <row r="77" ht="64" customHeight="1">
      <c r="B77" s="26">
        <f>IF(N77=1,68,"")</f>
      </c>
      <c r="C77" s="26">
        <f>IF(AND(N77=1,LEN(TRIM('DATOS'!B77&amp;""))&gt;0),'DATOS'!B77,"")</f>
      </c>
      <c r="D77" s="26">
        <f>IF(AND(N77=1,LEN(TRIM('DATOS'!C77&amp;""))&gt;0),'DATOS'!C77,"")</f>
      </c>
      <c r="E77" s="26">
        <f>IF(NOT(ISNUMBER(P77)),"",IF(P77=2,"ROJO",IF(P77=1,"ÁMBAR","VERDE")))</f>
      </c>
      <c r="F77" s="26">
        <f>IF(NOT(ISNUMBER(Q77)),"",IF(Q77=2,"ROJO",IF(Q77=1,"ÁMBAR","VERDE")))</f>
      </c>
      <c r="G77" s="26">
        <f>IF(NOT(ISNUMBER(R77)),"",IF(R77=2,"ROJO",IF(R77=1,"ÁMBAR","VERDE")))</f>
      </c>
      <c r="H77" s="26">
        <f>IF(NOT(ISNUMBER(S77)),"",IF(S77=2,"ROJO",IF(S77=1,"ÁMBAR","VERDE")))</f>
      </c>
      <c r="I77" s="26">
        <f>IF(NOT(ISNUMBER(T77)),"",IF(T77=2,"ROJO",IF(T77=1,"ÁMBAR","VERDE")))</f>
      </c>
      <c r="J77" s="26">
        <f>IF(NOT(ISNUMBER(O77)),"",IF(O77=2,"ROJO",IF(O77=1,"ÁMBAR","VERDE")))</f>
      </c>
      <c r="K77" s="26">
        <f>IFERROR(IF(AND(N77=1,LEN(TRIM('DATOS'!N77&amp;""))&gt;0),'DATOS'!N77,""),"Hay una entrada con error. Corregimos el dato antes de cerrar la comprobación.")</f>
      </c>
      <c r="L77" s="26">
        <f>IFERROR(IF(N77=0,"",IF(O77&gt;0,"Completamos datos, claves o motivo. ","")&amp;IF(P77&gt;0,"Cotejamos precios e importe. ","")&amp;IF(Q77&gt;0,"Aclaramos el cero. ","")&amp;IF(R77&gt;0,"Comprobamos el texto. ","")&amp;IF(S77&gt;0,"Revisamos decimales visibles. ","")&amp;IF(T77&gt;0,"Confirmamos la unidad.","")),"Hay una entrada con error. Corregimos el dato antes de cerrar la comprobación.")</f>
      </c>
      <c r="N77" s="29" t="n">
        <f>IF(COUNTA('DATOS'!B77:O77)&gt;0,1,0)</f>
        <v>0</v>
      </c>
      <c r="O77" s="29">
        <f>IFERROR(IF(N77=0,"",IF(OR(NOT(AND(LEN(TRIM('DATOS'!B77&amp;""))&gt;0,TRIM('DATOS'!B77&amp;"")&lt;&gt;"Pendiente",TRIM('DATOS'!B77&amp;"")&lt;&gt;"Por confirmar",TRIM('DATOS'!B77&amp;"")&lt;&gt;"No consta",TRIM('DATOS'!B77&amp;"")&lt;&gt;"Desconocido",TRIM('DATOS'!B77&amp;"")&lt;&gt;"Sin confirmar",TRIM('DATOS'!B77&amp;"")&lt;&gt;"Por decidir",TRIM('DATOS'!B77&amp;"")&lt;&gt;"Por comprobar")),NOT(AND(LEN(TRIM('DATOS'!C77&amp;""))&gt;0,TRIM('DATOS'!C77&amp;"")&lt;&gt;"Pendiente",TRIM('DATOS'!C77&amp;"")&lt;&gt;"Por confirmar",TRIM('DATOS'!C77&amp;"")&lt;&gt;"No consta",TRIM('DATOS'!C77&amp;"")&lt;&gt;"Desconocido",TRIM('DATOS'!C77&amp;"")&lt;&gt;"Sin confirmar",TRIM('DATOS'!C77&amp;"")&lt;&gt;"Por decidir",TRIM('DATOS'!C77&amp;"")&lt;&gt;"Por comprobar")),NOT(AND(LEN(TRIM('DATOS'!D77&amp;""))&gt;0,TRIM('DATOS'!D77&amp;"")&lt;&gt;"Pendiente",TRIM('DATOS'!D77&amp;"")&lt;&gt;"Por confirmar",TRIM('DATOS'!D77&amp;"")&lt;&gt;"No consta",TRIM('DATOS'!D77&amp;"")&lt;&gt;"Desconocido",TRIM('DATOS'!D77&amp;"")&lt;&gt;"Sin confirmar",TRIM('DATOS'!D77&amp;"")&lt;&gt;"Por decidir",TRIM('DATOS'!D77&amp;"")&lt;&gt;"Por comprobar")),NOT(AND(LEN(TRIM('DATOS'!E77&amp;""))&gt;0,TRIM('DATOS'!E77&amp;"")&lt;&gt;"Pendiente",TRIM('DATOS'!E77&amp;"")&lt;&gt;"Por confirmar",TRIM('DATOS'!E77&amp;"")&lt;&gt;"No consta",TRIM('DATOS'!E77&amp;"")&lt;&gt;"Desconocido",TRIM('DATOS'!E77&amp;"")&lt;&gt;"Sin confirmar",TRIM('DATOS'!E77&amp;"")&lt;&gt;"Por decidir",TRIM('DATOS'!E77&amp;"")&lt;&gt;"Por comprobar")),NOT(AND(LEN(TRIM('DATOS'!F77&amp;""))&gt;0,TRIM('DATOS'!F77&amp;"")&lt;&gt;"Pendiente",TRIM('DATOS'!F77&amp;"")&lt;&gt;"Por confirmar",TRIM('DATOS'!F77&amp;"")&lt;&gt;"No consta",TRIM('DATOS'!F77&amp;"")&lt;&gt;"Desconocido",TRIM('DATOS'!F77&amp;"")&lt;&gt;"Sin confirmar",TRIM('DATOS'!F77&amp;"")&lt;&gt;"Por decidir",TRIM('DATOS'!F77&amp;"")&lt;&gt;"Por comprobar")),NOT(AND(LEN(TRIM('DATOS'!N77&amp;""))&gt;0,TRIM('DATOS'!N77&amp;"")&lt;&gt;"Pendiente",TRIM('DATOS'!N77&amp;"")&lt;&gt;"Por confirmar",TRIM('DATOS'!N77&amp;"")&lt;&gt;"No consta",TRIM('DATOS'!N77&amp;"")&lt;&gt;"Desconocido",TRIM('DATOS'!N77&amp;"")&lt;&gt;"Sin confirmar",TRIM('DATOS'!N77&amp;"")&lt;&gt;"Por decidir",TRIM('DATOS'!N77&amp;"")&lt;&gt;"Por comprobar")),NOT(Y77=1),W77&lt;&gt;1,X77&gt;1,NOT(OR(LEN(TRIM('DATOS'!K77&amp;""))=0,'DATOS'!K77="Sin valorar",'DATOS'!K77="Sin coste documentado",'DATOS'!K77="Incluido en otra partida",'DATOS'!K77="Por confirmar")),NOT(OR(LEN(TRIM('DATOS'!M77&amp;""))=0,'DATOS'!M77="Sí",'DATOS'!M77="No",'DATOS'!M77="Por confirmar")),NOT(OR(LEN(TRIM('DATOS'!O77&amp;""))=0,'DATOS'!O77="Comparamos",'DATOS'!O77="No existe",'DATOS'!O77="Por confirmar"))),2,IF(AND(OR('DATOS'!G77&lt;0,'DATOS'!H77&lt;0,'DATOS'!J77&lt;0),NOT(AND(LEN(TRIM('DATOS'!L77&amp;""))&gt;0,TRIM('DATOS'!L77&amp;"")&lt;&gt;"Pendiente",TRIM('DATOS'!L77&amp;"")&lt;&gt;"Por confirmar",TRIM('DATOS'!L77&amp;"")&lt;&gt;"No consta",TRIM('DATOS'!L77&amp;"")&lt;&gt;"Desconocido",TRIM('DATOS'!L77&amp;"")&lt;&gt;"Sin confirmar",TRIM('DATOS'!L77&amp;"")&lt;&gt;"Por decidir",TRIM('DATOS'!L77&amp;"")&lt;&gt;"Por comprobar"))),1,0))),2)</f>
      </c>
      <c r="P77" s="29">
        <f>IFERROR(IF(N77=0,"",IF(NOT(Y77=1),1,IF('REFERENCIAS'!$Q$8&lt;&gt;1,2,IF(ABS('DATOS'!J77-ROUND('DATOS'!G77*'DATOS'!H77,'REFERENCIAS'!$K$8))&gt;0.00000001,2,IF('DATOS'!O77="No existe",IF(LEN(TRIM('DATOS'!I77&amp;""))=0,0,2),IF('DATOS'!O77="Comparamos",IF(LEN(TRIM('DATOS'!I77&amp;""))=0,1,IF(ISNUMBER('DATOS'!I77),IF(ABS('DATOS'!H77-'DATOS'!I77)&gt;0.00000001,2,0),2)),1)))))),2)</f>
      </c>
      <c r="Q77" s="29">
        <f>IFERROR(IF(N77=0,"",IF(NOT(Y77=1),1,IF('DATOS'!K77="Sin valorar",2,IF('DATOS'!G77=0,1,IF(OR('DATOS'!H77=0,'DATOS'!J77=0),IF(AND(OR('DATOS'!K77="Sin coste documentado",'DATOS'!K77="Incluido en otra partida"),AND(LEN(TRIM('DATOS'!L77&amp;""))&gt;0,TRIM('DATOS'!L77&amp;"")&lt;&gt;"Pendiente",TRIM('DATOS'!L77&amp;"")&lt;&gt;"Por confirmar",TRIM('DATOS'!L77&amp;"")&lt;&gt;"No consta",TRIM('DATOS'!L77&amp;"")&lt;&gt;"Desconocido",TRIM('DATOS'!L77&amp;"")&lt;&gt;"Sin confirmar",TRIM('DATOS'!L77&amp;"")&lt;&gt;"Por decidir",TRIM('DATOS'!L77&amp;"")&lt;&gt;"Por comprobar")),0,1),0))))),2)</f>
      </c>
      <c r="R77" s="29">
        <f>IFERROR(IF(N77=0,"",IF(OR(NOT(AND(LEN(TRIM('DATOS'!D77&amp;""))&gt;0,TRIM('DATOS'!D77&amp;"")&lt;&gt;"Pendiente",TRIM('DATOS'!D77&amp;"")&lt;&gt;"Por confirmar",TRIM('DATOS'!D77&amp;"")&lt;&gt;"No consta",TRIM('DATOS'!D77&amp;"")&lt;&gt;"Desconocido",TRIM('DATOS'!D77&amp;"")&lt;&gt;"Sin confirmar",TRIM('DATOS'!D77&amp;"")&lt;&gt;"Por decidir",TRIM('DATOS'!D77&amp;"")&lt;&gt;"Por comprobar")),NOT(AND(LEN(TRIM('DATOS'!E77&amp;""))&gt;0,TRIM('DATOS'!E77&amp;"")&lt;&gt;"Pendiente",TRIM('DATOS'!E77&amp;"")&lt;&gt;"Por confirmar",TRIM('DATOS'!E77&amp;"")&lt;&gt;"No consta",TRIM('DATOS'!E77&amp;"")&lt;&gt;"Desconocido",TRIM('DATOS'!E77&amp;"")&lt;&gt;"Sin confirmar",TRIM('DATOS'!E77&amp;"")&lt;&gt;"Por decidir",TRIM('DATOS'!E77&amp;"")&lt;&gt;"Por comprobar"))),2,IF('DATOS'!M77="No",2,IF('DATOS'!M77="Sí",0,IF(OR('DATOS'!D77&lt;&gt;'DATOS'!E77,LEN('DATOS'!E77)&gt;300,RIGHT(TRIM('DATOS'!E77),3)="...",RIGHT(TRIM('DATOS'!E77),1)="…"),1,0))))),2)</f>
      </c>
      <c r="S77" s="29">
        <f>IFERROR(IF(N77=0,"",IF('REFERENCIAS'!$Q$8&lt;&gt;1,2,IF(NOT(Y77=1),1,IF(OR(ABS('DATOS'!G77-ROUND('DATOS'!G77,'REFERENCIAS'!$E$8))&gt;0.00000001,ABS('DATOS'!H77-ROUND('DATOS'!H77,'REFERENCIAS'!$H$8))&gt;0.00000001,ABS('DATOS'!J77-ROUND('DATOS'!J77,'REFERENCIAS'!$K$8))&gt;0.00000001,IF(ISNUMBER('DATOS'!I77),ABS('DATOS'!I77-ROUND('DATOS'!I77,'REFERENCIAS'!$H$8))&gt;0.00000001,FALSE)),1,0)))),2)</f>
      </c>
      <c r="T77" s="29">
        <f>IFERROR(IF(N77=0,"",IF(NOT(AND(LEN(TRIM('DATOS'!F77&amp;""))&gt;0,TRIM('DATOS'!F77&amp;"")&lt;&gt;"Pendiente",TRIM('DATOS'!F77&amp;"")&lt;&gt;"Por confirmar",TRIM('DATOS'!F77&amp;"")&lt;&gt;"No consta",TRIM('DATOS'!F77&amp;"")&lt;&gt;"Desconocido",TRIM('DATOS'!F77&amp;"")&lt;&gt;"Sin confirmar",TRIM('DATOS'!F77&amp;"")&lt;&gt;"Por decidir",TRIM('DATOS'!F77&amp;"")&lt;&gt;"Por comprobar")),2,IF(COUNTIFS('REFERENCIAS'!$T$15:$T$34,"ID:"&amp;SUBSTITUTE(SUBSTITUTE(SUBSTITUTE(SUBSTITUTE(UPPER(TRIM('DATOS'!F77&amp;"")),"!","!E"),"*","!A"),"?","!B"),"~","!C"),'REFERENCIAS'!$H$15:$H$34,"&lt;&gt;")&gt;0,0,1))),2)</f>
      </c>
      <c r="U77" s="29" t="str">
        <f>'DATOS'!R77</f>
        <v>ID:</v>
      </c>
      <c r="V77" s="29" t="str">
        <f>'DATOS'!S77</f>
        <v>ID:</v>
      </c>
      <c r="W77" s="29" t="n">
        <f>IF(N77=0,0,COUNTIFS('REFERENCIAS'!$R$15:$R$64,U77))</f>
        <v>0</v>
      </c>
      <c r="X77" s="29" t="n">
        <f>IF(N77=0,0,COUNTIFS('DATOS'!$R$10:$R$509,U77,'DATOS'!$S$10:$S$509,V77))</f>
        <v>0</v>
      </c>
      <c r="Y77" s="29" t="n">
        <f>IF(AND(ISNUMBER('DATOS'!G77),ISNUMBER('DATOS'!H77),ISNUMBER('DATOS'!J77)),1,0)</f>
        <v>0</v>
      </c>
    </row>
    <row r="78" ht="64" customHeight="1">
      <c r="B78" s="26">
        <f>IF(N78=1,69,"")</f>
      </c>
      <c r="C78" s="26">
        <f>IF(AND(N78=1,LEN(TRIM('DATOS'!B78&amp;""))&gt;0),'DATOS'!B78,"")</f>
      </c>
      <c r="D78" s="26">
        <f>IF(AND(N78=1,LEN(TRIM('DATOS'!C78&amp;""))&gt;0),'DATOS'!C78,"")</f>
      </c>
      <c r="E78" s="26">
        <f>IF(NOT(ISNUMBER(P78)),"",IF(P78=2,"ROJO",IF(P78=1,"ÁMBAR","VERDE")))</f>
      </c>
      <c r="F78" s="26">
        <f>IF(NOT(ISNUMBER(Q78)),"",IF(Q78=2,"ROJO",IF(Q78=1,"ÁMBAR","VERDE")))</f>
      </c>
      <c r="G78" s="26">
        <f>IF(NOT(ISNUMBER(R78)),"",IF(R78=2,"ROJO",IF(R78=1,"ÁMBAR","VERDE")))</f>
      </c>
      <c r="H78" s="26">
        <f>IF(NOT(ISNUMBER(S78)),"",IF(S78=2,"ROJO",IF(S78=1,"ÁMBAR","VERDE")))</f>
      </c>
      <c r="I78" s="26">
        <f>IF(NOT(ISNUMBER(T78)),"",IF(T78=2,"ROJO",IF(T78=1,"ÁMBAR","VERDE")))</f>
      </c>
      <c r="J78" s="26">
        <f>IF(NOT(ISNUMBER(O78)),"",IF(O78=2,"ROJO",IF(O78=1,"ÁMBAR","VERDE")))</f>
      </c>
      <c r="K78" s="26">
        <f>IFERROR(IF(AND(N78=1,LEN(TRIM('DATOS'!N78&amp;""))&gt;0),'DATOS'!N78,""),"Hay una entrada con error. Corregimos el dato antes de cerrar la comprobación.")</f>
      </c>
      <c r="L78" s="26">
        <f>IFERROR(IF(N78=0,"",IF(O78&gt;0,"Completamos datos, claves o motivo. ","")&amp;IF(P78&gt;0,"Cotejamos precios e importe. ","")&amp;IF(Q78&gt;0,"Aclaramos el cero. ","")&amp;IF(R78&gt;0,"Comprobamos el texto. ","")&amp;IF(S78&gt;0,"Revisamos decimales visibles. ","")&amp;IF(T78&gt;0,"Confirmamos la unidad.","")),"Hay una entrada con error. Corregimos el dato antes de cerrar la comprobación.")</f>
      </c>
      <c r="N78" s="29" t="n">
        <f>IF(COUNTA('DATOS'!B78:O78)&gt;0,1,0)</f>
        <v>0</v>
      </c>
      <c r="O78" s="29">
        <f>IFERROR(IF(N78=0,"",IF(OR(NOT(AND(LEN(TRIM('DATOS'!B78&amp;""))&gt;0,TRIM('DATOS'!B78&amp;"")&lt;&gt;"Pendiente",TRIM('DATOS'!B78&amp;"")&lt;&gt;"Por confirmar",TRIM('DATOS'!B78&amp;"")&lt;&gt;"No consta",TRIM('DATOS'!B78&amp;"")&lt;&gt;"Desconocido",TRIM('DATOS'!B78&amp;"")&lt;&gt;"Sin confirmar",TRIM('DATOS'!B78&amp;"")&lt;&gt;"Por decidir",TRIM('DATOS'!B78&amp;"")&lt;&gt;"Por comprobar")),NOT(AND(LEN(TRIM('DATOS'!C78&amp;""))&gt;0,TRIM('DATOS'!C78&amp;"")&lt;&gt;"Pendiente",TRIM('DATOS'!C78&amp;"")&lt;&gt;"Por confirmar",TRIM('DATOS'!C78&amp;"")&lt;&gt;"No consta",TRIM('DATOS'!C78&amp;"")&lt;&gt;"Desconocido",TRIM('DATOS'!C78&amp;"")&lt;&gt;"Sin confirmar",TRIM('DATOS'!C78&amp;"")&lt;&gt;"Por decidir",TRIM('DATOS'!C78&amp;"")&lt;&gt;"Por comprobar")),NOT(AND(LEN(TRIM('DATOS'!D78&amp;""))&gt;0,TRIM('DATOS'!D78&amp;"")&lt;&gt;"Pendiente",TRIM('DATOS'!D78&amp;"")&lt;&gt;"Por confirmar",TRIM('DATOS'!D78&amp;"")&lt;&gt;"No consta",TRIM('DATOS'!D78&amp;"")&lt;&gt;"Desconocido",TRIM('DATOS'!D78&amp;"")&lt;&gt;"Sin confirmar",TRIM('DATOS'!D78&amp;"")&lt;&gt;"Por decidir",TRIM('DATOS'!D78&amp;"")&lt;&gt;"Por comprobar")),NOT(AND(LEN(TRIM('DATOS'!E78&amp;""))&gt;0,TRIM('DATOS'!E78&amp;"")&lt;&gt;"Pendiente",TRIM('DATOS'!E78&amp;"")&lt;&gt;"Por confirmar",TRIM('DATOS'!E78&amp;"")&lt;&gt;"No consta",TRIM('DATOS'!E78&amp;"")&lt;&gt;"Desconocido",TRIM('DATOS'!E78&amp;"")&lt;&gt;"Sin confirmar",TRIM('DATOS'!E78&amp;"")&lt;&gt;"Por decidir",TRIM('DATOS'!E78&amp;"")&lt;&gt;"Por comprobar")),NOT(AND(LEN(TRIM('DATOS'!F78&amp;""))&gt;0,TRIM('DATOS'!F78&amp;"")&lt;&gt;"Pendiente",TRIM('DATOS'!F78&amp;"")&lt;&gt;"Por confirmar",TRIM('DATOS'!F78&amp;"")&lt;&gt;"No consta",TRIM('DATOS'!F78&amp;"")&lt;&gt;"Desconocido",TRIM('DATOS'!F78&amp;"")&lt;&gt;"Sin confirmar",TRIM('DATOS'!F78&amp;"")&lt;&gt;"Por decidir",TRIM('DATOS'!F78&amp;"")&lt;&gt;"Por comprobar")),NOT(AND(LEN(TRIM('DATOS'!N78&amp;""))&gt;0,TRIM('DATOS'!N78&amp;"")&lt;&gt;"Pendiente",TRIM('DATOS'!N78&amp;"")&lt;&gt;"Por confirmar",TRIM('DATOS'!N78&amp;"")&lt;&gt;"No consta",TRIM('DATOS'!N78&amp;"")&lt;&gt;"Desconocido",TRIM('DATOS'!N78&amp;"")&lt;&gt;"Sin confirmar",TRIM('DATOS'!N78&amp;"")&lt;&gt;"Por decidir",TRIM('DATOS'!N78&amp;"")&lt;&gt;"Por comprobar")),NOT(Y78=1),W78&lt;&gt;1,X78&gt;1,NOT(OR(LEN(TRIM('DATOS'!K78&amp;""))=0,'DATOS'!K78="Sin valorar",'DATOS'!K78="Sin coste documentado",'DATOS'!K78="Incluido en otra partida",'DATOS'!K78="Por confirmar")),NOT(OR(LEN(TRIM('DATOS'!M78&amp;""))=0,'DATOS'!M78="Sí",'DATOS'!M78="No",'DATOS'!M78="Por confirmar")),NOT(OR(LEN(TRIM('DATOS'!O78&amp;""))=0,'DATOS'!O78="Comparamos",'DATOS'!O78="No existe",'DATOS'!O78="Por confirmar"))),2,IF(AND(OR('DATOS'!G78&lt;0,'DATOS'!H78&lt;0,'DATOS'!J78&lt;0),NOT(AND(LEN(TRIM('DATOS'!L78&amp;""))&gt;0,TRIM('DATOS'!L78&amp;"")&lt;&gt;"Pendiente",TRIM('DATOS'!L78&amp;"")&lt;&gt;"Por confirmar",TRIM('DATOS'!L78&amp;"")&lt;&gt;"No consta",TRIM('DATOS'!L78&amp;"")&lt;&gt;"Desconocido",TRIM('DATOS'!L78&amp;"")&lt;&gt;"Sin confirmar",TRIM('DATOS'!L78&amp;"")&lt;&gt;"Por decidir",TRIM('DATOS'!L78&amp;"")&lt;&gt;"Por comprobar"))),1,0))),2)</f>
      </c>
      <c r="P78" s="29">
        <f>IFERROR(IF(N78=0,"",IF(NOT(Y78=1),1,IF('REFERENCIAS'!$Q$8&lt;&gt;1,2,IF(ABS('DATOS'!J78-ROUND('DATOS'!G78*'DATOS'!H78,'REFERENCIAS'!$K$8))&gt;0.00000001,2,IF('DATOS'!O78="No existe",IF(LEN(TRIM('DATOS'!I78&amp;""))=0,0,2),IF('DATOS'!O78="Comparamos",IF(LEN(TRIM('DATOS'!I78&amp;""))=0,1,IF(ISNUMBER('DATOS'!I78),IF(ABS('DATOS'!H78-'DATOS'!I78)&gt;0.00000001,2,0),2)),1)))))),2)</f>
      </c>
      <c r="Q78" s="29">
        <f>IFERROR(IF(N78=0,"",IF(NOT(Y78=1),1,IF('DATOS'!K78="Sin valorar",2,IF('DATOS'!G78=0,1,IF(OR('DATOS'!H78=0,'DATOS'!J78=0),IF(AND(OR('DATOS'!K78="Sin coste documentado",'DATOS'!K78="Incluido en otra partida"),AND(LEN(TRIM('DATOS'!L78&amp;""))&gt;0,TRIM('DATOS'!L78&amp;"")&lt;&gt;"Pendiente",TRIM('DATOS'!L78&amp;"")&lt;&gt;"Por confirmar",TRIM('DATOS'!L78&amp;"")&lt;&gt;"No consta",TRIM('DATOS'!L78&amp;"")&lt;&gt;"Desconocido",TRIM('DATOS'!L78&amp;"")&lt;&gt;"Sin confirmar",TRIM('DATOS'!L78&amp;"")&lt;&gt;"Por decidir",TRIM('DATOS'!L78&amp;"")&lt;&gt;"Por comprobar")),0,1),0))))),2)</f>
      </c>
      <c r="R78" s="29">
        <f>IFERROR(IF(N78=0,"",IF(OR(NOT(AND(LEN(TRIM('DATOS'!D78&amp;""))&gt;0,TRIM('DATOS'!D78&amp;"")&lt;&gt;"Pendiente",TRIM('DATOS'!D78&amp;"")&lt;&gt;"Por confirmar",TRIM('DATOS'!D78&amp;"")&lt;&gt;"No consta",TRIM('DATOS'!D78&amp;"")&lt;&gt;"Desconocido",TRIM('DATOS'!D78&amp;"")&lt;&gt;"Sin confirmar",TRIM('DATOS'!D78&amp;"")&lt;&gt;"Por decidir",TRIM('DATOS'!D78&amp;"")&lt;&gt;"Por comprobar")),NOT(AND(LEN(TRIM('DATOS'!E78&amp;""))&gt;0,TRIM('DATOS'!E78&amp;"")&lt;&gt;"Pendiente",TRIM('DATOS'!E78&amp;"")&lt;&gt;"Por confirmar",TRIM('DATOS'!E78&amp;"")&lt;&gt;"No consta",TRIM('DATOS'!E78&amp;"")&lt;&gt;"Desconocido",TRIM('DATOS'!E78&amp;"")&lt;&gt;"Sin confirmar",TRIM('DATOS'!E78&amp;"")&lt;&gt;"Por decidir",TRIM('DATOS'!E78&amp;"")&lt;&gt;"Por comprobar"))),2,IF('DATOS'!M78="No",2,IF('DATOS'!M78="Sí",0,IF(OR('DATOS'!D78&lt;&gt;'DATOS'!E78,LEN('DATOS'!E78)&gt;300,RIGHT(TRIM('DATOS'!E78),3)="...",RIGHT(TRIM('DATOS'!E78),1)="…"),1,0))))),2)</f>
      </c>
      <c r="S78" s="29">
        <f>IFERROR(IF(N78=0,"",IF('REFERENCIAS'!$Q$8&lt;&gt;1,2,IF(NOT(Y78=1),1,IF(OR(ABS('DATOS'!G78-ROUND('DATOS'!G78,'REFERENCIAS'!$E$8))&gt;0.00000001,ABS('DATOS'!H78-ROUND('DATOS'!H78,'REFERENCIAS'!$H$8))&gt;0.00000001,ABS('DATOS'!J78-ROUND('DATOS'!J78,'REFERENCIAS'!$K$8))&gt;0.00000001,IF(ISNUMBER('DATOS'!I78),ABS('DATOS'!I78-ROUND('DATOS'!I78,'REFERENCIAS'!$H$8))&gt;0.00000001,FALSE)),1,0)))),2)</f>
      </c>
      <c r="T78" s="29">
        <f>IFERROR(IF(N78=0,"",IF(NOT(AND(LEN(TRIM('DATOS'!F78&amp;""))&gt;0,TRIM('DATOS'!F78&amp;"")&lt;&gt;"Pendiente",TRIM('DATOS'!F78&amp;"")&lt;&gt;"Por confirmar",TRIM('DATOS'!F78&amp;"")&lt;&gt;"No consta",TRIM('DATOS'!F78&amp;"")&lt;&gt;"Desconocido",TRIM('DATOS'!F78&amp;"")&lt;&gt;"Sin confirmar",TRIM('DATOS'!F78&amp;"")&lt;&gt;"Por decidir",TRIM('DATOS'!F78&amp;"")&lt;&gt;"Por comprobar")),2,IF(COUNTIFS('REFERENCIAS'!$T$15:$T$34,"ID:"&amp;SUBSTITUTE(SUBSTITUTE(SUBSTITUTE(SUBSTITUTE(UPPER(TRIM('DATOS'!F78&amp;"")),"!","!E"),"*","!A"),"?","!B"),"~","!C"),'REFERENCIAS'!$H$15:$H$34,"&lt;&gt;")&gt;0,0,1))),2)</f>
      </c>
      <c r="U78" s="29" t="str">
        <f>'DATOS'!R78</f>
        <v>ID:</v>
      </c>
      <c r="V78" s="29" t="str">
        <f>'DATOS'!S78</f>
        <v>ID:</v>
      </c>
      <c r="W78" s="29" t="n">
        <f>IF(N78=0,0,COUNTIFS('REFERENCIAS'!$R$15:$R$64,U78))</f>
        <v>0</v>
      </c>
      <c r="X78" s="29" t="n">
        <f>IF(N78=0,0,COUNTIFS('DATOS'!$R$10:$R$509,U78,'DATOS'!$S$10:$S$509,V78))</f>
        <v>0</v>
      </c>
      <c r="Y78" s="29" t="n">
        <f>IF(AND(ISNUMBER('DATOS'!G78),ISNUMBER('DATOS'!H78),ISNUMBER('DATOS'!J78)),1,0)</f>
        <v>0</v>
      </c>
    </row>
    <row r="79" ht="64" customHeight="1">
      <c r="B79" s="26">
        <f>IF(N79=1,70,"")</f>
      </c>
      <c r="C79" s="26">
        <f>IF(AND(N79=1,LEN(TRIM('DATOS'!B79&amp;""))&gt;0),'DATOS'!B79,"")</f>
      </c>
      <c r="D79" s="26">
        <f>IF(AND(N79=1,LEN(TRIM('DATOS'!C79&amp;""))&gt;0),'DATOS'!C79,"")</f>
      </c>
      <c r="E79" s="26">
        <f>IF(NOT(ISNUMBER(P79)),"",IF(P79=2,"ROJO",IF(P79=1,"ÁMBAR","VERDE")))</f>
      </c>
      <c r="F79" s="26">
        <f>IF(NOT(ISNUMBER(Q79)),"",IF(Q79=2,"ROJO",IF(Q79=1,"ÁMBAR","VERDE")))</f>
      </c>
      <c r="G79" s="26">
        <f>IF(NOT(ISNUMBER(R79)),"",IF(R79=2,"ROJO",IF(R79=1,"ÁMBAR","VERDE")))</f>
      </c>
      <c r="H79" s="26">
        <f>IF(NOT(ISNUMBER(S79)),"",IF(S79=2,"ROJO",IF(S79=1,"ÁMBAR","VERDE")))</f>
      </c>
      <c r="I79" s="26">
        <f>IF(NOT(ISNUMBER(T79)),"",IF(T79=2,"ROJO",IF(T79=1,"ÁMBAR","VERDE")))</f>
      </c>
      <c r="J79" s="26">
        <f>IF(NOT(ISNUMBER(O79)),"",IF(O79=2,"ROJO",IF(O79=1,"ÁMBAR","VERDE")))</f>
      </c>
      <c r="K79" s="26">
        <f>IFERROR(IF(AND(N79=1,LEN(TRIM('DATOS'!N79&amp;""))&gt;0),'DATOS'!N79,""),"Hay una entrada con error. Corregimos el dato antes de cerrar la comprobación.")</f>
      </c>
      <c r="L79" s="26">
        <f>IFERROR(IF(N79=0,"",IF(O79&gt;0,"Completamos datos, claves o motivo. ","")&amp;IF(P79&gt;0,"Cotejamos precios e importe. ","")&amp;IF(Q79&gt;0,"Aclaramos el cero. ","")&amp;IF(R79&gt;0,"Comprobamos el texto. ","")&amp;IF(S79&gt;0,"Revisamos decimales visibles. ","")&amp;IF(T79&gt;0,"Confirmamos la unidad.","")),"Hay una entrada con error. Corregimos el dato antes de cerrar la comprobación.")</f>
      </c>
      <c r="N79" s="29" t="n">
        <f>IF(COUNTA('DATOS'!B79:O79)&gt;0,1,0)</f>
        <v>0</v>
      </c>
      <c r="O79" s="29">
        <f>IFERROR(IF(N79=0,"",IF(OR(NOT(AND(LEN(TRIM('DATOS'!B79&amp;""))&gt;0,TRIM('DATOS'!B79&amp;"")&lt;&gt;"Pendiente",TRIM('DATOS'!B79&amp;"")&lt;&gt;"Por confirmar",TRIM('DATOS'!B79&amp;"")&lt;&gt;"No consta",TRIM('DATOS'!B79&amp;"")&lt;&gt;"Desconocido",TRIM('DATOS'!B79&amp;"")&lt;&gt;"Sin confirmar",TRIM('DATOS'!B79&amp;"")&lt;&gt;"Por decidir",TRIM('DATOS'!B79&amp;"")&lt;&gt;"Por comprobar")),NOT(AND(LEN(TRIM('DATOS'!C79&amp;""))&gt;0,TRIM('DATOS'!C79&amp;"")&lt;&gt;"Pendiente",TRIM('DATOS'!C79&amp;"")&lt;&gt;"Por confirmar",TRIM('DATOS'!C79&amp;"")&lt;&gt;"No consta",TRIM('DATOS'!C79&amp;"")&lt;&gt;"Desconocido",TRIM('DATOS'!C79&amp;"")&lt;&gt;"Sin confirmar",TRIM('DATOS'!C79&amp;"")&lt;&gt;"Por decidir",TRIM('DATOS'!C79&amp;"")&lt;&gt;"Por comprobar")),NOT(AND(LEN(TRIM('DATOS'!D79&amp;""))&gt;0,TRIM('DATOS'!D79&amp;"")&lt;&gt;"Pendiente",TRIM('DATOS'!D79&amp;"")&lt;&gt;"Por confirmar",TRIM('DATOS'!D79&amp;"")&lt;&gt;"No consta",TRIM('DATOS'!D79&amp;"")&lt;&gt;"Desconocido",TRIM('DATOS'!D79&amp;"")&lt;&gt;"Sin confirmar",TRIM('DATOS'!D79&amp;"")&lt;&gt;"Por decidir",TRIM('DATOS'!D79&amp;"")&lt;&gt;"Por comprobar")),NOT(AND(LEN(TRIM('DATOS'!E79&amp;""))&gt;0,TRIM('DATOS'!E79&amp;"")&lt;&gt;"Pendiente",TRIM('DATOS'!E79&amp;"")&lt;&gt;"Por confirmar",TRIM('DATOS'!E79&amp;"")&lt;&gt;"No consta",TRIM('DATOS'!E79&amp;"")&lt;&gt;"Desconocido",TRIM('DATOS'!E79&amp;"")&lt;&gt;"Sin confirmar",TRIM('DATOS'!E79&amp;"")&lt;&gt;"Por decidir",TRIM('DATOS'!E79&amp;"")&lt;&gt;"Por comprobar")),NOT(AND(LEN(TRIM('DATOS'!F79&amp;""))&gt;0,TRIM('DATOS'!F79&amp;"")&lt;&gt;"Pendiente",TRIM('DATOS'!F79&amp;"")&lt;&gt;"Por confirmar",TRIM('DATOS'!F79&amp;"")&lt;&gt;"No consta",TRIM('DATOS'!F79&amp;"")&lt;&gt;"Desconocido",TRIM('DATOS'!F79&amp;"")&lt;&gt;"Sin confirmar",TRIM('DATOS'!F79&amp;"")&lt;&gt;"Por decidir",TRIM('DATOS'!F79&amp;"")&lt;&gt;"Por comprobar")),NOT(AND(LEN(TRIM('DATOS'!N79&amp;""))&gt;0,TRIM('DATOS'!N79&amp;"")&lt;&gt;"Pendiente",TRIM('DATOS'!N79&amp;"")&lt;&gt;"Por confirmar",TRIM('DATOS'!N79&amp;"")&lt;&gt;"No consta",TRIM('DATOS'!N79&amp;"")&lt;&gt;"Desconocido",TRIM('DATOS'!N79&amp;"")&lt;&gt;"Sin confirmar",TRIM('DATOS'!N79&amp;"")&lt;&gt;"Por decidir",TRIM('DATOS'!N79&amp;"")&lt;&gt;"Por comprobar")),NOT(Y79=1),W79&lt;&gt;1,X79&gt;1,NOT(OR(LEN(TRIM('DATOS'!K79&amp;""))=0,'DATOS'!K79="Sin valorar",'DATOS'!K79="Sin coste documentado",'DATOS'!K79="Incluido en otra partida",'DATOS'!K79="Por confirmar")),NOT(OR(LEN(TRIM('DATOS'!M79&amp;""))=0,'DATOS'!M79="Sí",'DATOS'!M79="No",'DATOS'!M79="Por confirmar")),NOT(OR(LEN(TRIM('DATOS'!O79&amp;""))=0,'DATOS'!O79="Comparamos",'DATOS'!O79="No existe",'DATOS'!O79="Por confirmar"))),2,IF(AND(OR('DATOS'!G79&lt;0,'DATOS'!H79&lt;0,'DATOS'!J79&lt;0),NOT(AND(LEN(TRIM('DATOS'!L79&amp;""))&gt;0,TRIM('DATOS'!L79&amp;"")&lt;&gt;"Pendiente",TRIM('DATOS'!L79&amp;"")&lt;&gt;"Por confirmar",TRIM('DATOS'!L79&amp;"")&lt;&gt;"No consta",TRIM('DATOS'!L79&amp;"")&lt;&gt;"Desconocido",TRIM('DATOS'!L79&amp;"")&lt;&gt;"Sin confirmar",TRIM('DATOS'!L79&amp;"")&lt;&gt;"Por decidir",TRIM('DATOS'!L79&amp;"")&lt;&gt;"Por comprobar"))),1,0))),2)</f>
      </c>
      <c r="P79" s="29">
        <f>IFERROR(IF(N79=0,"",IF(NOT(Y79=1),1,IF('REFERENCIAS'!$Q$8&lt;&gt;1,2,IF(ABS('DATOS'!J79-ROUND('DATOS'!G79*'DATOS'!H79,'REFERENCIAS'!$K$8))&gt;0.00000001,2,IF('DATOS'!O79="No existe",IF(LEN(TRIM('DATOS'!I79&amp;""))=0,0,2),IF('DATOS'!O79="Comparamos",IF(LEN(TRIM('DATOS'!I79&amp;""))=0,1,IF(ISNUMBER('DATOS'!I79),IF(ABS('DATOS'!H79-'DATOS'!I79)&gt;0.00000001,2,0),2)),1)))))),2)</f>
      </c>
      <c r="Q79" s="29">
        <f>IFERROR(IF(N79=0,"",IF(NOT(Y79=1),1,IF('DATOS'!K79="Sin valorar",2,IF('DATOS'!G79=0,1,IF(OR('DATOS'!H79=0,'DATOS'!J79=0),IF(AND(OR('DATOS'!K79="Sin coste documentado",'DATOS'!K79="Incluido en otra partida"),AND(LEN(TRIM('DATOS'!L79&amp;""))&gt;0,TRIM('DATOS'!L79&amp;"")&lt;&gt;"Pendiente",TRIM('DATOS'!L79&amp;"")&lt;&gt;"Por confirmar",TRIM('DATOS'!L79&amp;"")&lt;&gt;"No consta",TRIM('DATOS'!L79&amp;"")&lt;&gt;"Desconocido",TRIM('DATOS'!L79&amp;"")&lt;&gt;"Sin confirmar",TRIM('DATOS'!L79&amp;"")&lt;&gt;"Por decidir",TRIM('DATOS'!L79&amp;"")&lt;&gt;"Por comprobar")),0,1),0))))),2)</f>
      </c>
      <c r="R79" s="29">
        <f>IFERROR(IF(N79=0,"",IF(OR(NOT(AND(LEN(TRIM('DATOS'!D79&amp;""))&gt;0,TRIM('DATOS'!D79&amp;"")&lt;&gt;"Pendiente",TRIM('DATOS'!D79&amp;"")&lt;&gt;"Por confirmar",TRIM('DATOS'!D79&amp;"")&lt;&gt;"No consta",TRIM('DATOS'!D79&amp;"")&lt;&gt;"Desconocido",TRIM('DATOS'!D79&amp;"")&lt;&gt;"Sin confirmar",TRIM('DATOS'!D79&amp;"")&lt;&gt;"Por decidir",TRIM('DATOS'!D79&amp;"")&lt;&gt;"Por comprobar")),NOT(AND(LEN(TRIM('DATOS'!E79&amp;""))&gt;0,TRIM('DATOS'!E79&amp;"")&lt;&gt;"Pendiente",TRIM('DATOS'!E79&amp;"")&lt;&gt;"Por confirmar",TRIM('DATOS'!E79&amp;"")&lt;&gt;"No consta",TRIM('DATOS'!E79&amp;"")&lt;&gt;"Desconocido",TRIM('DATOS'!E79&amp;"")&lt;&gt;"Sin confirmar",TRIM('DATOS'!E79&amp;"")&lt;&gt;"Por decidir",TRIM('DATOS'!E79&amp;"")&lt;&gt;"Por comprobar"))),2,IF('DATOS'!M79="No",2,IF('DATOS'!M79="Sí",0,IF(OR('DATOS'!D79&lt;&gt;'DATOS'!E79,LEN('DATOS'!E79)&gt;300,RIGHT(TRIM('DATOS'!E79),3)="...",RIGHT(TRIM('DATOS'!E79),1)="…"),1,0))))),2)</f>
      </c>
      <c r="S79" s="29">
        <f>IFERROR(IF(N79=0,"",IF('REFERENCIAS'!$Q$8&lt;&gt;1,2,IF(NOT(Y79=1),1,IF(OR(ABS('DATOS'!G79-ROUND('DATOS'!G79,'REFERENCIAS'!$E$8))&gt;0.00000001,ABS('DATOS'!H79-ROUND('DATOS'!H79,'REFERENCIAS'!$H$8))&gt;0.00000001,ABS('DATOS'!J79-ROUND('DATOS'!J79,'REFERENCIAS'!$K$8))&gt;0.00000001,IF(ISNUMBER('DATOS'!I79),ABS('DATOS'!I79-ROUND('DATOS'!I79,'REFERENCIAS'!$H$8))&gt;0.00000001,FALSE)),1,0)))),2)</f>
      </c>
      <c r="T79" s="29">
        <f>IFERROR(IF(N79=0,"",IF(NOT(AND(LEN(TRIM('DATOS'!F79&amp;""))&gt;0,TRIM('DATOS'!F79&amp;"")&lt;&gt;"Pendiente",TRIM('DATOS'!F79&amp;"")&lt;&gt;"Por confirmar",TRIM('DATOS'!F79&amp;"")&lt;&gt;"No consta",TRIM('DATOS'!F79&amp;"")&lt;&gt;"Desconocido",TRIM('DATOS'!F79&amp;"")&lt;&gt;"Sin confirmar",TRIM('DATOS'!F79&amp;"")&lt;&gt;"Por decidir",TRIM('DATOS'!F79&amp;"")&lt;&gt;"Por comprobar")),2,IF(COUNTIFS('REFERENCIAS'!$T$15:$T$34,"ID:"&amp;SUBSTITUTE(SUBSTITUTE(SUBSTITUTE(SUBSTITUTE(UPPER(TRIM('DATOS'!F79&amp;"")),"!","!E"),"*","!A"),"?","!B"),"~","!C"),'REFERENCIAS'!$H$15:$H$34,"&lt;&gt;")&gt;0,0,1))),2)</f>
      </c>
      <c r="U79" s="29" t="str">
        <f>'DATOS'!R79</f>
        <v>ID:</v>
      </c>
      <c r="V79" s="29" t="str">
        <f>'DATOS'!S79</f>
        <v>ID:</v>
      </c>
      <c r="W79" s="29" t="n">
        <f>IF(N79=0,0,COUNTIFS('REFERENCIAS'!$R$15:$R$64,U79))</f>
        <v>0</v>
      </c>
      <c r="X79" s="29" t="n">
        <f>IF(N79=0,0,COUNTIFS('DATOS'!$R$10:$R$509,U79,'DATOS'!$S$10:$S$509,V79))</f>
        <v>0</v>
      </c>
      <c r="Y79" s="29" t="n">
        <f>IF(AND(ISNUMBER('DATOS'!G79),ISNUMBER('DATOS'!H79),ISNUMBER('DATOS'!J79)),1,0)</f>
        <v>0</v>
      </c>
    </row>
    <row r="80" ht="64" customHeight="1">
      <c r="B80" s="26">
        <f>IF(N80=1,71,"")</f>
      </c>
      <c r="C80" s="26">
        <f>IF(AND(N80=1,LEN(TRIM('DATOS'!B80&amp;""))&gt;0),'DATOS'!B80,"")</f>
      </c>
      <c r="D80" s="26">
        <f>IF(AND(N80=1,LEN(TRIM('DATOS'!C80&amp;""))&gt;0),'DATOS'!C80,"")</f>
      </c>
      <c r="E80" s="26">
        <f>IF(NOT(ISNUMBER(P80)),"",IF(P80=2,"ROJO",IF(P80=1,"ÁMBAR","VERDE")))</f>
      </c>
      <c r="F80" s="26">
        <f>IF(NOT(ISNUMBER(Q80)),"",IF(Q80=2,"ROJO",IF(Q80=1,"ÁMBAR","VERDE")))</f>
      </c>
      <c r="G80" s="26">
        <f>IF(NOT(ISNUMBER(R80)),"",IF(R80=2,"ROJO",IF(R80=1,"ÁMBAR","VERDE")))</f>
      </c>
      <c r="H80" s="26">
        <f>IF(NOT(ISNUMBER(S80)),"",IF(S80=2,"ROJO",IF(S80=1,"ÁMBAR","VERDE")))</f>
      </c>
      <c r="I80" s="26">
        <f>IF(NOT(ISNUMBER(T80)),"",IF(T80=2,"ROJO",IF(T80=1,"ÁMBAR","VERDE")))</f>
      </c>
      <c r="J80" s="26">
        <f>IF(NOT(ISNUMBER(O80)),"",IF(O80=2,"ROJO",IF(O80=1,"ÁMBAR","VERDE")))</f>
      </c>
      <c r="K80" s="26">
        <f>IFERROR(IF(AND(N80=1,LEN(TRIM('DATOS'!N80&amp;""))&gt;0),'DATOS'!N80,""),"Hay una entrada con error. Corregimos el dato antes de cerrar la comprobación.")</f>
      </c>
      <c r="L80" s="26">
        <f>IFERROR(IF(N80=0,"",IF(O80&gt;0,"Completamos datos, claves o motivo. ","")&amp;IF(P80&gt;0,"Cotejamos precios e importe. ","")&amp;IF(Q80&gt;0,"Aclaramos el cero. ","")&amp;IF(R80&gt;0,"Comprobamos el texto. ","")&amp;IF(S80&gt;0,"Revisamos decimales visibles. ","")&amp;IF(T80&gt;0,"Confirmamos la unidad.","")),"Hay una entrada con error. Corregimos el dato antes de cerrar la comprobación.")</f>
      </c>
      <c r="N80" s="29" t="n">
        <f>IF(COUNTA('DATOS'!B80:O80)&gt;0,1,0)</f>
        <v>0</v>
      </c>
      <c r="O80" s="29">
        <f>IFERROR(IF(N80=0,"",IF(OR(NOT(AND(LEN(TRIM('DATOS'!B80&amp;""))&gt;0,TRIM('DATOS'!B80&amp;"")&lt;&gt;"Pendiente",TRIM('DATOS'!B80&amp;"")&lt;&gt;"Por confirmar",TRIM('DATOS'!B80&amp;"")&lt;&gt;"No consta",TRIM('DATOS'!B80&amp;"")&lt;&gt;"Desconocido",TRIM('DATOS'!B80&amp;"")&lt;&gt;"Sin confirmar",TRIM('DATOS'!B80&amp;"")&lt;&gt;"Por decidir",TRIM('DATOS'!B80&amp;"")&lt;&gt;"Por comprobar")),NOT(AND(LEN(TRIM('DATOS'!C80&amp;""))&gt;0,TRIM('DATOS'!C80&amp;"")&lt;&gt;"Pendiente",TRIM('DATOS'!C80&amp;"")&lt;&gt;"Por confirmar",TRIM('DATOS'!C80&amp;"")&lt;&gt;"No consta",TRIM('DATOS'!C80&amp;"")&lt;&gt;"Desconocido",TRIM('DATOS'!C80&amp;"")&lt;&gt;"Sin confirmar",TRIM('DATOS'!C80&amp;"")&lt;&gt;"Por decidir",TRIM('DATOS'!C80&amp;"")&lt;&gt;"Por comprobar")),NOT(AND(LEN(TRIM('DATOS'!D80&amp;""))&gt;0,TRIM('DATOS'!D80&amp;"")&lt;&gt;"Pendiente",TRIM('DATOS'!D80&amp;"")&lt;&gt;"Por confirmar",TRIM('DATOS'!D80&amp;"")&lt;&gt;"No consta",TRIM('DATOS'!D80&amp;"")&lt;&gt;"Desconocido",TRIM('DATOS'!D80&amp;"")&lt;&gt;"Sin confirmar",TRIM('DATOS'!D80&amp;"")&lt;&gt;"Por decidir",TRIM('DATOS'!D80&amp;"")&lt;&gt;"Por comprobar")),NOT(AND(LEN(TRIM('DATOS'!E80&amp;""))&gt;0,TRIM('DATOS'!E80&amp;"")&lt;&gt;"Pendiente",TRIM('DATOS'!E80&amp;"")&lt;&gt;"Por confirmar",TRIM('DATOS'!E80&amp;"")&lt;&gt;"No consta",TRIM('DATOS'!E80&amp;"")&lt;&gt;"Desconocido",TRIM('DATOS'!E80&amp;"")&lt;&gt;"Sin confirmar",TRIM('DATOS'!E80&amp;"")&lt;&gt;"Por decidir",TRIM('DATOS'!E80&amp;"")&lt;&gt;"Por comprobar")),NOT(AND(LEN(TRIM('DATOS'!F80&amp;""))&gt;0,TRIM('DATOS'!F80&amp;"")&lt;&gt;"Pendiente",TRIM('DATOS'!F80&amp;"")&lt;&gt;"Por confirmar",TRIM('DATOS'!F80&amp;"")&lt;&gt;"No consta",TRIM('DATOS'!F80&amp;"")&lt;&gt;"Desconocido",TRIM('DATOS'!F80&amp;"")&lt;&gt;"Sin confirmar",TRIM('DATOS'!F80&amp;"")&lt;&gt;"Por decidir",TRIM('DATOS'!F80&amp;"")&lt;&gt;"Por comprobar")),NOT(AND(LEN(TRIM('DATOS'!N80&amp;""))&gt;0,TRIM('DATOS'!N80&amp;"")&lt;&gt;"Pendiente",TRIM('DATOS'!N80&amp;"")&lt;&gt;"Por confirmar",TRIM('DATOS'!N80&amp;"")&lt;&gt;"No consta",TRIM('DATOS'!N80&amp;"")&lt;&gt;"Desconocido",TRIM('DATOS'!N80&amp;"")&lt;&gt;"Sin confirmar",TRIM('DATOS'!N80&amp;"")&lt;&gt;"Por decidir",TRIM('DATOS'!N80&amp;"")&lt;&gt;"Por comprobar")),NOT(Y80=1),W80&lt;&gt;1,X80&gt;1,NOT(OR(LEN(TRIM('DATOS'!K80&amp;""))=0,'DATOS'!K80="Sin valorar",'DATOS'!K80="Sin coste documentado",'DATOS'!K80="Incluido en otra partida",'DATOS'!K80="Por confirmar")),NOT(OR(LEN(TRIM('DATOS'!M80&amp;""))=0,'DATOS'!M80="Sí",'DATOS'!M80="No",'DATOS'!M80="Por confirmar")),NOT(OR(LEN(TRIM('DATOS'!O80&amp;""))=0,'DATOS'!O80="Comparamos",'DATOS'!O80="No existe",'DATOS'!O80="Por confirmar"))),2,IF(AND(OR('DATOS'!G80&lt;0,'DATOS'!H80&lt;0,'DATOS'!J80&lt;0),NOT(AND(LEN(TRIM('DATOS'!L80&amp;""))&gt;0,TRIM('DATOS'!L80&amp;"")&lt;&gt;"Pendiente",TRIM('DATOS'!L80&amp;"")&lt;&gt;"Por confirmar",TRIM('DATOS'!L80&amp;"")&lt;&gt;"No consta",TRIM('DATOS'!L80&amp;"")&lt;&gt;"Desconocido",TRIM('DATOS'!L80&amp;"")&lt;&gt;"Sin confirmar",TRIM('DATOS'!L80&amp;"")&lt;&gt;"Por decidir",TRIM('DATOS'!L80&amp;"")&lt;&gt;"Por comprobar"))),1,0))),2)</f>
      </c>
      <c r="P80" s="29">
        <f>IFERROR(IF(N80=0,"",IF(NOT(Y80=1),1,IF('REFERENCIAS'!$Q$8&lt;&gt;1,2,IF(ABS('DATOS'!J80-ROUND('DATOS'!G80*'DATOS'!H80,'REFERENCIAS'!$K$8))&gt;0.00000001,2,IF('DATOS'!O80="No existe",IF(LEN(TRIM('DATOS'!I80&amp;""))=0,0,2),IF('DATOS'!O80="Comparamos",IF(LEN(TRIM('DATOS'!I80&amp;""))=0,1,IF(ISNUMBER('DATOS'!I80),IF(ABS('DATOS'!H80-'DATOS'!I80)&gt;0.00000001,2,0),2)),1)))))),2)</f>
      </c>
      <c r="Q80" s="29">
        <f>IFERROR(IF(N80=0,"",IF(NOT(Y80=1),1,IF('DATOS'!K80="Sin valorar",2,IF('DATOS'!G80=0,1,IF(OR('DATOS'!H80=0,'DATOS'!J80=0),IF(AND(OR('DATOS'!K80="Sin coste documentado",'DATOS'!K80="Incluido en otra partida"),AND(LEN(TRIM('DATOS'!L80&amp;""))&gt;0,TRIM('DATOS'!L80&amp;"")&lt;&gt;"Pendiente",TRIM('DATOS'!L80&amp;"")&lt;&gt;"Por confirmar",TRIM('DATOS'!L80&amp;"")&lt;&gt;"No consta",TRIM('DATOS'!L80&amp;"")&lt;&gt;"Desconocido",TRIM('DATOS'!L80&amp;"")&lt;&gt;"Sin confirmar",TRIM('DATOS'!L80&amp;"")&lt;&gt;"Por decidir",TRIM('DATOS'!L80&amp;"")&lt;&gt;"Por comprobar")),0,1),0))))),2)</f>
      </c>
      <c r="R80" s="29">
        <f>IFERROR(IF(N80=0,"",IF(OR(NOT(AND(LEN(TRIM('DATOS'!D80&amp;""))&gt;0,TRIM('DATOS'!D80&amp;"")&lt;&gt;"Pendiente",TRIM('DATOS'!D80&amp;"")&lt;&gt;"Por confirmar",TRIM('DATOS'!D80&amp;"")&lt;&gt;"No consta",TRIM('DATOS'!D80&amp;"")&lt;&gt;"Desconocido",TRIM('DATOS'!D80&amp;"")&lt;&gt;"Sin confirmar",TRIM('DATOS'!D80&amp;"")&lt;&gt;"Por decidir",TRIM('DATOS'!D80&amp;"")&lt;&gt;"Por comprobar")),NOT(AND(LEN(TRIM('DATOS'!E80&amp;""))&gt;0,TRIM('DATOS'!E80&amp;"")&lt;&gt;"Pendiente",TRIM('DATOS'!E80&amp;"")&lt;&gt;"Por confirmar",TRIM('DATOS'!E80&amp;"")&lt;&gt;"No consta",TRIM('DATOS'!E80&amp;"")&lt;&gt;"Desconocido",TRIM('DATOS'!E80&amp;"")&lt;&gt;"Sin confirmar",TRIM('DATOS'!E80&amp;"")&lt;&gt;"Por decidir",TRIM('DATOS'!E80&amp;"")&lt;&gt;"Por comprobar"))),2,IF('DATOS'!M80="No",2,IF('DATOS'!M80="Sí",0,IF(OR('DATOS'!D80&lt;&gt;'DATOS'!E80,LEN('DATOS'!E80)&gt;300,RIGHT(TRIM('DATOS'!E80),3)="...",RIGHT(TRIM('DATOS'!E80),1)="…"),1,0))))),2)</f>
      </c>
      <c r="S80" s="29">
        <f>IFERROR(IF(N80=0,"",IF('REFERENCIAS'!$Q$8&lt;&gt;1,2,IF(NOT(Y80=1),1,IF(OR(ABS('DATOS'!G80-ROUND('DATOS'!G80,'REFERENCIAS'!$E$8))&gt;0.00000001,ABS('DATOS'!H80-ROUND('DATOS'!H80,'REFERENCIAS'!$H$8))&gt;0.00000001,ABS('DATOS'!J80-ROUND('DATOS'!J80,'REFERENCIAS'!$K$8))&gt;0.00000001,IF(ISNUMBER('DATOS'!I80),ABS('DATOS'!I80-ROUND('DATOS'!I80,'REFERENCIAS'!$H$8))&gt;0.00000001,FALSE)),1,0)))),2)</f>
      </c>
      <c r="T80" s="29">
        <f>IFERROR(IF(N80=0,"",IF(NOT(AND(LEN(TRIM('DATOS'!F80&amp;""))&gt;0,TRIM('DATOS'!F80&amp;"")&lt;&gt;"Pendiente",TRIM('DATOS'!F80&amp;"")&lt;&gt;"Por confirmar",TRIM('DATOS'!F80&amp;"")&lt;&gt;"No consta",TRIM('DATOS'!F80&amp;"")&lt;&gt;"Desconocido",TRIM('DATOS'!F80&amp;"")&lt;&gt;"Sin confirmar",TRIM('DATOS'!F80&amp;"")&lt;&gt;"Por decidir",TRIM('DATOS'!F80&amp;"")&lt;&gt;"Por comprobar")),2,IF(COUNTIFS('REFERENCIAS'!$T$15:$T$34,"ID:"&amp;SUBSTITUTE(SUBSTITUTE(SUBSTITUTE(SUBSTITUTE(UPPER(TRIM('DATOS'!F80&amp;"")),"!","!E"),"*","!A"),"?","!B"),"~","!C"),'REFERENCIAS'!$H$15:$H$34,"&lt;&gt;")&gt;0,0,1))),2)</f>
      </c>
      <c r="U80" s="29" t="str">
        <f>'DATOS'!R80</f>
        <v>ID:</v>
      </c>
      <c r="V80" s="29" t="str">
        <f>'DATOS'!S80</f>
        <v>ID:</v>
      </c>
      <c r="W80" s="29" t="n">
        <f>IF(N80=0,0,COUNTIFS('REFERENCIAS'!$R$15:$R$64,U80))</f>
        <v>0</v>
      </c>
      <c r="X80" s="29" t="n">
        <f>IF(N80=0,0,COUNTIFS('DATOS'!$R$10:$R$509,U80,'DATOS'!$S$10:$S$509,V80))</f>
        <v>0</v>
      </c>
      <c r="Y80" s="29" t="n">
        <f>IF(AND(ISNUMBER('DATOS'!G80),ISNUMBER('DATOS'!H80),ISNUMBER('DATOS'!J80)),1,0)</f>
        <v>0</v>
      </c>
    </row>
    <row r="81" ht="64" customHeight="1">
      <c r="B81" s="26">
        <f>IF(N81=1,72,"")</f>
      </c>
      <c r="C81" s="26">
        <f>IF(AND(N81=1,LEN(TRIM('DATOS'!B81&amp;""))&gt;0),'DATOS'!B81,"")</f>
      </c>
      <c r="D81" s="26">
        <f>IF(AND(N81=1,LEN(TRIM('DATOS'!C81&amp;""))&gt;0),'DATOS'!C81,"")</f>
      </c>
      <c r="E81" s="26">
        <f>IF(NOT(ISNUMBER(P81)),"",IF(P81=2,"ROJO",IF(P81=1,"ÁMBAR","VERDE")))</f>
      </c>
      <c r="F81" s="26">
        <f>IF(NOT(ISNUMBER(Q81)),"",IF(Q81=2,"ROJO",IF(Q81=1,"ÁMBAR","VERDE")))</f>
      </c>
      <c r="G81" s="26">
        <f>IF(NOT(ISNUMBER(R81)),"",IF(R81=2,"ROJO",IF(R81=1,"ÁMBAR","VERDE")))</f>
      </c>
      <c r="H81" s="26">
        <f>IF(NOT(ISNUMBER(S81)),"",IF(S81=2,"ROJO",IF(S81=1,"ÁMBAR","VERDE")))</f>
      </c>
      <c r="I81" s="26">
        <f>IF(NOT(ISNUMBER(T81)),"",IF(T81=2,"ROJO",IF(T81=1,"ÁMBAR","VERDE")))</f>
      </c>
      <c r="J81" s="26">
        <f>IF(NOT(ISNUMBER(O81)),"",IF(O81=2,"ROJO",IF(O81=1,"ÁMBAR","VERDE")))</f>
      </c>
      <c r="K81" s="26">
        <f>IFERROR(IF(AND(N81=1,LEN(TRIM('DATOS'!N81&amp;""))&gt;0),'DATOS'!N81,""),"Hay una entrada con error. Corregimos el dato antes de cerrar la comprobación.")</f>
      </c>
      <c r="L81" s="26">
        <f>IFERROR(IF(N81=0,"",IF(O81&gt;0,"Completamos datos, claves o motivo. ","")&amp;IF(P81&gt;0,"Cotejamos precios e importe. ","")&amp;IF(Q81&gt;0,"Aclaramos el cero. ","")&amp;IF(R81&gt;0,"Comprobamos el texto. ","")&amp;IF(S81&gt;0,"Revisamos decimales visibles. ","")&amp;IF(T81&gt;0,"Confirmamos la unidad.","")),"Hay una entrada con error. Corregimos el dato antes de cerrar la comprobación.")</f>
      </c>
      <c r="N81" s="29" t="n">
        <f>IF(COUNTA('DATOS'!B81:O81)&gt;0,1,0)</f>
        <v>0</v>
      </c>
      <c r="O81" s="29">
        <f>IFERROR(IF(N81=0,"",IF(OR(NOT(AND(LEN(TRIM('DATOS'!B81&amp;""))&gt;0,TRIM('DATOS'!B81&amp;"")&lt;&gt;"Pendiente",TRIM('DATOS'!B81&amp;"")&lt;&gt;"Por confirmar",TRIM('DATOS'!B81&amp;"")&lt;&gt;"No consta",TRIM('DATOS'!B81&amp;"")&lt;&gt;"Desconocido",TRIM('DATOS'!B81&amp;"")&lt;&gt;"Sin confirmar",TRIM('DATOS'!B81&amp;"")&lt;&gt;"Por decidir",TRIM('DATOS'!B81&amp;"")&lt;&gt;"Por comprobar")),NOT(AND(LEN(TRIM('DATOS'!C81&amp;""))&gt;0,TRIM('DATOS'!C81&amp;"")&lt;&gt;"Pendiente",TRIM('DATOS'!C81&amp;"")&lt;&gt;"Por confirmar",TRIM('DATOS'!C81&amp;"")&lt;&gt;"No consta",TRIM('DATOS'!C81&amp;"")&lt;&gt;"Desconocido",TRIM('DATOS'!C81&amp;"")&lt;&gt;"Sin confirmar",TRIM('DATOS'!C81&amp;"")&lt;&gt;"Por decidir",TRIM('DATOS'!C81&amp;"")&lt;&gt;"Por comprobar")),NOT(AND(LEN(TRIM('DATOS'!D81&amp;""))&gt;0,TRIM('DATOS'!D81&amp;"")&lt;&gt;"Pendiente",TRIM('DATOS'!D81&amp;"")&lt;&gt;"Por confirmar",TRIM('DATOS'!D81&amp;"")&lt;&gt;"No consta",TRIM('DATOS'!D81&amp;"")&lt;&gt;"Desconocido",TRIM('DATOS'!D81&amp;"")&lt;&gt;"Sin confirmar",TRIM('DATOS'!D81&amp;"")&lt;&gt;"Por decidir",TRIM('DATOS'!D81&amp;"")&lt;&gt;"Por comprobar")),NOT(AND(LEN(TRIM('DATOS'!E81&amp;""))&gt;0,TRIM('DATOS'!E81&amp;"")&lt;&gt;"Pendiente",TRIM('DATOS'!E81&amp;"")&lt;&gt;"Por confirmar",TRIM('DATOS'!E81&amp;"")&lt;&gt;"No consta",TRIM('DATOS'!E81&amp;"")&lt;&gt;"Desconocido",TRIM('DATOS'!E81&amp;"")&lt;&gt;"Sin confirmar",TRIM('DATOS'!E81&amp;"")&lt;&gt;"Por decidir",TRIM('DATOS'!E81&amp;"")&lt;&gt;"Por comprobar")),NOT(AND(LEN(TRIM('DATOS'!F81&amp;""))&gt;0,TRIM('DATOS'!F81&amp;"")&lt;&gt;"Pendiente",TRIM('DATOS'!F81&amp;"")&lt;&gt;"Por confirmar",TRIM('DATOS'!F81&amp;"")&lt;&gt;"No consta",TRIM('DATOS'!F81&amp;"")&lt;&gt;"Desconocido",TRIM('DATOS'!F81&amp;"")&lt;&gt;"Sin confirmar",TRIM('DATOS'!F81&amp;"")&lt;&gt;"Por decidir",TRIM('DATOS'!F81&amp;"")&lt;&gt;"Por comprobar")),NOT(AND(LEN(TRIM('DATOS'!N81&amp;""))&gt;0,TRIM('DATOS'!N81&amp;"")&lt;&gt;"Pendiente",TRIM('DATOS'!N81&amp;"")&lt;&gt;"Por confirmar",TRIM('DATOS'!N81&amp;"")&lt;&gt;"No consta",TRIM('DATOS'!N81&amp;"")&lt;&gt;"Desconocido",TRIM('DATOS'!N81&amp;"")&lt;&gt;"Sin confirmar",TRIM('DATOS'!N81&amp;"")&lt;&gt;"Por decidir",TRIM('DATOS'!N81&amp;"")&lt;&gt;"Por comprobar")),NOT(Y81=1),W81&lt;&gt;1,X81&gt;1,NOT(OR(LEN(TRIM('DATOS'!K81&amp;""))=0,'DATOS'!K81="Sin valorar",'DATOS'!K81="Sin coste documentado",'DATOS'!K81="Incluido en otra partida",'DATOS'!K81="Por confirmar")),NOT(OR(LEN(TRIM('DATOS'!M81&amp;""))=0,'DATOS'!M81="Sí",'DATOS'!M81="No",'DATOS'!M81="Por confirmar")),NOT(OR(LEN(TRIM('DATOS'!O81&amp;""))=0,'DATOS'!O81="Comparamos",'DATOS'!O81="No existe",'DATOS'!O81="Por confirmar"))),2,IF(AND(OR('DATOS'!G81&lt;0,'DATOS'!H81&lt;0,'DATOS'!J81&lt;0),NOT(AND(LEN(TRIM('DATOS'!L81&amp;""))&gt;0,TRIM('DATOS'!L81&amp;"")&lt;&gt;"Pendiente",TRIM('DATOS'!L81&amp;"")&lt;&gt;"Por confirmar",TRIM('DATOS'!L81&amp;"")&lt;&gt;"No consta",TRIM('DATOS'!L81&amp;"")&lt;&gt;"Desconocido",TRIM('DATOS'!L81&amp;"")&lt;&gt;"Sin confirmar",TRIM('DATOS'!L81&amp;"")&lt;&gt;"Por decidir",TRIM('DATOS'!L81&amp;"")&lt;&gt;"Por comprobar"))),1,0))),2)</f>
      </c>
      <c r="P81" s="29">
        <f>IFERROR(IF(N81=0,"",IF(NOT(Y81=1),1,IF('REFERENCIAS'!$Q$8&lt;&gt;1,2,IF(ABS('DATOS'!J81-ROUND('DATOS'!G81*'DATOS'!H81,'REFERENCIAS'!$K$8))&gt;0.00000001,2,IF('DATOS'!O81="No existe",IF(LEN(TRIM('DATOS'!I81&amp;""))=0,0,2),IF('DATOS'!O81="Comparamos",IF(LEN(TRIM('DATOS'!I81&amp;""))=0,1,IF(ISNUMBER('DATOS'!I81),IF(ABS('DATOS'!H81-'DATOS'!I81)&gt;0.00000001,2,0),2)),1)))))),2)</f>
      </c>
      <c r="Q81" s="29">
        <f>IFERROR(IF(N81=0,"",IF(NOT(Y81=1),1,IF('DATOS'!K81="Sin valorar",2,IF('DATOS'!G81=0,1,IF(OR('DATOS'!H81=0,'DATOS'!J81=0),IF(AND(OR('DATOS'!K81="Sin coste documentado",'DATOS'!K81="Incluido en otra partida"),AND(LEN(TRIM('DATOS'!L81&amp;""))&gt;0,TRIM('DATOS'!L81&amp;"")&lt;&gt;"Pendiente",TRIM('DATOS'!L81&amp;"")&lt;&gt;"Por confirmar",TRIM('DATOS'!L81&amp;"")&lt;&gt;"No consta",TRIM('DATOS'!L81&amp;"")&lt;&gt;"Desconocido",TRIM('DATOS'!L81&amp;"")&lt;&gt;"Sin confirmar",TRIM('DATOS'!L81&amp;"")&lt;&gt;"Por decidir",TRIM('DATOS'!L81&amp;"")&lt;&gt;"Por comprobar")),0,1),0))))),2)</f>
      </c>
      <c r="R81" s="29">
        <f>IFERROR(IF(N81=0,"",IF(OR(NOT(AND(LEN(TRIM('DATOS'!D81&amp;""))&gt;0,TRIM('DATOS'!D81&amp;"")&lt;&gt;"Pendiente",TRIM('DATOS'!D81&amp;"")&lt;&gt;"Por confirmar",TRIM('DATOS'!D81&amp;"")&lt;&gt;"No consta",TRIM('DATOS'!D81&amp;"")&lt;&gt;"Desconocido",TRIM('DATOS'!D81&amp;"")&lt;&gt;"Sin confirmar",TRIM('DATOS'!D81&amp;"")&lt;&gt;"Por decidir",TRIM('DATOS'!D81&amp;"")&lt;&gt;"Por comprobar")),NOT(AND(LEN(TRIM('DATOS'!E81&amp;""))&gt;0,TRIM('DATOS'!E81&amp;"")&lt;&gt;"Pendiente",TRIM('DATOS'!E81&amp;"")&lt;&gt;"Por confirmar",TRIM('DATOS'!E81&amp;"")&lt;&gt;"No consta",TRIM('DATOS'!E81&amp;"")&lt;&gt;"Desconocido",TRIM('DATOS'!E81&amp;"")&lt;&gt;"Sin confirmar",TRIM('DATOS'!E81&amp;"")&lt;&gt;"Por decidir",TRIM('DATOS'!E81&amp;"")&lt;&gt;"Por comprobar"))),2,IF('DATOS'!M81="No",2,IF('DATOS'!M81="Sí",0,IF(OR('DATOS'!D81&lt;&gt;'DATOS'!E81,LEN('DATOS'!E81)&gt;300,RIGHT(TRIM('DATOS'!E81),3)="...",RIGHT(TRIM('DATOS'!E81),1)="…"),1,0))))),2)</f>
      </c>
      <c r="S81" s="29">
        <f>IFERROR(IF(N81=0,"",IF('REFERENCIAS'!$Q$8&lt;&gt;1,2,IF(NOT(Y81=1),1,IF(OR(ABS('DATOS'!G81-ROUND('DATOS'!G81,'REFERENCIAS'!$E$8))&gt;0.00000001,ABS('DATOS'!H81-ROUND('DATOS'!H81,'REFERENCIAS'!$H$8))&gt;0.00000001,ABS('DATOS'!J81-ROUND('DATOS'!J81,'REFERENCIAS'!$K$8))&gt;0.00000001,IF(ISNUMBER('DATOS'!I81),ABS('DATOS'!I81-ROUND('DATOS'!I81,'REFERENCIAS'!$H$8))&gt;0.00000001,FALSE)),1,0)))),2)</f>
      </c>
      <c r="T81" s="29">
        <f>IFERROR(IF(N81=0,"",IF(NOT(AND(LEN(TRIM('DATOS'!F81&amp;""))&gt;0,TRIM('DATOS'!F81&amp;"")&lt;&gt;"Pendiente",TRIM('DATOS'!F81&amp;"")&lt;&gt;"Por confirmar",TRIM('DATOS'!F81&amp;"")&lt;&gt;"No consta",TRIM('DATOS'!F81&amp;"")&lt;&gt;"Desconocido",TRIM('DATOS'!F81&amp;"")&lt;&gt;"Sin confirmar",TRIM('DATOS'!F81&amp;"")&lt;&gt;"Por decidir",TRIM('DATOS'!F81&amp;"")&lt;&gt;"Por comprobar")),2,IF(COUNTIFS('REFERENCIAS'!$T$15:$T$34,"ID:"&amp;SUBSTITUTE(SUBSTITUTE(SUBSTITUTE(SUBSTITUTE(UPPER(TRIM('DATOS'!F81&amp;"")),"!","!E"),"*","!A"),"?","!B"),"~","!C"),'REFERENCIAS'!$H$15:$H$34,"&lt;&gt;")&gt;0,0,1))),2)</f>
      </c>
      <c r="U81" s="29" t="str">
        <f>'DATOS'!R81</f>
        <v>ID:</v>
      </c>
      <c r="V81" s="29" t="str">
        <f>'DATOS'!S81</f>
        <v>ID:</v>
      </c>
      <c r="W81" s="29" t="n">
        <f>IF(N81=0,0,COUNTIFS('REFERENCIAS'!$R$15:$R$64,U81))</f>
        <v>0</v>
      </c>
      <c r="X81" s="29" t="n">
        <f>IF(N81=0,0,COUNTIFS('DATOS'!$R$10:$R$509,U81,'DATOS'!$S$10:$S$509,V81))</f>
        <v>0</v>
      </c>
      <c r="Y81" s="29" t="n">
        <f>IF(AND(ISNUMBER('DATOS'!G81),ISNUMBER('DATOS'!H81),ISNUMBER('DATOS'!J81)),1,0)</f>
        <v>0</v>
      </c>
    </row>
    <row r="82" ht="64" customHeight="1">
      <c r="B82" s="26">
        <f>IF(N82=1,73,"")</f>
      </c>
      <c r="C82" s="26">
        <f>IF(AND(N82=1,LEN(TRIM('DATOS'!B82&amp;""))&gt;0),'DATOS'!B82,"")</f>
      </c>
      <c r="D82" s="26">
        <f>IF(AND(N82=1,LEN(TRIM('DATOS'!C82&amp;""))&gt;0),'DATOS'!C82,"")</f>
      </c>
      <c r="E82" s="26">
        <f>IF(NOT(ISNUMBER(P82)),"",IF(P82=2,"ROJO",IF(P82=1,"ÁMBAR","VERDE")))</f>
      </c>
      <c r="F82" s="26">
        <f>IF(NOT(ISNUMBER(Q82)),"",IF(Q82=2,"ROJO",IF(Q82=1,"ÁMBAR","VERDE")))</f>
      </c>
      <c r="G82" s="26">
        <f>IF(NOT(ISNUMBER(R82)),"",IF(R82=2,"ROJO",IF(R82=1,"ÁMBAR","VERDE")))</f>
      </c>
      <c r="H82" s="26">
        <f>IF(NOT(ISNUMBER(S82)),"",IF(S82=2,"ROJO",IF(S82=1,"ÁMBAR","VERDE")))</f>
      </c>
      <c r="I82" s="26">
        <f>IF(NOT(ISNUMBER(T82)),"",IF(T82=2,"ROJO",IF(T82=1,"ÁMBAR","VERDE")))</f>
      </c>
      <c r="J82" s="26">
        <f>IF(NOT(ISNUMBER(O82)),"",IF(O82=2,"ROJO",IF(O82=1,"ÁMBAR","VERDE")))</f>
      </c>
      <c r="K82" s="26">
        <f>IFERROR(IF(AND(N82=1,LEN(TRIM('DATOS'!N82&amp;""))&gt;0),'DATOS'!N82,""),"Hay una entrada con error. Corregimos el dato antes de cerrar la comprobación.")</f>
      </c>
      <c r="L82" s="26">
        <f>IFERROR(IF(N82=0,"",IF(O82&gt;0,"Completamos datos, claves o motivo. ","")&amp;IF(P82&gt;0,"Cotejamos precios e importe. ","")&amp;IF(Q82&gt;0,"Aclaramos el cero. ","")&amp;IF(R82&gt;0,"Comprobamos el texto. ","")&amp;IF(S82&gt;0,"Revisamos decimales visibles. ","")&amp;IF(T82&gt;0,"Confirmamos la unidad.","")),"Hay una entrada con error. Corregimos el dato antes de cerrar la comprobación.")</f>
      </c>
      <c r="N82" s="29" t="n">
        <f>IF(COUNTA('DATOS'!B82:O82)&gt;0,1,0)</f>
        <v>0</v>
      </c>
      <c r="O82" s="29">
        <f>IFERROR(IF(N82=0,"",IF(OR(NOT(AND(LEN(TRIM('DATOS'!B82&amp;""))&gt;0,TRIM('DATOS'!B82&amp;"")&lt;&gt;"Pendiente",TRIM('DATOS'!B82&amp;"")&lt;&gt;"Por confirmar",TRIM('DATOS'!B82&amp;"")&lt;&gt;"No consta",TRIM('DATOS'!B82&amp;"")&lt;&gt;"Desconocido",TRIM('DATOS'!B82&amp;"")&lt;&gt;"Sin confirmar",TRIM('DATOS'!B82&amp;"")&lt;&gt;"Por decidir",TRIM('DATOS'!B82&amp;"")&lt;&gt;"Por comprobar")),NOT(AND(LEN(TRIM('DATOS'!C82&amp;""))&gt;0,TRIM('DATOS'!C82&amp;"")&lt;&gt;"Pendiente",TRIM('DATOS'!C82&amp;"")&lt;&gt;"Por confirmar",TRIM('DATOS'!C82&amp;"")&lt;&gt;"No consta",TRIM('DATOS'!C82&amp;"")&lt;&gt;"Desconocido",TRIM('DATOS'!C82&amp;"")&lt;&gt;"Sin confirmar",TRIM('DATOS'!C82&amp;"")&lt;&gt;"Por decidir",TRIM('DATOS'!C82&amp;"")&lt;&gt;"Por comprobar")),NOT(AND(LEN(TRIM('DATOS'!D82&amp;""))&gt;0,TRIM('DATOS'!D82&amp;"")&lt;&gt;"Pendiente",TRIM('DATOS'!D82&amp;"")&lt;&gt;"Por confirmar",TRIM('DATOS'!D82&amp;"")&lt;&gt;"No consta",TRIM('DATOS'!D82&amp;"")&lt;&gt;"Desconocido",TRIM('DATOS'!D82&amp;"")&lt;&gt;"Sin confirmar",TRIM('DATOS'!D82&amp;"")&lt;&gt;"Por decidir",TRIM('DATOS'!D82&amp;"")&lt;&gt;"Por comprobar")),NOT(AND(LEN(TRIM('DATOS'!E82&amp;""))&gt;0,TRIM('DATOS'!E82&amp;"")&lt;&gt;"Pendiente",TRIM('DATOS'!E82&amp;"")&lt;&gt;"Por confirmar",TRIM('DATOS'!E82&amp;"")&lt;&gt;"No consta",TRIM('DATOS'!E82&amp;"")&lt;&gt;"Desconocido",TRIM('DATOS'!E82&amp;"")&lt;&gt;"Sin confirmar",TRIM('DATOS'!E82&amp;"")&lt;&gt;"Por decidir",TRIM('DATOS'!E82&amp;"")&lt;&gt;"Por comprobar")),NOT(AND(LEN(TRIM('DATOS'!F82&amp;""))&gt;0,TRIM('DATOS'!F82&amp;"")&lt;&gt;"Pendiente",TRIM('DATOS'!F82&amp;"")&lt;&gt;"Por confirmar",TRIM('DATOS'!F82&amp;"")&lt;&gt;"No consta",TRIM('DATOS'!F82&amp;"")&lt;&gt;"Desconocido",TRIM('DATOS'!F82&amp;"")&lt;&gt;"Sin confirmar",TRIM('DATOS'!F82&amp;"")&lt;&gt;"Por decidir",TRIM('DATOS'!F82&amp;"")&lt;&gt;"Por comprobar")),NOT(AND(LEN(TRIM('DATOS'!N82&amp;""))&gt;0,TRIM('DATOS'!N82&amp;"")&lt;&gt;"Pendiente",TRIM('DATOS'!N82&amp;"")&lt;&gt;"Por confirmar",TRIM('DATOS'!N82&amp;"")&lt;&gt;"No consta",TRIM('DATOS'!N82&amp;"")&lt;&gt;"Desconocido",TRIM('DATOS'!N82&amp;"")&lt;&gt;"Sin confirmar",TRIM('DATOS'!N82&amp;"")&lt;&gt;"Por decidir",TRIM('DATOS'!N82&amp;"")&lt;&gt;"Por comprobar")),NOT(Y82=1),W82&lt;&gt;1,X82&gt;1,NOT(OR(LEN(TRIM('DATOS'!K82&amp;""))=0,'DATOS'!K82="Sin valorar",'DATOS'!K82="Sin coste documentado",'DATOS'!K82="Incluido en otra partida",'DATOS'!K82="Por confirmar")),NOT(OR(LEN(TRIM('DATOS'!M82&amp;""))=0,'DATOS'!M82="Sí",'DATOS'!M82="No",'DATOS'!M82="Por confirmar")),NOT(OR(LEN(TRIM('DATOS'!O82&amp;""))=0,'DATOS'!O82="Comparamos",'DATOS'!O82="No existe",'DATOS'!O82="Por confirmar"))),2,IF(AND(OR('DATOS'!G82&lt;0,'DATOS'!H82&lt;0,'DATOS'!J82&lt;0),NOT(AND(LEN(TRIM('DATOS'!L82&amp;""))&gt;0,TRIM('DATOS'!L82&amp;"")&lt;&gt;"Pendiente",TRIM('DATOS'!L82&amp;"")&lt;&gt;"Por confirmar",TRIM('DATOS'!L82&amp;"")&lt;&gt;"No consta",TRIM('DATOS'!L82&amp;"")&lt;&gt;"Desconocido",TRIM('DATOS'!L82&amp;"")&lt;&gt;"Sin confirmar",TRIM('DATOS'!L82&amp;"")&lt;&gt;"Por decidir",TRIM('DATOS'!L82&amp;"")&lt;&gt;"Por comprobar"))),1,0))),2)</f>
      </c>
      <c r="P82" s="29">
        <f>IFERROR(IF(N82=0,"",IF(NOT(Y82=1),1,IF('REFERENCIAS'!$Q$8&lt;&gt;1,2,IF(ABS('DATOS'!J82-ROUND('DATOS'!G82*'DATOS'!H82,'REFERENCIAS'!$K$8))&gt;0.00000001,2,IF('DATOS'!O82="No existe",IF(LEN(TRIM('DATOS'!I82&amp;""))=0,0,2),IF('DATOS'!O82="Comparamos",IF(LEN(TRIM('DATOS'!I82&amp;""))=0,1,IF(ISNUMBER('DATOS'!I82),IF(ABS('DATOS'!H82-'DATOS'!I82)&gt;0.00000001,2,0),2)),1)))))),2)</f>
      </c>
      <c r="Q82" s="29">
        <f>IFERROR(IF(N82=0,"",IF(NOT(Y82=1),1,IF('DATOS'!K82="Sin valorar",2,IF('DATOS'!G82=0,1,IF(OR('DATOS'!H82=0,'DATOS'!J82=0),IF(AND(OR('DATOS'!K82="Sin coste documentado",'DATOS'!K82="Incluido en otra partida"),AND(LEN(TRIM('DATOS'!L82&amp;""))&gt;0,TRIM('DATOS'!L82&amp;"")&lt;&gt;"Pendiente",TRIM('DATOS'!L82&amp;"")&lt;&gt;"Por confirmar",TRIM('DATOS'!L82&amp;"")&lt;&gt;"No consta",TRIM('DATOS'!L82&amp;"")&lt;&gt;"Desconocido",TRIM('DATOS'!L82&amp;"")&lt;&gt;"Sin confirmar",TRIM('DATOS'!L82&amp;"")&lt;&gt;"Por decidir",TRIM('DATOS'!L82&amp;"")&lt;&gt;"Por comprobar")),0,1),0))))),2)</f>
      </c>
      <c r="R82" s="29">
        <f>IFERROR(IF(N82=0,"",IF(OR(NOT(AND(LEN(TRIM('DATOS'!D82&amp;""))&gt;0,TRIM('DATOS'!D82&amp;"")&lt;&gt;"Pendiente",TRIM('DATOS'!D82&amp;"")&lt;&gt;"Por confirmar",TRIM('DATOS'!D82&amp;"")&lt;&gt;"No consta",TRIM('DATOS'!D82&amp;"")&lt;&gt;"Desconocido",TRIM('DATOS'!D82&amp;"")&lt;&gt;"Sin confirmar",TRIM('DATOS'!D82&amp;"")&lt;&gt;"Por decidir",TRIM('DATOS'!D82&amp;"")&lt;&gt;"Por comprobar")),NOT(AND(LEN(TRIM('DATOS'!E82&amp;""))&gt;0,TRIM('DATOS'!E82&amp;"")&lt;&gt;"Pendiente",TRIM('DATOS'!E82&amp;"")&lt;&gt;"Por confirmar",TRIM('DATOS'!E82&amp;"")&lt;&gt;"No consta",TRIM('DATOS'!E82&amp;"")&lt;&gt;"Desconocido",TRIM('DATOS'!E82&amp;"")&lt;&gt;"Sin confirmar",TRIM('DATOS'!E82&amp;"")&lt;&gt;"Por decidir",TRIM('DATOS'!E82&amp;"")&lt;&gt;"Por comprobar"))),2,IF('DATOS'!M82="No",2,IF('DATOS'!M82="Sí",0,IF(OR('DATOS'!D82&lt;&gt;'DATOS'!E82,LEN('DATOS'!E82)&gt;300,RIGHT(TRIM('DATOS'!E82),3)="...",RIGHT(TRIM('DATOS'!E82),1)="…"),1,0))))),2)</f>
      </c>
      <c r="S82" s="29">
        <f>IFERROR(IF(N82=0,"",IF('REFERENCIAS'!$Q$8&lt;&gt;1,2,IF(NOT(Y82=1),1,IF(OR(ABS('DATOS'!G82-ROUND('DATOS'!G82,'REFERENCIAS'!$E$8))&gt;0.00000001,ABS('DATOS'!H82-ROUND('DATOS'!H82,'REFERENCIAS'!$H$8))&gt;0.00000001,ABS('DATOS'!J82-ROUND('DATOS'!J82,'REFERENCIAS'!$K$8))&gt;0.00000001,IF(ISNUMBER('DATOS'!I82),ABS('DATOS'!I82-ROUND('DATOS'!I82,'REFERENCIAS'!$H$8))&gt;0.00000001,FALSE)),1,0)))),2)</f>
      </c>
      <c r="T82" s="29">
        <f>IFERROR(IF(N82=0,"",IF(NOT(AND(LEN(TRIM('DATOS'!F82&amp;""))&gt;0,TRIM('DATOS'!F82&amp;"")&lt;&gt;"Pendiente",TRIM('DATOS'!F82&amp;"")&lt;&gt;"Por confirmar",TRIM('DATOS'!F82&amp;"")&lt;&gt;"No consta",TRIM('DATOS'!F82&amp;"")&lt;&gt;"Desconocido",TRIM('DATOS'!F82&amp;"")&lt;&gt;"Sin confirmar",TRIM('DATOS'!F82&amp;"")&lt;&gt;"Por decidir",TRIM('DATOS'!F82&amp;"")&lt;&gt;"Por comprobar")),2,IF(COUNTIFS('REFERENCIAS'!$T$15:$T$34,"ID:"&amp;SUBSTITUTE(SUBSTITUTE(SUBSTITUTE(SUBSTITUTE(UPPER(TRIM('DATOS'!F82&amp;"")),"!","!E"),"*","!A"),"?","!B"),"~","!C"),'REFERENCIAS'!$H$15:$H$34,"&lt;&gt;")&gt;0,0,1))),2)</f>
      </c>
      <c r="U82" s="29" t="str">
        <f>'DATOS'!R82</f>
        <v>ID:</v>
      </c>
      <c r="V82" s="29" t="str">
        <f>'DATOS'!S82</f>
        <v>ID:</v>
      </c>
      <c r="W82" s="29" t="n">
        <f>IF(N82=0,0,COUNTIFS('REFERENCIAS'!$R$15:$R$64,U82))</f>
        <v>0</v>
      </c>
      <c r="X82" s="29" t="n">
        <f>IF(N82=0,0,COUNTIFS('DATOS'!$R$10:$R$509,U82,'DATOS'!$S$10:$S$509,V82))</f>
        <v>0</v>
      </c>
      <c r="Y82" s="29" t="n">
        <f>IF(AND(ISNUMBER('DATOS'!G82),ISNUMBER('DATOS'!H82),ISNUMBER('DATOS'!J82)),1,0)</f>
        <v>0</v>
      </c>
    </row>
    <row r="83" ht="64" customHeight="1">
      <c r="B83" s="26">
        <f>IF(N83=1,74,"")</f>
      </c>
      <c r="C83" s="26">
        <f>IF(AND(N83=1,LEN(TRIM('DATOS'!B83&amp;""))&gt;0),'DATOS'!B83,"")</f>
      </c>
      <c r="D83" s="26">
        <f>IF(AND(N83=1,LEN(TRIM('DATOS'!C83&amp;""))&gt;0),'DATOS'!C83,"")</f>
      </c>
      <c r="E83" s="26">
        <f>IF(NOT(ISNUMBER(P83)),"",IF(P83=2,"ROJO",IF(P83=1,"ÁMBAR","VERDE")))</f>
      </c>
      <c r="F83" s="26">
        <f>IF(NOT(ISNUMBER(Q83)),"",IF(Q83=2,"ROJO",IF(Q83=1,"ÁMBAR","VERDE")))</f>
      </c>
      <c r="G83" s="26">
        <f>IF(NOT(ISNUMBER(R83)),"",IF(R83=2,"ROJO",IF(R83=1,"ÁMBAR","VERDE")))</f>
      </c>
      <c r="H83" s="26">
        <f>IF(NOT(ISNUMBER(S83)),"",IF(S83=2,"ROJO",IF(S83=1,"ÁMBAR","VERDE")))</f>
      </c>
      <c r="I83" s="26">
        <f>IF(NOT(ISNUMBER(T83)),"",IF(T83=2,"ROJO",IF(T83=1,"ÁMBAR","VERDE")))</f>
      </c>
      <c r="J83" s="26">
        <f>IF(NOT(ISNUMBER(O83)),"",IF(O83=2,"ROJO",IF(O83=1,"ÁMBAR","VERDE")))</f>
      </c>
      <c r="K83" s="26">
        <f>IFERROR(IF(AND(N83=1,LEN(TRIM('DATOS'!N83&amp;""))&gt;0),'DATOS'!N83,""),"Hay una entrada con error. Corregimos el dato antes de cerrar la comprobación.")</f>
      </c>
      <c r="L83" s="26">
        <f>IFERROR(IF(N83=0,"",IF(O83&gt;0,"Completamos datos, claves o motivo. ","")&amp;IF(P83&gt;0,"Cotejamos precios e importe. ","")&amp;IF(Q83&gt;0,"Aclaramos el cero. ","")&amp;IF(R83&gt;0,"Comprobamos el texto. ","")&amp;IF(S83&gt;0,"Revisamos decimales visibles. ","")&amp;IF(T83&gt;0,"Confirmamos la unidad.","")),"Hay una entrada con error. Corregimos el dato antes de cerrar la comprobación.")</f>
      </c>
      <c r="N83" s="29" t="n">
        <f>IF(COUNTA('DATOS'!B83:O83)&gt;0,1,0)</f>
        <v>0</v>
      </c>
      <c r="O83" s="29">
        <f>IFERROR(IF(N83=0,"",IF(OR(NOT(AND(LEN(TRIM('DATOS'!B83&amp;""))&gt;0,TRIM('DATOS'!B83&amp;"")&lt;&gt;"Pendiente",TRIM('DATOS'!B83&amp;"")&lt;&gt;"Por confirmar",TRIM('DATOS'!B83&amp;"")&lt;&gt;"No consta",TRIM('DATOS'!B83&amp;"")&lt;&gt;"Desconocido",TRIM('DATOS'!B83&amp;"")&lt;&gt;"Sin confirmar",TRIM('DATOS'!B83&amp;"")&lt;&gt;"Por decidir",TRIM('DATOS'!B83&amp;"")&lt;&gt;"Por comprobar")),NOT(AND(LEN(TRIM('DATOS'!C83&amp;""))&gt;0,TRIM('DATOS'!C83&amp;"")&lt;&gt;"Pendiente",TRIM('DATOS'!C83&amp;"")&lt;&gt;"Por confirmar",TRIM('DATOS'!C83&amp;"")&lt;&gt;"No consta",TRIM('DATOS'!C83&amp;"")&lt;&gt;"Desconocido",TRIM('DATOS'!C83&amp;"")&lt;&gt;"Sin confirmar",TRIM('DATOS'!C83&amp;"")&lt;&gt;"Por decidir",TRIM('DATOS'!C83&amp;"")&lt;&gt;"Por comprobar")),NOT(AND(LEN(TRIM('DATOS'!D83&amp;""))&gt;0,TRIM('DATOS'!D83&amp;"")&lt;&gt;"Pendiente",TRIM('DATOS'!D83&amp;"")&lt;&gt;"Por confirmar",TRIM('DATOS'!D83&amp;"")&lt;&gt;"No consta",TRIM('DATOS'!D83&amp;"")&lt;&gt;"Desconocido",TRIM('DATOS'!D83&amp;"")&lt;&gt;"Sin confirmar",TRIM('DATOS'!D83&amp;"")&lt;&gt;"Por decidir",TRIM('DATOS'!D83&amp;"")&lt;&gt;"Por comprobar")),NOT(AND(LEN(TRIM('DATOS'!E83&amp;""))&gt;0,TRIM('DATOS'!E83&amp;"")&lt;&gt;"Pendiente",TRIM('DATOS'!E83&amp;"")&lt;&gt;"Por confirmar",TRIM('DATOS'!E83&amp;"")&lt;&gt;"No consta",TRIM('DATOS'!E83&amp;"")&lt;&gt;"Desconocido",TRIM('DATOS'!E83&amp;"")&lt;&gt;"Sin confirmar",TRIM('DATOS'!E83&amp;"")&lt;&gt;"Por decidir",TRIM('DATOS'!E83&amp;"")&lt;&gt;"Por comprobar")),NOT(AND(LEN(TRIM('DATOS'!F83&amp;""))&gt;0,TRIM('DATOS'!F83&amp;"")&lt;&gt;"Pendiente",TRIM('DATOS'!F83&amp;"")&lt;&gt;"Por confirmar",TRIM('DATOS'!F83&amp;"")&lt;&gt;"No consta",TRIM('DATOS'!F83&amp;"")&lt;&gt;"Desconocido",TRIM('DATOS'!F83&amp;"")&lt;&gt;"Sin confirmar",TRIM('DATOS'!F83&amp;"")&lt;&gt;"Por decidir",TRIM('DATOS'!F83&amp;"")&lt;&gt;"Por comprobar")),NOT(AND(LEN(TRIM('DATOS'!N83&amp;""))&gt;0,TRIM('DATOS'!N83&amp;"")&lt;&gt;"Pendiente",TRIM('DATOS'!N83&amp;"")&lt;&gt;"Por confirmar",TRIM('DATOS'!N83&amp;"")&lt;&gt;"No consta",TRIM('DATOS'!N83&amp;"")&lt;&gt;"Desconocido",TRIM('DATOS'!N83&amp;"")&lt;&gt;"Sin confirmar",TRIM('DATOS'!N83&amp;"")&lt;&gt;"Por decidir",TRIM('DATOS'!N83&amp;"")&lt;&gt;"Por comprobar")),NOT(Y83=1),W83&lt;&gt;1,X83&gt;1,NOT(OR(LEN(TRIM('DATOS'!K83&amp;""))=0,'DATOS'!K83="Sin valorar",'DATOS'!K83="Sin coste documentado",'DATOS'!K83="Incluido en otra partida",'DATOS'!K83="Por confirmar")),NOT(OR(LEN(TRIM('DATOS'!M83&amp;""))=0,'DATOS'!M83="Sí",'DATOS'!M83="No",'DATOS'!M83="Por confirmar")),NOT(OR(LEN(TRIM('DATOS'!O83&amp;""))=0,'DATOS'!O83="Comparamos",'DATOS'!O83="No existe",'DATOS'!O83="Por confirmar"))),2,IF(AND(OR('DATOS'!G83&lt;0,'DATOS'!H83&lt;0,'DATOS'!J83&lt;0),NOT(AND(LEN(TRIM('DATOS'!L83&amp;""))&gt;0,TRIM('DATOS'!L83&amp;"")&lt;&gt;"Pendiente",TRIM('DATOS'!L83&amp;"")&lt;&gt;"Por confirmar",TRIM('DATOS'!L83&amp;"")&lt;&gt;"No consta",TRIM('DATOS'!L83&amp;"")&lt;&gt;"Desconocido",TRIM('DATOS'!L83&amp;"")&lt;&gt;"Sin confirmar",TRIM('DATOS'!L83&amp;"")&lt;&gt;"Por decidir",TRIM('DATOS'!L83&amp;"")&lt;&gt;"Por comprobar"))),1,0))),2)</f>
      </c>
      <c r="P83" s="29">
        <f>IFERROR(IF(N83=0,"",IF(NOT(Y83=1),1,IF('REFERENCIAS'!$Q$8&lt;&gt;1,2,IF(ABS('DATOS'!J83-ROUND('DATOS'!G83*'DATOS'!H83,'REFERENCIAS'!$K$8))&gt;0.00000001,2,IF('DATOS'!O83="No existe",IF(LEN(TRIM('DATOS'!I83&amp;""))=0,0,2),IF('DATOS'!O83="Comparamos",IF(LEN(TRIM('DATOS'!I83&amp;""))=0,1,IF(ISNUMBER('DATOS'!I83),IF(ABS('DATOS'!H83-'DATOS'!I83)&gt;0.00000001,2,0),2)),1)))))),2)</f>
      </c>
      <c r="Q83" s="29">
        <f>IFERROR(IF(N83=0,"",IF(NOT(Y83=1),1,IF('DATOS'!K83="Sin valorar",2,IF('DATOS'!G83=0,1,IF(OR('DATOS'!H83=0,'DATOS'!J83=0),IF(AND(OR('DATOS'!K83="Sin coste documentado",'DATOS'!K83="Incluido en otra partida"),AND(LEN(TRIM('DATOS'!L83&amp;""))&gt;0,TRIM('DATOS'!L83&amp;"")&lt;&gt;"Pendiente",TRIM('DATOS'!L83&amp;"")&lt;&gt;"Por confirmar",TRIM('DATOS'!L83&amp;"")&lt;&gt;"No consta",TRIM('DATOS'!L83&amp;"")&lt;&gt;"Desconocido",TRIM('DATOS'!L83&amp;"")&lt;&gt;"Sin confirmar",TRIM('DATOS'!L83&amp;"")&lt;&gt;"Por decidir",TRIM('DATOS'!L83&amp;"")&lt;&gt;"Por comprobar")),0,1),0))))),2)</f>
      </c>
      <c r="R83" s="29">
        <f>IFERROR(IF(N83=0,"",IF(OR(NOT(AND(LEN(TRIM('DATOS'!D83&amp;""))&gt;0,TRIM('DATOS'!D83&amp;"")&lt;&gt;"Pendiente",TRIM('DATOS'!D83&amp;"")&lt;&gt;"Por confirmar",TRIM('DATOS'!D83&amp;"")&lt;&gt;"No consta",TRIM('DATOS'!D83&amp;"")&lt;&gt;"Desconocido",TRIM('DATOS'!D83&amp;"")&lt;&gt;"Sin confirmar",TRIM('DATOS'!D83&amp;"")&lt;&gt;"Por decidir",TRIM('DATOS'!D83&amp;"")&lt;&gt;"Por comprobar")),NOT(AND(LEN(TRIM('DATOS'!E83&amp;""))&gt;0,TRIM('DATOS'!E83&amp;"")&lt;&gt;"Pendiente",TRIM('DATOS'!E83&amp;"")&lt;&gt;"Por confirmar",TRIM('DATOS'!E83&amp;"")&lt;&gt;"No consta",TRIM('DATOS'!E83&amp;"")&lt;&gt;"Desconocido",TRIM('DATOS'!E83&amp;"")&lt;&gt;"Sin confirmar",TRIM('DATOS'!E83&amp;"")&lt;&gt;"Por decidir",TRIM('DATOS'!E83&amp;"")&lt;&gt;"Por comprobar"))),2,IF('DATOS'!M83="No",2,IF('DATOS'!M83="Sí",0,IF(OR('DATOS'!D83&lt;&gt;'DATOS'!E83,LEN('DATOS'!E83)&gt;300,RIGHT(TRIM('DATOS'!E83),3)="...",RIGHT(TRIM('DATOS'!E83),1)="…"),1,0))))),2)</f>
      </c>
      <c r="S83" s="29">
        <f>IFERROR(IF(N83=0,"",IF('REFERENCIAS'!$Q$8&lt;&gt;1,2,IF(NOT(Y83=1),1,IF(OR(ABS('DATOS'!G83-ROUND('DATOS'!G83,'REFERENCIAS'!$E$8))&gt;0.00000001,ABS('DATOS'!H83-ROUND('DATOS'!H83,'REFERENCIAS'!$H$8))&gt;0.00000001,ABS('DATOS'!J83-ROUND('DATOS'!J83,'REFERENCIAS'!$K$8))&gt;0.00000001,IF(ISNUMBER('DATOS'!I83),ABS('DATOS'!I83-ROUND('DATOS'!I83,'REFERENCIAS'!$H$8))&gt;0.00000001,FALSE)),1,0)))),2)</f>
      </c>
      <c r="T83" s="29">
        <f>IFERROR(IF(N83=0,"",IF(NOT(AND(LEN(TRIM('DATOS'!F83&amp;""))&gt;0,TRIM('DATOS'!F83&amp;"")&lt;&gt;"Pendiente",TRIM('DATOS'!F83&amp;"")&lt;&gt;"Por confirmar",TRIM('DATOS'!F83&amp;"")&lt;&gt;"No consta",TRIM('DATOS'!F83&amp;"")&lt;&gt;"Desconocido",TRIM('DATOS'!F83&amp;"")&lt;&gt;"Sin confirmar",TRIM('DATOS'!F83&amp;"")&lt;&gt;"Por decidir",TRIM('DATOS'!F83&amp;"")&lt;&gt;"Por comprobar")),2,IF(COUNTIFS('REFERENCIAS'!$T$15:$T$34,"ID:"&amp;SUBSTITUTE(SUBSTITUTE(SUBSTITUTE(SUBSTITUTE(UPPER(TRIM('DATOS'!F83&amp;"")),"!","!E"),"*","!A"),"?","!B"),"~","!C"),'REFERENCIAS'!$H$15:$H$34,"&lt;&gt;")&gt;0,0,1))),2)</f>
      </c>
      <c r="U83" s="29" t="str">
        <f>'DATOS'!R83</f>
        <v>ID:</v>
      </c>
      <c r="V83" s="29" t="str">
        <f>'DATOS'!S83</f>
        <v>ID:</v>
      </c>
      <c r="W83" s="29" t="n">
        <f>IF(N83=0,0,COUNTIFS('REFERENCIAS'!$R$15:$R$64,U83))</f>
        <v>0</v>
      </c>
      <c r="X83" s="29" t="n">
        <f>IF(N83=0,0,COUNTIFS('DATOS'!$R$10:$R$509,U83,'DATOS'!$S$10:$S$509,V83))</f>
        <v>0</v>
      </c>
      <c r="Y83" s="29" t="n">
        <f>IF(AND(ISNUMBER('DATOS'!G83),ISNUMBER('DATOS'!H83),ISNUMBER('DATOS'!J83)),1,0)</f>
        <v>0</v>
      </c>
    </row>
    <row r="84" ht="64" customHeight="1">
      <c r="B84" s="26">
        <f>IF(N84=1,75,"")</f>
      </c>
      <c r="C84" s="26">
        <f>IF(AND(N84=1,LEN(TRIM('DATOS'!B84&amp;""))&gt;0),'DATOS'!B84,"")</f>
      </c>
      <c r="D84" s="26">
        <f>IF(AND(N84=1,LEN(TRIM('DATOS'!C84&amp;""))&gt;0),'DATOS'!C84,"")</f>
      </c>
      <c r="E84" s="26">
        <f>IF(NOT(ISNUMBER(P84)),"",IF(P84=2,"ROJO",IF(P84=1,"ÁMBAR","VERDE")))</f>
      </c>
      <c r="F84" s="26">
        <f>IF(NOT(ISNUMBER(Q84)),"",IF(Q84=2,"ROJO",IF(Q84=1,"ÁMBAR","VERDE")))</f>
      </c>
      <c r="G84" s="26">
        <f>IF(NOT(ISNUMBER(R84)),"",IF(R84=2,"ROJO",IF(R84=1,"ÁMBAR","VERDE")))</f>
      </c>
      <c r="H84" s="26">
        <f>IF(NOT(ISNUMBER(S84)),"",IF(S84=2,"ROJO",IF(S84=1,"ÁMBAR","VERDE")))</f>
      </c>
      <c r="I84" s="26">
        <f>IF(NOT(ISNUMBER(T84)),"",IF(T84=2,"ROJO",IF(T84=1,"ÁMBAR","VERDE")))</f>
      </c>
      <c r="J84" s="26">
        <f>IF(NOT(ISNUMBER(O84)),"",IF(O84=2,"ROJO",IF(O84=1,"ÁMBAR","VERDE")))</f>
      </c>
      <c r="K84" s="26">
        <f>IFERROR(IF(AND(N84=1,LEN(TRIM('DATOS'!N84&amp;""))&gt;0),'DATOS'!N84,""),"Hay una entrada con error. Corregimos el dato antes de cerrar la comprobación.")</f>
      </c>
      <c r="L84" s="26">
        <f>IFERROR(IF(N84=0,"",IF(O84&gt;0,"Completamos datos, claves o motivo. ","")&amp;IF(P84&gt;0,"Cotejamos precios e importe. ","")&amp;IF(Q84&gt;0,"Aclaramos el cero. ","")&amp;IF(R84&gt;0,"Comprobamos el texto. ","")&amp;IF(S84&gt;0,"Revisamos decimales visibles. ","")&amp;IF(T84&gt;0,"Confirmamos la unidad.","")),"Hay una entrada con error. Corregimos el dato antes de cerrar la comprobación.")</f>
      </c>
      <c r="N84" s="29" t="n">
        <f>IF(COUNTA('DATOS'!B84:O84)&gt;0,1,0)</f>
        <v>0</v>
      </c>
      <c r="O84" s="29">
        <f>IFERROR(IF(N84=0,"",IF(OR(NOT(AND(LEN(TRIM('DATOS'!B84&amp;""))&gt;0,TRIM('DATOS'!B84&amp;"")&lt;&gt;"Pendiente",TRIM('DATOS'!B84&amp;"")&lt;&gt;"Por confirmar",TRIM('DATOS'!B84&amp;"")&lt;&gt;"No consta",TRIM('DATOS'!B84&amp;"")&lt;&gt;"Desconocido",TRIM('DATOS'!B84&amp;"")&lt;&gt;"Sin confirmar",TRIM('DATOS'!B84&amp;"")&lt;&gt;"Por decidir",TRIM('DATOS'!B84&amp;"")&lt;&gt;"Por comprobar")),NOT(AND(LEN(TRIM('DATOS'!C84&amp;""))&gt;0,TRIM('DATOS'!C84&amp;"")&lt;&gt;"Pendiente",TRIM('DATOS'!C84&amp;"")&lt;&gt;"Por confirmar",TRIM('DATOS'!C84&amp;"")&lt;&gt;"No consta",TRIM('DATOS'!C84&amp;"")&lt;&gt;"Desconocido",TRIM('DATOS'!C84&amp;"")&lt;&gt;"Sin confirmar",TRIM('DATOS'!C84&amp;"")&lt;&gt;"Por decidir",TRIM('DATOS'!C84&amp;"")&lt;&gt;"Por comprobar")),NOT(AND(LEN(TRIM('DATOS'!D84&amp;""))&gt;0,TRIM('DATOS'!D84&amp;"")&lt;&gt;"Pendiente",TRIM('DATOS'!D84&amp;"")&lt;&gt;"Por confirmar",TRIM('DATOS'!D84&amp;"")&lt;&gt;"No consta",TRIM('DATOS'!D84&amp;"")&lt;&gt;"Desconocido",TRIM('DATOS'!D84&amp;"")&lt;&gt;"Sin confirmar",TRIM('DATOS'!D84&amp;"")&lt;&gt;"Por decidir",TRIM('DATOS'!D84&amp;"")&lt;&gt;"Por comprobar")),NOT(AND(LEN(TRIM('DATOS'!E84&amp;""))&gt;0,TRIM('DATOS'!E84&amp;"")&lt;&gt;"Pendiente",TRIM('DATOS'!E84&amp;"")&lt;&gt;"Por confirmar",TRIM('DATOS'!E84&amp;"")&lt;&gt;"No consta",TRIM('DATOS'!E84&amp;"")&lt;&gt;"Desconocido",TRIM('DATOS'!E84&amp;"")&lt;&gt;"Sin confirmar",TRIM('DATOS'!E84&amp;"")&lt;&gt;"Por decidir",TRIM('DATOS'!E84&amp;"")&lt;&gt;"Por comprobar")),NOT(AND(LEN(TRIM('DATOS'!F84&amp;""))&gt;0,TRIM('DATOS'!F84&amp;"")&lt;&gt;"Pendiente",TRIM('DATOS'!F84&amp;"")&lt;&gt;"Por confirmar",TRIM('DATOS'!F84&amp;"")&lt;&gt;"No consta",TRIM('DATOS'!F84&amp;"")&lt;&gt;"Desconocido",TRIM('DATOS'!F84&amp;"")&lt;&gt;"Sin confirmar",TRIM('DATOS'!F84&amp;"")&lt;&gt;"Por decidir",TRIM('DATOS'!F84&amp;"")&lt;&gt;"Por comprobar")),NOT(AND(LEN(TRIM('DATOS'!N84&amp;""))&gt;0,TRIM('DATOS'!N84&amp;"")&lt;&gt;"Pendiente",TRIM('DATOS'!N84&amp;"")&lt;&gt;"Por confirmar",TRIM('DATOS'!N84&amp;"")&lt;&gt;"No consta",TRIM('DATOS'!N84&amp;"")&lt;&gt;"Desconocido",TRIM('DATOS'!N84&amp;"")&lt;&gt;"Sin confirmar",TRIM('DATOS'!N84&amp;"")&lt;&gt;"Por decidir",TRIM('DATOS'!N84&amp;"")&lt;&gt;"Por comprobar")),NOT(Y84=1),W84&lt;&gt;1,X84&gt;1,NOT(OR(LEN(TRIM('DATOS'!K84&amp;""))=0,'DATOS'!K84="Sin valorar",'DATOS'!K84="Sin coste documentado",'DATOS'!K84="Incluido en otra partida",'DATOS'!K84="Por confirmar")),NOT(OR(LEN(TRIM('DATOS'!M84&amp;""))=0,'DATOS'!M84="Sí",'DATOS'!M84="No",'DATOS'!M84="Por confirmar")),NOT(OR(LEN(TRIM('DATOS'!O84&amp;""))=0,'DATOS'!O84="Comparamos",'DATOS'!O84="No existe",'DATOS'!O84="Por confirmar"))),2,IF(AND(OR('DATOS'!G84&lt;0,'DATOS'!H84&lt;0,'DATOS'!J84&lt;0),NOT(AND(LEN(TRIM('DATOS'!L84&amp;""))&gt;0,TRIM('DATOS'!L84&amp;"")&lt;&gt;"Pendiente",TRIM('DATOS'!L84&amp;"")&lt;&gt;"Por confirmar",TRIM('DATOS'!L84&amp;"")&lt;&gt;"No consta",TRIM('DATOS'!L84&amp;"")&lt;&gt;"Desconocido",TRIM('DATOS'!L84&amp;"")&lt;&gt;"Sin confirmar",TRIM('DATOS'!L84&amp;"")&lt;&gt;"Por decidir",TRIM('DATOS'!L84&amp;"")&lt;&gt;"Por comprobar"))),1,0))),2)</f>
      </c>
      <c r="P84" s="29">
        <f>IFERROR(IF(N84=0,"",IF(NOT(Y84=1),1,IF('REFERENCIAS'!$Q$8&lt;&gt;1,2,IF(ABS('DATOS'!J84-ROUND('DATOS'!G84*'DATOS'!H84,'REFERENCIAS'!$K$8))&gt;0.00000001,2,IF('DATOS'!O84="No existe",IF(LEN(TRIM('DATOS'!I84&amp;""))=0,0,2),IF('DATOS'!O84="Comparamos",IF(LEN(TRIM('DATOS'!I84&amp;""))=0,1,IF(ISNUMBER('DATOS'!I84),IF(ABS('DATOS'!H84-'DATOS'!I84)&gt;0.00000001,2,0),2)),1)))))),2)</f>
      </c>
      <c r="Q84" s="29">
        <f>IFERROR(IF(N84=0,"",IF(NOT(Y84=1),1,IF('DATOS'!K84="Sin valorar",2,IF('DATOS'!G84=0,1,IF(OR('DATOS'!H84=0,'DATOS'!J84=0),IF(AND(OR('DATOS'!K84="Sin coste documentado",'DATOS'!K84="Incluido en otra partida"),AND(LEN(TRIM('DATOS'!L84&amp;""))&gt;0,TRIM('DATOS'!L84&amp;"")&lt;&gt;"Pendiente",TRIM('DATOS'!L84&amp;"")&lt;&gt;"Por confirmar",TRIM('DATOS'!L84&amp;"")&lt;&gt;"No consta",TRIM('DATOS'!L84&amp;"")&lt;&gt;"Desconocido",TRIM('DATOS'!L84&amp;"")&lt;&gt;"Sin confirmar",TRIM('DATOS'!L84&amp;"")&lt;&gt;"Por decidir",TRIM('DATOS'!L84&amp;"")&lt;&gt;"Por comprobar")),0,1),0))))),2)</f>
      </c>
      <c r="R84" s="29">
        <f>IFERROR(IF(N84=0,"",IF(OR(NOT(AND(LEN(TRIM('DATOS'!D84&amp;""))&gt;0,TRIM('DATOS'!D84&amp;"")&lt;&gt;"Pendiente",TRIM('DATOS'!D84&amp;"")&lt;&gt;"Por confirmar",TRIM('DATOS'!D84&amp;"")&lt;&gt;"No consta",TRIM('DATOS'!D84&amp;"")&lt;&gt;"Desconocido",TRIM('DATOS'!D84&amp;"")&lt;&gt;"Sin confirmar",TRIM('DATOS'!D84&amp;"")&lt;&gt;"Por decidir",TRIM('DATOS'!D84&amp;"")&lt;&gt;"Por comprobar")),NOT(AND(LEN(TRIM('DATOS'!E84&amp;""))&gt;0,TRIM('DATOS'!E84&amp;"")&lt;&gt;"Pendiente",TRIM('DATOS'!E84&amp;"")&lt;&gt;"Por confirmar",TRIM('DATOS'!E84&amp;"")&lt;&gt;"No consta",TRIM('DATOS'!E84&amp;"")&lt;&gt;"Desconocido",TRIM('DATOS'!E84&amp;"")&lt;&gt;"Sin confirmar",TRIM('DATOS'!E84&amp;"")&lt;&gt;"Por decidir",TRIM('DATOS'!E84&amp;"")&lt;&gt;"Por comprobar"))),2,IF('DATOS'!M84="No",2,IF('DATOS'!M84="Sí",0,IF(OR('DATOS'!D84&lt;&gt;'DATOS'!E84,LEN('DATOS'!E84)&gt;300,RIGHT(TRIM('DATOS'!E84),3)="...",RIGHT(TRIM('DATOS'!E84),1)="…"),1,0))))),2)</f>
      </c>
      <c r="S84" s="29">
        <f>IFERROR(IF(N84=0,"",IF('REFERENCIAS'!$Q$8&lt;&gt;1,2,IF(NOT(Y84=1),1,IF(OR(ABS('DATOS'!G84-ROUND('DATOS'!G84,'REFERENCIAS'!$E$8))&gt;0.00000001,ABS('DATOS'!H84-ROUND('DATOS'!H84,'REFERENCIAS'!$H$8))&gt;0.00000001,ABS('DATOS'!J84-ROUND('DATOS'!J84,'REFERENCIAS'!$K$8))&gt;0.00000001,IF(ISNUMBER('DATOS'!I84),ABS('DATOS'!I84-ROUND('DATOS'!I84,'REFERENCIAS'!$H$8))&gt;0.00000001,FALSE)),1,0)))),2)</f>
      </c>
      <c r="T84" s="29">
        <f>IFERROR(IF(N84=0,"",IF(NOT(AND(LEN(TRIM('DATOS'!F84&amp;""))&gt;0,TRIM('DATOS'!F84&amp;"")&lt;&gt;"Pendiente",TRIM('DATOS'!F84&amp;"")&lt;&gt;"Por confirmar",TRIM('DATOS'!F84&amp;"")&lt;&gt;"No consta",TRIM('DATOS'!F84&amp;"")&lt;&gt;"Desconocido",TRIM('DATOS'!F84&amp;"")&lt;&gt;"Sin confirmar",TRIM('DATOS'!F84&amp;"")&lt;&gt;"Por decidir",TRIM('DATOS'!F84&amp;"")&lt;&gt;"Por comprobar")),2,IF(COUNTIFS('REFERENCIAS'!$T$15:$T$34,"ID:"&amp;SUBSTITUTE(SUBSTITUTE(SUBSTITUTE(SUBSTITUTE(UPPER(TRIM('DATOS'!F84&amp;"")),"!","!E"),"*","!A"),"?","!B"),"~","!C"),'REFERENCIAS'!$H$15:$H$34,"&lt;&gt;")&gt;0,0,1))),2)</f>
      </c>
      <c r="U84" s="29" t="str">
        <f>'DATOS'!R84</f>
        <v>ID:</v>
      </c>
      <c r="V84" s="29" t="str">
        <f>'DATOS'!S84</f>
        <v>ID:</v>
      </c>
      <c r="W84" s="29" t="n">
        <f>IF(N84=0,0,COUNTIFS('REFERENCIAS'!$R$15:$R$64,U84))</f>
        <v>0</v>
      </c>
      <c r="X84" s="29" t="n">
        <f>IF(N84=0,0,COUNTIFS('DATOS'!$R$10:$R$509,U84,'DATOS'!$S$10:$S$509,V84))</f>
        <v>0</v>
      </c>
      <c r="Y84" s="29" t="n">
        <f>IF(AND(ISNUMBER('DATOS'!G84),ISNUMBER('DATOS'!H84),ISNUMBER('DATOS'!J84)),1,0)</f>
        <v>0</v>
      </c>
    </row>
    <row r="85" ht="64" customHeight="1">
      <c r="B85" s="26">
        <f>IF(N85=1,76,"")</f>
      </c>
      <c r="C85" s="26">
        <f>IF(AND(N85=1,LEN(TRIM('DATOS'!B85&amp;""))&gt;0),'DATOS'!B85,"")</f>
      </c>
      <c r="D85" s="26">
        <f>IF(AND(N85=1,LEN(TRIM('DATOS'!C85&amp;""))&gt;0),'DATOS'!C85,"")</f>
      </c>
      <c r="E85" s="26">
        <f>IF(NOT(ISNUMBER(P85)),"",IF(P85=2,"ROJO",IF(P85=1,"ÁMBAR","VERDE")))</f>
      </c>
      <c r="F85" s="26">
        <f>IF(NOT(ISNUMBER(Q85)),"",IF(Q85=2,"ROJO",IF(Q85=1,"ÁMBAR","VERDE")))</f>
      </c>
      <c r="G85" s="26">
        <f>IF(NOT(ISNUMBER(R85)),"",IF(R85=2,"ROJO",IF(R85=1,"ÁMBAR","VERDE")))</f>
      </c>
      <c r="H85" s="26">
        <f>IF(NOT(ISNUMBER(S85)),"",IF(S85=2,"ROJO",IF(S85=1,"ÁMBAR","VERDE")))</f>
      </c>
      <c r="I85" s="26">
        <f>IF(NOT(ISNUMBER(T85)),"",IF(T85=2,"ROJO",IF(T85=1,"ÁMBAR","VERDE")))</f>
      </c>
      <c r="J85" s="26">
        <f>IF(NOT(ISNUMBER(O85)),"",IF(O85=2,"ROJO",IF(O85=1,"ÁMBAR","VERDE")))</f>
      </c>
      <c r="K85" s="26">
        <f>IFERROR(IF(AND(N85=1,LEN(TRIM('DATOS'!N85&amp;""))&gt;0),'DATOS'!N85,""),"Hay una entrada con error. Corregimos el dato antes de cerrar la comprobación.")</f>
      </c>
      <c r="L85" s="26">
        <f>IFERROR(IF(N85=0,"",IF(O85&gt;0,"Completamos datos, claves o motivo. ","")&amp;IF(P85&gt;0,"Cotejamos precios e importe. ","")&amp;IF(Q85&gt;0,"Aclaramos el cero. ","")&amp;IF(R85&gt;0,"Comprobamos el texto. ","")&amp;IF(S85&gt;0,"Revisamos decimales visibles. ","")&amp;IF(T85&gt;0,"Confirmamos la unidad.","")),"Hay una entrada con error. Corregimos el dato antes de cerrar la comprobación.")</f>
      </c>
      <c r="N85" s="29" t="n">
        <f>IF(COUNTA('DATOS'!B85:O85)&gt;0,1,0)</f>
        <v>0</v>
      </c>
      <c r="O85" s="29">
        <f>IFERROR(IF(N85=0,"",IF(OR(NOT(AND(LEN(TRIM('DATOS'!B85&amp;""))&gt;0,TRIM('DATOS'!B85&amp;"")&lt;&gt;"Pendiente",TRIM('DATOS'!B85&amp;"")&lt;&gt;"Por confirmar",TRIM('DATOS'!B85&amp;"")&lt;&gt;"No consta",TRIM('DATOS'!B85&amp;"")&lt;&gt;"Desconocido",TRIM('DATOS'!B85&amp;"")&lt;&gt;"Sin confirmar",TRIM('DATOS'!B85&amp;"")&lt;&gt;"Por decidir",TRIM('DATOS'!B85&amp;"")&lt;&gt;"Por comprobar")),NOT(AND(LEN(TRIM('DATOS'!C85&amp;""))&gt;0,TRIM('DATOS'!C85&amp;"")&lt;&gt;"Pendiente",TRIM('DATOS'!C85&amp;"")&lt;&gt;"Por confirmar",TRIM('DATOS'!C85&amp;"")&lt;&gt;"No consta",TRIM('DATOS'!C85&amp;"")&lt;&gt;"Desconocido",TRIM('DATOS'!C85&amp;"")&lt;&gt;"Sin confirmar",TRIM('DATOS'!C85&amp;"")&lt;&gt;"Por decidir",TRIM('DATOS'!C85&amp;"")&lt;&gt;"Por comprobar")),NOT(AND(LEN(TRIM('DATOS'!D85&amp;""))&gt;0,TRIM('DATOS'!D85&amp;"")&lt;&gt;"Pendiente",TRIM('DATOS'!D85&amp;"")&lt;&gt;"Por confirmar",TRIM('DATOS'!D85&amp;"")&lt;&gt;"No consta",TRIM('DATOS'!D85&amp;"")&lt;&gt;"Desconocido",TRIM('DATOS'!D85&amp;"")&lt;&gt;"Sin confirmar",TRIM('DATOS'!D85&amp;"")&lt;&gt;"Por decidir",TRIM('DATOS'!D85&amp;"")&lt;&gt;"Por comprobar")),NOT(AND(LEN(TRIM('DATOS'!E85&amp;""))&gt;0,TRIM('DATOS'!E85&amp;"")&lt;&gt;"Pendiente",TRIM('DATOS'!E85&amp;"")&lt;&gt;"Por confirmar",TRIM('DATOS'!E85&amp;"")&lt;&gt;"No consta",TRIM('DATOS'!E85&amp;"")&lt;&gt;"Desconocido",TRIM('DATOS'!E85&amp;"")&lt;&gt;"Sin confirmar",TRIM('DATOS'!E85&amp;"")&lt;&gt;"Por decidir",TRIM('DATOS'!E85&amp;"")&lt;&gt;"Por comprobar")),NOT(AND(LEN(TRIM('DATOS'!F85&amp;""))&gt;0,TRIM('DATOS'!F85&amp;"")&lt;&gt;"Pendiente",TRIM('DATOS'!F85&amp;"")&lt;&gt;"Por confirmar",TRIM('DATOS'!F85&amp;"")&lt;&gt;"No consta",TRIM('DATOS'!F85&amp;"")&lt;&gt;"Desconocido",TRIM('DATOS'!F85&amp;"")&lt;&gt;"Sin confirmar",TRIM('DATOS'!F85&amp;"")&lt;&gt;"Por decidir",TRIM('DATOS'!F85&amp;"")&lt;&gt;"Por comprobar")),NOT(AND(LEN(TRIM('DATOS'!N85&amp;""))&gt;0,TRIM('DATOS'!N85&amp;"")&lt;&gt;"Pendiente",TRIM('DATOS'!N85&amp;"")&lt;&gt;"Por confirmar",TRIM('DATOS'!N85&amp;"")&lt;&gt;"No consta",TRIM('DATOS'!N85&amp;"")&lt;&gt;"Desconocido",TRIM('DATOS'!N85&amp;"")&lt;&gt;"Sin confirmar",TRIM('DATOS'!N85&amp;"")&lt;&gt;"Por decidir",TRIM('DATOS'!N85&amp;"")&lt;&gt;"Por comprobar")),NOT(Y85=1),W85&lt;&gt;1,X85&gt;1,NOT(OR(LEN(TRIM('DATOS'!K85&amp;""))=0,'DATOS'!K85="Sin valorar",'DATOS'!K85="Sin coste documentado",'DATOS'!K85="Incluido en otra partida",'DATOS'!K85="Por confirmar")),NOT(OR(LEN(TRIM('DATOS'!M85&amp;""))=0,'DATOS'!M85="Sí",'DATOS'!M85="No",'DATOS'!M85="Por confirmar")),NOT(OR(LEN(TRIM('DATOS'!O85&amp;""))=0,'DATOS'!O85="Comparamos",'DATOS'!O85="No existe",'DATOS'!O85="Por confirmar"))),2,IF(AND(OR('DATOS'!G85&lt;0,'DATOS'!H85&lt;0,'DATOS'!J85&lt;0),NOT(AND(LEN(TRIM('DATOS'!L85&amp;""))&gt;0,TRIM('DATOS'!L85&amp;"")&lt;&gt;"Pendiente",TRIM('DATOS'!L85&amp;"")&lt;&gt;"Por confirmar",TRIM('DATOS'!L85&amp;"")&lt;&gt;"No consta",TRIM('DATOS'!L85&amp;"")&lt;&gt;"Desconocido",TRIM('DATOS'!L85&amp;"")&lt;&gt;"Sin confirmar",TRIM('DATOS'!L85&amp;"")&lt;&gt;"Por decidir",TRIM('DATOS'!L85&amp;"")&lt;&gt;"Por comprobar"))),1,0))),2)</f>
      </c>
      <c r="P85" s="29">
        <f>IFERROR(IF(N85=0,"",IF(NOT(Y85=1),1,IF('REFERENCIAS'!$Q$8&lt;&gt;1,2,IF(ABS('DATOS'!J85-ROUND('DATOS'!G85*'DATOS'!H85,'REFERENCIAS'!$K$8))&gt;0.00000001,2,IF('DATOS'!O85="No existe",IF(LEN(TRIM('DATOS'!I85&amp;""))=0,0,2),IF('DATOS'!O85="Comparamos",IF(LEN(TRIM('DATOS'!I85&amp;""))=0,1,IF(ISNUMBER('DATOS'!I85),IF(ABS('DATOS'!H85-'DATOS'!I85)&gt;0.00000001,2,0),2)),1)))))),2)</f>
      </c>
      <c r="Q85" s="29">
        <f>IFERROR(IF(N85=0,"",IF(NOT(Y85=1),1,IF('DATOS'!K85="Sin valorar",2,IF('DATOS'!G85=0,1,IF(OR('DATOS'!H85=0,'DATOS'!J85=0),IF(AND(OR('DATOS'!K85="Sin coste documentado",'DATOS'!K85="Incluido en otra partida"),AND(LEN(TRIM('DATOS'!L85&amp;""))&gt;0,TRIM('DATOS'!L85&amp;"")&lt;&gt;"Pendiente",TRIM('DATOS'!L85&amp;"")&lt;&gt;"Por confirmar",TRIM('DATOS'!L85&amp;"")&lt;&gt;"No consta",TRIM('DATOS'!L85&amp;"")&lt;&gt;"Desconocido",TRIM('DATOS'!L85&amp;"")&lt;&gt;"Sin confirmar",TRIM('DATOS'!L85&amp;"")&lt;&gt;"Por decidir",TRIM('DATOS'!L85&amp;"")&lt;&gt;"Por comprobar")),0,1),0))))),2)</f>
      </c>
      <c r="R85" s="29">
        <f>IFERROR(IF(N85=0,"",IF(OR(NOT(AND(LEN(TRIM('DATOS'!D85&amp;""))&gt;0,TRIM('DATOS'!D85&amp;"")&lt;&gt;"Pendiente",TRIM('DATOS'!D85&amp;"")&lt;&gt;"Por confirmar",TRIM('DATOS'!D85&amp;"")&lt;&gt;"No consta",TRIM('DATOS'!D85&amp;"")&lt;&gt;"Desconocido",TRIM('DATOS'!D85&amp;"")&lt;&gt;"Sin confirmar",TRIM('DATOS'!D85&amp;"")&lt;&gt;"Por decidir",TRIM('DATOS'!D85&amp;"")&lt;&gt;"Por comprobar")),NOT(AND(LEN(TRIM('DATOS'!E85&amp;""))&gt;0,TRIM('DATOS'!E85&amp;"")&lt;&gt;"Pendiente",TRIM('DATOS'!E85&amp;"")&lt;&gt;"Por confirmar",TRIM('DATOS'!E85&amp;"")&lt;&gt;"No consta",TRIM('DATOS'!E85&amp;"")&lt;&gt;"Desconocido",TRIM('DATOS'!E85&amp;"")&lt;&gt;"Sin confirmar",TRIM('DATOS'!E85&amp;"")&lt;&gt;"Por decidir",TRIM('DATOS'!E85&amp;"")&lt;&gt;"Por comprobar"))),2,IF('DATOS'!M85="No",2,IF('DATOS'!M85="Sí",0,IF(OR('DATOS'!D85&lt;&gt;'DATOS'!E85,LEN('DATOS'!E85)&gt;300,RIGHT(TRIM('DATOS'!E85),3)="...",RIGHT(TRIM('DATOS'!E85),1)="…"),1,0))))),2)</f>
      </c>
      <c r="S85" s="29">
        <f>IFERROR(IF(N85=0,"",IF('REFERENCIAS'!$Q$8&lt;&gt;1,2,IF(NOT(Y85=1),1,IF(OR(ABS('DATOS'!G85-ROUND('DATOS'!G85,'REFERENCIAS'!$E$8))&gt;0.00000001,ABS('DATOS'!H85-ROUND('DATOS'!H85,'REFERENCIAS'!$H$8))&gt;0.00000001,ABS('DATOS'!J85-ROUND('DATOS'!J85,'REFERENCIAS'!$K$8))&gt;0.00000001,IF(ISNUMBER('DATOS'!I85),ABS('DATOS'!I85-ROUND('DATOS'!I85,'REFERENCIAS'!$H$8))&gt;0.00000001,FALSE)),1,0)))),2)</f>
      </c>
      <c r="T85" s="29">
        <f>IFERROR(IF(N85=0,"",IF(NOT(AND(LEN(TRIM('DATOS'!F85&amp;""))&gt;0,TRIM('DATOS'!F85&amp;"")&lt;&gt;"Pendiente",TRIM('DATOS'!F85&amp;"")&lt;&gt;"Por confirmar",TRIM('DATOS'!F85&amp;"")&lt;&gt;"No consta",TRIM('DATOS'!F85&amp;"")&lt;&gt;"Desconocido",TRIM('DATOS'!F85&amp;"")&lt;&gt;"Sin confirmar",TRIM('DATOS'!F85&amp;"")&lt;&gt;"Por decidir",TRIM('DATOS'!F85&amp;"")&lt;&gt;"Por comprobar")),2,IF(COUNTIFS('REFERENCIAS'!$T$15:$T$34,"ID:"&amp;SUBSTITUTE(SUBSTITUTE(SUBSTITUTE(SUBSTITUTE(UPPER(TRIM('DATOS'!F85&amp;"")),"!","!E"),"*","!A"),"?","!B"),"~","!C"),'REFERENCIAS'!$H$15:$H$34,"&lt;&gt;")&gt;0,0,1))),2)</f>
      </c>
      <c r="U85" s="29" t="str">
        <f>'DATOS'!R85</f>
        <v>ID:</v>
      </c>
      <c r="V85" s="29" t="str">
        <f>'DATOS'!S85</f>
        <v>ID:</v>
      </c>
      <c r="W85" s="29" t="n">
        <f>IF(N85=0,0,COUNTIFS('REFERENCIAS'!$R$15:$R$64,U85))</f>
        <v>0</v>
      </c>
      <c r="X85" s="29" t="n">
        <f>IF(N85=0,0,COUNTIFS('DATOS'!$R$10:$R$509,U85,'DATOS'!$S$10:$S$509,V85))</f>
        <v>0</v>
      </c>
      <c r="Y85" s="29" t="n">
        <f>IF(AND(ISNUMBER('DATOS'!G85),ISNUMBER('DATOS'!H85),ISNUMBER('DATOS'!J85)),1,0)</f>
        <v>0</v>
      </c>
    </row>
    <row r="86" ht="64" customHeight="1">
      <c r="B86" s="26">
        <f>IF(N86=1,77,"")</f>
      </c>
      <c r="C86" s="26">
        <f>IF(AND(N86=1,LEN(TRIM('DATOS'!B86&amp;""))&gt;0),'DATOS'!B86,"")</f>
      </c>
      <c r="D86" s="26">
        <f>IF(AND(N86=1,LEN(TRIM('DATOS'!C86&amp;""))&gt;0),'DATOS'!C86,"")</f>
      </c>
      <c r="E86" s="26">
        <f>IF(NOT(ISNUMBER(P86)),"",IF(P86=2,"ROJO",IF(P86=1,"ÁMBAR","VERDE")))</f>
      </c>
      <c r="F86" s="26">
        <f>IF(NOT(ISNUMBER(Q86)),"",IF(Q86=2,"ROJO",IF(Q86=1,"ÁMBAR","VERDE")))</f>
      </c>
      <c r="G86" s="26">
        <f>IF(NOT(ISNUMBER(R86)),"",IF(R86=2,"ROJO",IF(R86=1,"ÁMBAR","VERDE")))</f>
      </c>
      <c r="H86" s="26">
        <f>IF(NOT(ISNUMBER(S86)),"",IF(S86=2,"ROJO",IF(S86=1,"ÁMBAR","VERDE")))</f>
      </c>
      <c r="I86" s="26">
        <f>IF(NOT(ISNUMBER(T86)),"",IF(T86=2,"ROJO",IF(T86=1,"ÁMBAR","VERDE")))</f>
      </c>
      <c r="J86" s="26">
        <f>IF(NOT(ISNUMBER(O86)),"",IF(O86=2,"ROJO",IF(O86=1,"ÁMBAR","VERDE")))</f>
      </c>
      <c r="K86" s="26">
        <f>IFERROR(IF(AND(N86=1,LEN(TRIM('DATOS'!N86&amp;""))&gt;0),'DATOS'!N86,""),"Hay una entrada con error. Corregimos el dato antes de cerrar la comprobación.")</f>
      </c>
      <c r="L86" s="26">
        <f>IFERROR(IF(N86=0,"",IF(O86&gt;0,"Completamos datos, claves o motivo. ","")&amp;IF(P86&gt;0,"Cotejamos precios e importe. ","")&amp;IF(Q86&gt;0,"Aclaramos el cero. ","")&amp;IF(R86&gt;0,"Comprobamos el texto. ","")&amp;IF(S86&gt;0,"Revisamos decimales visibles. ","")&amp;IF(T86&gt;0,"Confirmamos la unidad.","")),"Hay una entrada con error. Corregimos el dato antes de cerrar la comprobación.")</f>
      </c>
      <c r="N86" s="29" t="n">
        <f>IF(COUNTA('DATOS'!B86:O86)&gt;0,1,0)</f>
        <v>0</v>
      </c>
      <c r="O86" s="29">
        <f>IFERROR(IF(N86=0,"",IF(OR(NOT(AND(LEN(TRIM('DATOS'!B86&amp;""))&gt;0,TRIM('DATOS'!B86&amp;"")&lt;&gt;"Pendiente",TRIM('DATOS'!B86&amp;"")&lt;&gt;"Por confirmar",TRIM('DATOS'!B86&amp;"")&lt;&gt;"No consta",TRIM('DATOS'!B86&amp;"")&lt;&gt;"Desconocido",TRIM('DATOS'!B86&amp;"")&lt;&gt;"Sin confirmar",TRIM('DATOS'!B86&amp;"")&lt;&gt;"Por decidir",TRIM('DATOS'!B86&amp;"")&lt;&gt;"Por comprobar")),NOT(AND(LEN(TRIM('DATOS'!C86&amp;""))&gt;0,TRIM('DATOS'!C86&amp;"")&lt;&gt;"Pendiente",TRIM('DATOS'!C86&amp;"")&lt;&gt;"Por confirmar",TRIM('DATOS'!C86&amp;"")&lt;&gt;"No consta",TRIM('DATOS'!C86&amp;"")&lt;&gt;"Desconocido",TRIM('DATOS'!C86&amp;"")&lt;&gt;"Sin confirmar",TRIM('DATOS'!C86&amp;"")&lt;&gt;"Por decidir",TRIM('DATOS'!C86&amp;"")&lt;&gt;"Por comprobar")),NOT(AND(LEN(TRIM('DATOS'!D86&amp;""))&gt;0,TRIM('DATOS'!D86&amp;"")&lt;&gt;"Pendiente",TRIM('DATOS'!D86&amp;"")&lt;&gt;"Por confirmar",TRIM('DATOS'!D86&amp;"")&lt;&gt;"No consta",TRIM('DATOS'!D86&amp;"")&lt;&gt;"Desconocido",TRIM('DATOS'!D86&amp;"")&lt;&gt;"Sin confirmar",TRIM('DATOS'!D86&amp;"")&lt;&gt;"Por decidir",TRIM('DATOS'!D86&amp;"")&lt;&gt;"Por comprobar")),NOT(AND(LEN(TRIM('DATOS'!E86&amp;""))&gt;0,TRIM('DATOS'!E86&amp;"")&lt;&gt;"Pendiente",TRIM('DATOS'!E86&amp;"")&lt;&gt;"Por confirmar",TRIM('DATOS'!E86&amp;"")&lt;&gt;"No consta",TRIM('DATOS'!E86&amp;"")&lt;&gt;"Desconocido",TRIM('DATOS'!E86&amp;"")&lt;&gt;"Sin confirmar",TRIM('DATOS'!E86&amp;"")&lt;&gt;"Por decidir",TRIM('DATOS'!E86&amp;"")&lt;&gt;"Por comprobar")),NOT(AND(LEN(TRIM('DATOS'!F86&amp;""))&gt;0,TRIM('DATOS'!F86&amp;"")&lt;&gt;"Pendiente",TRIM('DATOS'!F86&amp;"")&lt;&gt;"Por confirmar",TRIM('DATOS'!F86&amp;"")&lt;&gt;"No consta",TRIM('DATOS'!F86&amp;"")&lt;&gt;"Desconocido",TRIM('DATOS'!F86&amp;"")&lt;&gt;"Sin confirmar",TRIM('DATOS'!F86&amp;"")&lt;&gt;"Por decidir",TRIM('DATOS'!F86&amp;"")&lt;&gt;"Por comprobar")),NOT(AND(LEN(TRIM('DATOS'!N86&amp;""))&gt;0,TRIM('DATOS'!N86&amp;"")&lt;&gt;"Pendiente",TRIM('DATOS'!N86&amp;"")&lt;&gt;"Por confirmar",TRIM('DATOS'!N86&amp;"")&lt;&gt;"No consta",TRIM('DATOS'!N86&amp;"")&lt;&gt;"Desconocido",TRIM('DATOS'!N86&amp;"")&lt;&gt;"Sin confirmar",TRIM('DATOS'!N86&amp;"")&lt;&gt;"Por decidir",TRIM('DATOS'!N86&amp;"")&lt;&gt;"Por comprobar")),NOT(Y86=1),W86&lt;&gt;1,X86&gt;1,NOT(OR(LEN(TRIM('DATOS'!K86&amp;""))=0,'DATOS'!K86="Sin valorar",'DATOS'!K86="Sin coste documentado",'DATOS'!K86="Incluido en otra partida",'DATOS'!K86="Por confirmar")),NOT(OR(LEN(TRIM('DATOS'!M86&amp;""))=0,'DATOS'!M86="Sí",'DATOS'!M86="No",'DATOS'!M86="Por confirmar")),NOT(OR(LEN(TRIM('DATOS'!O86&amp;""))=0,'DATOS'!O86="Comparamos",'DATOS'!O86="No existe",'DATOS'!O86="Por confirmar"))),2,IF(AND(OR('DATOS'!G86&lt;0,'DATOS'!H86&lt;0,'DATOS'!J86&lt;0),NOT(AND(LEN(TRIM('DATOS'!L86&amp;""))&gt;0,TRIM('DATOS'!L86&amp;"")&lt;&gt;"Pendiente",TRIM('DATOS'!L86&amp;"")&lt;&gt;"Por confirmar",TRIM('DATOS'!L86&amp;"")&lt;&gt;"No consta",TRIM('DATOS'!L86&amp;"")&lt;&gt;"Desconocido",TRIM('DATOS'!L86&amp;"")&lt;&gt;"Sin confirmar",TRIM('DATOS'!L86&amp;"")&lt;&gt;"Por decidir",TRIM('DATOS'!L86&amp;"")&lt;&gt;"Por comprobar"))),1,0))),2)</f>
      </c>
      <c r="P86" s="29">
        <f>IFERROR(IF(N86=0,"",IF(NOT(Y86=1),1,IF('REFERENCIAS'!$Q$8&lt;&gt;1,2,IF(ABS('DATOS'!J86-ROUND('DATOS'!G86*'DATOS'!H86,'REFERENCIAS'!$K$8))&gt;0.00000001,2,IF('DATOS'!O86="No existe",IF(LEN(TRIM('DATOS'!I86&amp;""))=0,0,2),IF('DATOS'!O86="Comparamos",IF(LEN(TRIM('DATOS'!I86&amp;""))=0,1,IF(ISNUMBER('DATOS'!I86),IF(ABS('DATOS'!H86-'DATOS'!I86)&gt;0.00000001,2,0),2)),1)))))),2)</f>
      </c>
      <c r="Q86" s="29">
        <f>IFERROR(IF(N86=0,"",IF(NOT(Y86=1),1,IF('DATOS'!K86="Sin valorar",2,IF('DATOS'!G86=0,1,IF(OR('DATOS'!H86=0,'DATOS'!J86=0),IF(AND(OR('DATOS'!K86="Sin coste documentado",'DATOS'!K86="Incluido en otra partida"),AND(LEN(TRIM('DATOS'!L86&amp;""))&gt;0,TRIM('DATOS'!L86&amp;"")&lt;&gt;"Pendiente",TRIM('DATOS'!L86&amp;"")&lt;&gt;"Por confirmar",TRIM('DATOS'!L86&amp;"")&lt;&gt;"No consta",TRIM('DATOS'!L86&amp;"")&lt;&gt;"Desconocido",TRIM('DATOS'!L86&amp;"")&lt;&gt;"Sin confirmar",TRIM('DATOS'!L86&amp;"")&lt;&gt;"Por decidir",TRIM('DATOS'!L86&amp;"")&lt;&gt;"Por comprobar")),0,1),0))))),2)</f>
      </c>
      <c r="R86" s="29">
        <f>IFERROR(IF(N86=0,"",IF(OR(NOT(AND(LEN(TRIM('DATOS'!D86&amp;""))&gt;0,TRIM('DATOS'!D86&amp;"")&lt;&gt;"Pendiente",TRIM('DATOS'!D86&amp;"")&lt;&gt;"Por confirmar",TRIM('DATOS'!D86&amp;"")&lt;&gt;"No consta",TRIM('DATOS'!D86&amp;"")&lt;&gt;"Desconocido",TRIM('DATOS'!D86&amp;"")&lt;&gt;"Sin confirmar",TRIM('DATOS'!D86&amp;"")&lt;&gt;"Por decidir",TRIM('DATOS'!D86&amp;"")&lt;&gt;"Por comprobar")),NOT(AND(LEN(TRIM('DATOS'!E86&amp;""))&gt;0,TRIM('DATOS'!E86&amp;"")&lt;&gt;"Pendiente",TRIM('DATOS'!E86&amp;"")&lt;&gt;"Por confirmar",TRIM('DATOS'!E86&amp;"")&lt;&gt;"No consta",TRIM('DATOS'!E86&amp;"")&lt;&gt;"Desconocido",TRIM('DATOS'!E86&amp;"")&lt;&gt;"Sin confirmar",TRIM('DATOS'!E86&amp;"")&lt;&gt;"Por decidir",TRIM('DATOS'!E86&amp;"")&lt;&gt;"Por comprobar"))),2,IF('DATOS'!M86="No",2,IF('DATOS'!M86="Sí",0,IF(OR('DATOS'!D86&lt;&gt;'DATOS'!E86,LEN('DATOS'!E86)&gt;300,RIGHT(TRIM('DATOS'!E86),3)="...",RIGHT(TRIM('DATOS'!E86),1)="…"),1,0))))),2)</f>
      </c>
      <c r="S86" s="29">
        <f>IFERROR(IF(N86=0,"",IF('REFERENCIAS'!$Q$8&lt;&gt;1,2,IF(NOT(Y86=1),1,IF(OR(ABS('DATOS'!G86-ROUND('DATOS'!G86,'REFERENCIAS'!$E$8))&gt;0.00000001,ABS('DATOS'!H86-ROUND('DATOS'!H86,'REFERENCIAS'!$H$8))&gt;0.00000001,ABS('DATOS'!J86-ROUND('DATOS'!J86,'REFERENCIAS'!$K$8))&gt;0.00000001,IF(ISNUMBER('DATOS'!I86),ABS('DATOS'!I86-ROUND('DATOS'!I86,'REFERENCIAS'!$H$8))&gt;0.00000001,FALSE)),1,0)))),2)</f>
      </c>
      <c r="T86" s="29">
        <f>IFERROR(IF(N86=0,"",IF(NOT(AND(LEN(TRIM('DATOS'!F86&amp;""))&gt;0,TRIM('DATOS'!F86&amp;"")&lt;&gt;"Pendiente",TRIM('DATOS'!F86&amp;"")&lt;&gt;"Por confirmar",TRIM('DATOS'!F86&amp;"")&lt;&gt;"No consta",TRIM('DATOS'!F86&amp;"")&lt;&gt;"Desconocido",TRIM('DATOS'!F86&amp;"")&lt;&gt;"Sin confirmar",TRIM('DATOS'!F86&amp;"")&lt;&gt;"Por decidir",TRIM('DATOS'!F86&amp;"")&lt;&gt;"Por comprobar")),2,IF(COUNTIFS('REFERENCIAS'!$T$15:$T$34,"ID:"&amp;SUBSTITUTE(SUBSTITUTE(SUBSTITUTE(SUBSTITUTE(UPPER(TRIM('DATOS'!F86&amp;"")),"!","!E"),"*","!A"),"?","!B"),"~","!C"),'REFERENCIAS'!$H$15:$H$34,"&lt;&gt;")&gt;0,0,1))),2)</f>
      </c>
      <c r="U86" s="29" t="str">
        <f>'DATOS'!R86</f>
        <v>ID:</v>
      </c>
      <c r="V86" s="29" t="str">
        <f>'DATOS'!S86</f>
        <v>ID:</v>
      </c>
      <c r="W86" s="29" t="n">
        <f>IF(N86=0,0,COUNTIFS('REFERENCIAS'!$R$15:$R$64,U86))</f>
        <v>0</v>
      </c>
      <c r="X86" s="29" t="n">
        <f>IF(N86=0,0,COUNTIFS('DATOS'!$R$10:$R$509,U86,'DATOS'!$S$10:$S$509,V86))</f>
        <v>0</v>
      </c>
      <c r="Y86" s="29" t="n">
        <f>IF(AND(ISNUMBER('DATOS'!G86),ISNUMBER('DATOS'!H86),ISNUMBER('DATOS'!J86)),1,0)</f>
        <v>0</v>
      </c>
    </row>
    <row r="87" ht="64" customHeight="1">
      <c r="B87" s="26">
        <f>IF(N87=1,78,"")</f>
      </c>
      <c r="C87" s="26">
        <f>IF(AND(N87=1,LEN(TRIM('DATOS'!B87&amp;""))&gt;0),'DATOS'!B87,"")</f>
      </c>
      <c r="D87" s="26">
        <f>IF(AND(N87=1,LEN(TRIM('DATOS'!C87&amp;""))&gt;0),'DATOS'!C87,"")</f>
      </c>
      <c r="E87" s="26">
        <f>IF(NOT(ISNUMBER(P87)),"",IF(P87=2,"ROJO",IF(P87=1,"ÁMBAR","VERDE")))</f>
      </c>
      <c r="F87" s="26">
        <f>IF(NOT(ISNUMBER(Q87)),"",IF(Q87=2,"ROJO",IF(Q87=1,"ÁMBAR","VERDE")))</f>
      </c>
      <c r="G87" s="26">
        <f>IF(NOT(ISNUMBER(R87)),"",IF(R87=2,"ROJO",IF(R87=1,"ÁMBAR","VERDE")))</f>
      </c>
      <c r="H87" s="26">
        <f>IF(NOT(ISNUMBER(S87)),"",IF(S87=2,"ROJO",IF(S87=1,"ÁMBAR","VERDE")))</f>
      </c>
      <c r="I87" s="26">
        <f>IF(NOT(ISNUMBER(T87)),"",IF(T87=2,"ROJO",IF(T87=1,"ÁMBAR","VERDE")))</f>
      </c>
      <c r="J87" s="26">
        <f>IF(NOT(ISNUMBER(O87)),"",IF(O87=2,"ROJO",IF(O87=1,"ÁMBAR","VERDE")))</f>
      </c>
      <c r="K87" s="26">
        <f>IFERROR(IF(AND(N87=1,LEN(TRIM('DATOS'!N87&amp;""))&gt;0),'DATOS'!N87,""),"Hay una entrada con error. Corregimos el dato antes de cerrar la comprobación.")</f>
      </c>
      <c r="L87" s="26">
        <f>IFERROR(IF(N87=0,"",IF(O87&gt;0,"Completamos datos, claves o motivo. ","")&amp;IF(P87&gt;0,"Cotejamos precios e importe. ","")&amp;IF(Q87&gt;0,"Aclaramos el cero. ","")&amp;IF(R87&gt;0,"Comprobamos el texto. ","")&amp;IF(S87&gt;0,"Revisamos decimales visibles. ","")&amp;IF(T87&gt;0,"Confirmamos la unidad.","")),"Hay una entrada con error. Corregimos el dato antes de cerrar la comprobación.")</f>
      </c>
      <c r="N87" s="29" t="n">
        <f>IF(COUNTA('DATOS'!B87:O87)&gt;0,1,0)</f>
        <v>0</v>
      </c>
      <c r="O87" s="29">
        <f>IFERROR(IF(N87=0,"",IF(OR(NOT(AND(LEN(TRIM('DATOS'!B87&amp;""))&gt;0,TRIM('DATOS'!B87&amp;"")&lt;&gt;"Pendiente",TRIM('DATOS'!B87&amp;"")&lt;&gt;"Por confirmar",TRIM('DATOS'!B87&amp;"")&lt;&gt;"No consta",TRIM('DATOS'!B87&amp;"")&lt;&gt;"Desconocido",TRIM('DATOS'!B87&amp;"")&lt;&gt;"Sin confirmar",TRIM('DATOS'!B87&amp;"")&lt;&gt;"Por decidir",TRIM('DATOS'!B87&amp;"")&lt;&gt;"Por comprobar")),NOT(AND(LEN(TRIM('DATOS'!C87&amp;""))&gt;0,TRIM('DATOS'!C87&amp;"")&lt;&gt;"Pendiente",TRIM('DATOS'!C87&amp;"")&lt;&gt;"Por confirmar",TRIM('DATOS'!C87&amp;"")&lt;&gt;"No consta",TRIM('DATOS'!C87&amp;"")&lt;&gt;"Desconocido",TRIM('DATOS'!C87&amp;"")&lt;&gt;"Sin confirmar",TRIM('DATOS'!C87&amp;"")&lt;&gt;"Por decidir",TRIM('DATOS'!C87&amp;"")&lt;&gt;"Por comprobar")),NOT(AND(LEN(TRIM('DATOS'!D87&amp;""))&gt;0,TRIM('DATOS'!D87&amp;"")&lt;&gt;"Pendiente",TRIM('DATOS'!D87&amp;"")&lt;&gt;"Por confirmar",TRIM('DATOS'!D87&amp;"")&lt;&gt;"No consta",TRIM('DATOS'!D87&amp;"")&lt;&gt;"Desconocido",TRIM('DATOS'!D87&amp;"")&lt;&gt;"Sin confirmar",TRIM('DATOS'!D87&amp;"")&lt;&gt;"Por decidir",TRIM('DATOS'!D87&amp;"")&lt;&gt;"Por comprobar")),NOT(AND(LEN(TRIM('DATOS'!E87&amp;""))&gt;0,TRIM('DATOS'!E87&amp;"")&lt;&gt;"Pendiente",TRIM('DATOS'!E87&amp;"")&lt;&gt;"Por confirmar",TRIM('DATOS'!E87&amp;"")&lt;&gt;"No consta",TRIM('DATOS'!E87&amp;"")&lt;&gt;"Desconocido",TRIM('DATOS'!E87&amp;"")&lt;&gt;"Sin confirmar",TRIM('DATOS'!E87&amp;"")&lt;&gt;"Por decidir",TRIM('DATOS'!E87&amp;"")&lt;&gt;"Por comprobar")),NOT(AND(LEN(TRIM('DATOS'!F87&amp;""))&gt;0,TRIM('DATOS'!F87&amp;"")&lt;&gt;"Pendiente",TRIM('DATOS'!F87&amp;"")&lt;&gt;"Por confirmar",TRIM('DATOS'!F87&amp;"")&lt;&gt;"No consta",TRIM('DATOS'!F87&amp;"")&lt;&gt;"Desconocido",TRIM('DATOS'!F87&amp;"")&lt;&gt;"Sin confirmar",TRIM('DATOS'!F87&amp;"")&lt;&gt;"Por decidir",TRIM('DATOS'!F87&amp;"")&lt;&gt;"Por comprobar")),NOT(AND(LEN(TRIM('DATOS'!N87&amp;""))&gt;0,TRIM('DATOS'!N87&amp;"")&lt;&gt;"Pendiente",TRIM('DATOS'!N87&amp;"")&lt;&gt;"Por confirmar",TRIM('DATOS'!N87&amp;"")&lt;&gt;"No consta",TRIM('DATOS'!N87&amp;"")&lt;&gt;"Desconocido",TRIM('DATOS'!N87&amp;"")&lt;&gt;"Sin confirmar",TRIM('DATOS'!N87&amp;"")&lt;&gt;"Por decidir",TRIM('DATOS'!N87&amp;"")&lt;&gt;"Por comprobar")),NOT(Y87=1),W87&lt;&gt;1,X87&gt;1,NOT(OR(LEN(TRIM('DATOS'!K87&amp;""))=0,'DATOS'!K87="Sin valorar",'DATOS'!K87="Sin coste documentado",'DATOS'!K87="Incluido en otra partida",'DATOS'!K87="Por confirmar")),NOT(OR(LEN(TRIM('DATOS'!M87&amp;""))=0,'DATOS'!M87="Sí",'DATOS'!M87="No",'DATOS'!M87="Por confirmar")),NOT(OR(LEN(TRIM('DATOS'!O87&amp;""))=0,'DATOS'!O87="Comparamos",'DATOS'!O87="No existe",'DATOS'!O87="Por confirmar"))),2,IF(AND(OR('DATOS'!G87&lt;0,'DATOS'!H87&lt;0,'DATOS'!J87&lt;0),NOT(AND(LEN(TRIM('DATOS'!L87&amp;""))&gt;0,TRIM('DATOS'!L87&amp;"")&lt;&gt;"Pendiente",TRIM('DATOS'!L87&amp;"")&lt;&gt;"Por confirmar",TRIM('DATOS'!L87&amp;"")&lt;&gt;"No consta",TRIM('DATOS'!L87&amp;"")&lt;&gt;"Desconocido",TRIM('DATOS'!L87&amp;"")&lt;&gt;"Sin confirmar",TRIM('DATOS'!L87&amp;"")&lt;&gt;"Por decidir",TRIM('DATOS'!L87&amp;"")&lt;&gt;"Por comprobar"))),1,0))),2)</f>
      </c>
      <c r="P87" s="29">
        <f>IFERROR(IF(N87=0,"",IF(NOT(Y87=1),1,IF('REFERENCIAS'!$Q$8&lt;&gt;1,2,IF(ABS('DATOS'!J87-ROUND('DATOS'!G87*'DATOS'!H87,'REFERENCIAS'!$K$8))&gt;0.00000001,2,IF('DATOS'!O87="No existe",IF(LEN(TRIM('DATOS'!I87&amp;""))=0,0,2),IF('DATOS'!O87="Comparamos",IF(LEN(TRIM('DATOS'!I87&amp;""))=0,1,IF(ISNUMBER('DATOS'!I87),IF(ABS('DATOS'!H87-'DATOS'!I87)&gt;0.00000001,2,0),2)),1)))))),2)</f>
      </c>
      <c r="Q87" s="29">
        <f>IFERROR(IF(N87=0,"",IF(NOT(Y87=1),1,IF('DATOS'!K87="Sin valorar",2,IF('DATOS'!G87=0,1,IF(OR('DATOS'!H87=0,'DATOS'!J87=0),IF(AND(OR('DATOS'!K87="Sin coste documentado",'DATOS'!K87="Incluido en otra partida"),AND(LEN(TRIM('DATOS'!L87&amp;""))&gt;0,TRIM('DATOS'!L87&amp;"")&lt;&gt;"Pendiente",TRIM('DATOS'!L87&amp;"")&lt;&gt;"Por confirmar",TRIM('DATOS'!L87&amp;"")&lt;&gt;"No consta",TRIM('DATOS'!L87&amp;"")&lt;&gt;"Desconocido",TRIM('DATOS'!L87&amp;"")&lt;&gt;"Sin confirmar",TRIM('DATOS'!L87&amp;"")&lt;&gt;"Por decidir",TRIM('DATOS'!L87&amp;"")&lt;&gt;"Por comprobar")),0,1),0))))),2)</f>
      </c>
      <c r="R87" s="29">
        <f>IFERROR(IF(N87=0,"",IF(OR(NOT(AND(LEN(TRIM('DATOS'!D87&amp;""))&gt;0,TRIM('DATOS'!D87&amp;"")&lt;&gt;"Pendiente",TRIM('DATOS'!D87&amp;"")&lt;&gt;"Por confirmar",TRIM('DATOS'!D87&amp;"")&lt;&gt;"No consta",TRIM('DATOS'!D87&amp;"")&lt;&gt;"Desconocido",TRIM('DATOS'!D87&amp;"")&lt;&gt;"Sin confirmar",TRIM('DATOS'!D87&amp;"")&lt;&gt;"Por decidir",TRIM('DATOS'!D87&amp;"")&lt;&gt;"Por comprobar")),NOT(AND(LEN(TRIM('DATOS'!E87&amp;""))&gt;0,TRIM('DATOS'!E87&amp;"")&lt;&gt;"Pendiente",TRIM('DATOS'!E87&amp;"")&lt;&gt;"Por confirmar",TRIM('DATOS'!E87&amp;"")&lt;&gt;"No consta",TRIM('DATOS'!E87&amp;"")&lt;&gt;"Desconocido",TRIM('DATOS'!E87&amp;"")&lt;&gt;"Sin confirmar",TRIM('DATOS'!E87&amp;"")&lt;&gt;"Por decidir",TRIM('DATOS'!E87&amp;"")&lt;&gt;"Por comprobar"))),2,IF('DATOS'!M87="No",2,IF('DATOS'!M87="Sí",0,IF(OR('DATOS'!D87&lt;&gt;'DATOS'!E87,LEN('DATOS'!E87)&gt;300,RIGHT(TRIM('DATOS'!E87),3)="...",RIGHT(TRIM('DATOS'!E87),1)="…"),1,0))))),2)</f>
      </c>
      <c r="S87" s="29">
        <f>IFERROR(IF(N87=0,"",IF('REFERENCIAS'!$Q$8&lt;&gt;1,2,IF(NOT(Y87=1),1,IF(OR(ABS('DATOS'!G87-ROUND('DATOS'!G87,'REFERENCIAS'!$E$8))&gt;0.00000001,ABS('DATOS'!H87-ROUND('DATOS'!H87,'REFERENCIAS'!$H$8))&gt;0.00000001,ABS('DATOS'!J87-ROUND('DATOS'!J87,'REFERENCIAS'!$K$8))&gt;0.00000001,IF(ISNUMBER('DATOS'!I87),ABS('DATOS'!I87-ROUND('DATOS'!I87,'REFERENCIAS'!$H$8))&gt;0.00000001,FALSE)),1,0)))),2)</f>
      </c>
      <c r="T87" s="29">
        <f>IFERROR(IF(N87=0,"",IF(NOT(AND(LEN(TRIM('DATOS'!F87&amp;""))&gt;0,TRIM('DATOS'!F87&amp;"")&lt;&gt;"Pendiente",TRIM('DATOS'!F87&amp;"")&lt;&gt;"Por confirmar",TRIM('DATOS'!F87&amp;"")&lt;&gt;"No consta",TRIM('DATOS'!F87&amp;"")&lt;&gt;"Desconocido",TRIM('DATOS'!F87&amp;"")&lt;&gt;"Sin confirmar",TRIM('DATOS'!F87&amp;"")&lt;&gt;"Por decidir",TRIM('DATOS'!F87&amp;"")&lt;&gt;"Por comprobar")),2,IF(COUNTIFS('REFERENCIAS'!$T$15:$T$34,"ID:"&amp;SUBSTITUTE(SUBSTITUTE(SUBSTITUTE(SUBSTITUTE(UPPER(TRIM('DATOS'!F87&amp;"")),"!","!E"),"*","!A"),"?","!B"),"~","!C"),'REFERENCIAS'!$H$15:$H$34,"&lt;&gt;")&gt;0,0,1))),2)</f>
      </c>
      <c r="U87" s="29" t="str">
        <f>'DATOS'!R87</f>
        <v>ID:</v>
      </c>
      <c r="V87" s="29" t="str">
        <f>'DATOS'!S87</f>
        <v>ID:</v>
      </c>
      <c r="W87" s="29" t="n">
        <f>IF(N87=0,0,COUNTIFS('REFERENCIAS'!$R$15:$R$64,U87))</f>
        <v>0</v>
      </c>
      <c r="X87" s="29" t="n">
        <f>IF(N87=0,0,COUNTIFS('DATOS'!$R$10:$R$509,U87,'DATOS'!$S$10:$S$509,V87))</f>
        <v>0</v>
      </c>
      <c r="Y87" s="29" t="n">
        <f>IF(AND(ISNUMBER('DATOS'!G87),ISNUMBER('DATOS'!H87),ISNUMBER('DATOS'!J87)),1,0)</f>
        <v>0</v>
      </c>
    </row>
    <row r="88" ht="64" customHeight="1">
      <c r="B88" s="26">
        <f>IF(N88=1,79,"")</f>
      </c>
      <c r="C88" s="26">
        <f>IF(AND(N88=1,LEN(TRIM('DATOS'!B88&amp;""))&gt;0),'DATOS'!B88,"")</f>
      </c>
      <c r="D88" s="26">
        <f>IF(AND(N88=1,LEN(TRIM('DATOS'!C88&amp;""))&gt;0),'DATOS'!C88,"")</f>
      </c>
      <c r="E88" s="26">
        <f>IF(NOT(ISNUMBER(P88)),"",IF(P88=2,"ROJO",IF(P88=1,"ÁMBAR","VERDE")))</f>
      </c>
      <c r="F88" s="26">
        <f>IF(NOT(ISNUMBER(Q88)),"",IF(Q88=2,"ROJO",IF(Q88=1,"ÁMBAR","VERDE")))</f>
      </c>
      <c r="G88" s="26">
        <f>IF(NOT(ISNUMBER(R88)),"",IF(R88=2,"ROJO",IF(R88=1,"ÁMBAR","VERDE")))</f>
      </c>
      <c r="H88" s="26">
        <f>IF(NOT(ISNUMBER(S88)),"",IF(S88=2,"ROJO",IF(S88=1,"ÁMBAR","VERDE")))</f>
      </c>
      <c r="I88" s="26">
        <f>IF(NOT(ISNUMBER(T88)),"",IF(T88=2,"ROJO",IF(T88=1,"ÁMBAR","VERDE")))</f>
      </c>
      <c r="J88" s="26">
        <f>IF(NOT(ISNUMBER(O88)),"",IF(O88=2,"ROJO",IF(O88=1,"ÁMBAR","VERDE")))</f>
      </c>
      <c r="K88" s="26">
        <f>IFERROR(IF(AND(N88=1,LEN(TRIM('DATOS'!N88&amp;""))&gt;0),'DATOS'!N88,""),"Hay una entrada con error. Corregimos el dato antes de cerrar la comprobación.")</f>
      </c>
      <c r="L88" s="26">
        <f>IFERROR(IF(N88=0,"",IF(O88&gt;0,"Completamos datos, claves o motivo. ","")&amp;IF(P88&gt;0,"Cotejamos precios e importe. ","")&amp;IF(Q88&gt;0,"Aclaramos el cero. ","")&amp;IF(R88&gt;0,"Comprobamos el texto. ","")&amp;IF(S88&gt;0,"Revisamos decimales visibles. ","")&amp;IF(T88&gt;0,"Confirmamos la unidad.","")),"Hay una entrada con error. Corregimos el dato antes de cerrar la comprobación.")</f>
      </c>
      <c r="N88" s="29" t="n">
        <f>IF(COUNTA('DATOS'!B88:O88)&gt;0,1,0)</f>
        <v>0</v>
      </c>
      <c r="O88" s="29">
        <f>IFERROR(IF(N88=0,"",IF(OR(NOT(AND(LEN(TRIM('DATOS'!B88&amp;""))&gt;0,TRIM('DATOS'!B88&amp;"")&lt;&gt;"Pendiente",TRIM('DATOS'!B88&amp;"")&lt;&gt;"Por confirmar",TRIM('DATOS'!B88&amp;"")&lt;&gt;"No consta",TRIM('DATOS'!B88&amp;"")&lt;&gt;"Desconocido",TRIM('DATOS'!B88&amp;"")&lt;&gt;"Sin confirmar",TRIM('DATOS'!B88&amp;"")&lt;&gt;"Por decidir",TRIM('DATOS'!B88&amp;"")&lt;&gt;"Por comprobar")),NOT(AND(LEN(TRIM('DATOS'!C88&amp;""))&gt;0,TRIM('DATOS'!C88&amp;"")&lt;&gt;"Pendiente",TRIM('DATOS'!C88&amp;"")&lt;&gt;"Por confirmar",TRIM('DATOS'!C88&amp;"")&lt;&gt;"No consta",TRIM('DATOS'!C88&amp;"")&lt;&gt;"Desconocido",TRIM('DATOS'!C88&amp;"")&lt;&gt;"Sin confirmar",TRIM('DATOS'!C88&amp;"")&lt;&gt;"Por decidir",TRIM('DATOS'!C88&amp;"")&lt;&gt;"Por comprobar")),NOT(AND(LEN(TRIM('DATOS'!D88&amp;""))&gt;0,TRIM('DATOS'!D88&amp;"")&lt;&gt;"Pendiente",TRIM('DATOS'!D88&amp;"")&lt;&gt;"Por confirmar",TRIM('DATOS'!D88&amp;"")&lt;&gt;"No consta",TRIM('DATOS'!D88&amp;"")&lt;&gt;"Desconocido",TRIM('DATOS'!D88&amp;"")&lt;&gt;"Sin confirmar",TRIM('DATOS'!D88&amp;"")&lt;&gt;"Por decidir",TRIM('DATOS'!D88&amp;"")&lt;&gt;"Por comprobar")),NOT(AND(LEN(TRIM('DATOS'!E88&amp;""))&gt;0,TRIM('DATOS'!E88&amp;"")&lt;&gt;"Pendiente",TRIM('DATOS'!E88&amp;"")&lt;&gt;"Por confirmar",TRIM('DATOS'!E88&amp;"")&lt;&gt;"No consta",TRIM('DATOS'!E88&amp;"")&lt;&gt;"Desconocido",TRIM('DATOS'!E88&amp;"")&lt;&gt;"Sin confirmar",TRIM('DATOS'!E88&amp;"")&lt;&gt;"Por decidir",TRIM('DATOS'!E88&amp;"")&lt;&gt;"Por comprobar")),NOT(AND(LEN(TRIM('DATOS'!F88&amp;""))&gt;0,TRIM('DATOS'!F88&amp;"")&lt;&gt;"Pendiente",TRIM('DATOS'!F88&amp;"")&lt;&gt;"Por confirmar",TRIM('DATOS'!F88&amp;"")&lt;&gt;"No consta",TRIM('DATOS'!F88&amp;"")&lt;&gt;"Desconocido",TRIM('DATOS'!F88&amp;"")&lt;&gt;"Sin confirmar",TRIM('DATOS'!F88&amp;"")&lt;&gt;"Por decidir",TRIM('DATOS'!F88&amp;"")&lt;&gt;"Por comprobar")),NOT(AND(LEN(TRIM('DATOS'!N88&amp;""))&gt;0,TRIM('DATOS'!N88&amp;"")&lt;&gt;"Pendiente",TRIM('DATOS'!N88&amp;"")&lt;&gt;"Por confirmar",TRIM('DATOS'!N88&amp;"")&lt;&gt;"No consta",TRIM('DATOS'!N88&amp;"")&lt;&gt;"Desconocido",TRIM('DATOS'!N88&amp;"")&lt;&gt;"Sin confirmar",TRIM('DATOS'!N88&amp;"")&lt;&gt;"Por decidir",TRIM('DATOS'!N88&amp;"")&lt;&gt;"Por comprobar")),NOT(Y88=1),W88&lt;&gt;1,X88&gt;1,NOT(OR(LEN(TRIM('DATOS'!K88&amp;""))=0,'DATOS'!K88="Sin valorar",'DATOS'!K88="Sin coste documentado",'DATOS'!K88="Incluido en otra partida",'DATOS'!K88="Por confirmar")),NOT(OR(LEN(TRIM('DATOS'!M88&amp;""))=0,'DATOS'!M88="Sí",'DATOS'!M88="No",'DATOS'!M88="Por confirmar")),NOT(OR(LEN(TRIM('DATOS'!O88&amp;""))=0,'DATOS'!O88="Comparamos",'DATOS'!O88="No existe",'DATOS'!O88="Por confirmar"))),2,IF(AND(OR('DATOS'!G88&lt;0,'DATOS'!H88&lt;0,'DATOS'!J88&lt;0),NOT(AND(LEN(TRIM('DATOS'!L88&amp;""))&gt;0,TRIM('DATOS'!L88&amp;"")&lt;&gt;"Pendiente",TRIM('DATOS'!L88&amp;"")&lt;&gt;"Por confirmar",TRIM('DATOS'!L88&amp;"")&lt;&gt;"No consta",TRIM('DATOS'!L88&amp;"")&lt;&gt;"Desconocido",TRIM('DATOS'!L88&amp;"")&lt;&gt;"Sin confirmar",TRIM('DATOS'!L88&amp;"")&lt;&gt;"Por decidir",TRIM('DATOS'!L88&amp;"")&lt;&gt;"Por comprobar"))),1,0))),2)</f>
      </c>
      <c r="P88" s="29">
        <f>IFERROR(IF(N88=0,"",IF(NOT(Y88=1),1,IF('REFERENCIAS'!$Q$8&lt;&gt;1,2,IF(ABS('DATOS'!J88-ROUND('DATOS'!G88*'DATOS'!H88,'REFERENCIAS'!$K$8))&gt;0.00000001,2,IF('DATOS'!O88="No existe",IF(LEN(TRIM('DATOS'!I88&amp;""))=0,0,2),IF('DATOS'!O88="Comparamos",IF(LEN(TRIM('DATOS'!I88&amp;""))=0,1,IF(ISNUMBER('DATOS'!I88),IF(ABS('DATOS'!H88-'DATOS'!I88)&gt;0.00000001,2,0),2)),1)))))),2)</f>
      </c>
      <c r="Q88" s="29">
        <f>IFERROR(IF(N88=0,"",IF(NOT(Y88=1),1,IF('DATOS'!K88="Sin valorar",2,IF('DATOS'!G88=0,1,IF(OR('DATOS'!H88=0,'DATOS'!J88=0),IF(AND(OR('DATOS'!K88="Sin coste documentado",'DATOS'!K88="Incluido en otra partida"),AND(LEN(TRIM('DATOS'!L88&amp;""))&gt;0,TRIM('DATOS'!L88&amp;"")&lt;&gt;"Pendiente",TRIM('DATOS'!L88&amp;"")&lt;&gt;"Por confirmar",TRIM('DATOS'!L88&amp;"")&lt;&gt;"No consta",TRIM('DATOS'!L88&amp;"")&lt;&gt;"Desconocido",TRIM('DATOS'!L88&amp;"")&lt;&gt;"Sin confirmar",TRIM('DATOS'!L88&amp;"")&lt;&gt;"Por decidir",TRIM('DATOS'!L88&amp;"")&lt;&gt;"Por comprobar")),0,1),0))))),2)</f>
      </c>
      <c r="R88" s="29">
        <f>IFERROR(IF(N88=0,"",IF(OR(NOT(AND(LEN(TRIM('DATOS'!D88&amp;""))&gt;0,TRIM('DATOS'!D88&amp;"")&lt;&gt;"Pendiente",TRIM('DATOS'!D88&amp;"")&lt;&gt;"Por confirmar",TRIM('DATOS'!D88&amp;"")&lt;&gt;"No consta",TRIM('DATOS'!D88&amp;"")&lt;&gt;"Desconocido",TRIM('DATOS'!D88&amp;"")&lt;&gt;"Sin confirmar",TRIM('DATOS'!D88&amp;"")&lt;&gt;"Por decidir",TRIM('DATOS'!D88&amp;"")&lt;&gt;"Por comprobar")),NOT(AND(LEN(TRIM('DATOS'!E88&amp;""))&gt;0,TRIM('DATOS'!E88&amp;"")&lt;&gt;"Pendiente",TRIM('DATOS'!E88&amp;"")&lt;&gt;"Por confirmar",TRIM('DATOS'!E88&amp;"")&lt;&gt;"No consta",TRIM('DATOS'!E88&amp;"")&lt;&gt;"Desconocido",TRIM('DATOS'!E88&amp;"")&lt;&gt;"Sin confirmar",TRIM('DATOS'!E88&amp;"")&lt;&gt;"Por decidir",TRIM('DATOS'!E88&amp;"")&lt;&gt;"Por comprobar"))),2,IF('DATOS'!M88="No",2,IF('DATOS'!M88="Sí",0,IF(OR('DATOS'!D88&lt;&gt;'DATOS'!E88,LEN('DATOS'!E88)&gt;300,RIGHT(TRIM('DATOS'!E88),3)="...",RIGHT(TRIM('DATOS'!E88),1)="…"),1,0))))),2)</f>
      </c>
      <c r="S88" s="29">
        <f>IFERROR(IF(N88=0,"",IF('REFERENCIAS'!$Q$8&lt;&gt;1,2,IF(NOT(Y88=1),1,IF(OR(ABS('DATOS'!G88-ROUND('DATOS'!G88,'REFERENCIAS'!$E$8))&gt;0.00000001,ABS('DATOS'!H88-ROUND('DATOS'!H88,'REFERENCIAS'!$H$8))&gt;0.00000001,ABS('DATOS'!J88-ROUND('DATOS'!J88,'REFERENCIAS'!$K$8))&gt;0.00000001,IF(ISNUMBER('DATOS'!I88),ABS('DATOS'!I88-ROUND('DATOS'!I88,'REFERENCIAS'!$H$8))&gt;0.00000001,FALSE)),1,0)))),2)</f>
      </c>
      <c r="T88" s="29">
        <f>IFERROR(IF(N88=0,"",IF(NOT(AND(LEN(TRIM('DATOS'!F88&amp;""))&gt;0,TRIM('DATOS'!F88&amp;"")&lt;&gt;"Pendiente",TRIM('DATOS'!F88&amp;"")&lt;&gt;"Por confirmar",TRIM('DATOS'!F88&amp;"")&lt;&gt;"No consta",TRIM('DATOS'!F88&amp;"")&lt;&gt;"Desconocido",TRIM('DATOS'!F88&amp;"")&lt;&gt;"Sin confirmar",TRIM('DATOS'!F88&amp;"")&lt;&gt;"Por decidir",TRIM('DATOS'!F88&amp;"")&lt;&gt;"Por comprobar")),2,IF(COUNTIFS('REFERENCIAS'!$T$15:$T$34,"ID:"&amp;SUBSTITUTE(SUBSTITUTE(SUBSTITUTE(SUBSTITUTE(UPPER(TRIM('DATOS'!F88&amp;"")),"!","!E"),"*","!A"),"?","!B"),"~","!C"),'REFERENCIAS'!$H$15:$H$34,"&lt;&gt;")&gt;0,0,1))),2)</f>
      </c>
      <c r="U88" s="29" t="str">
        <f>'DATOS'!R88</f>
        <v>ID:</v>
      </c>
      <c r="V88" s="29" t="str">
        <f>'DATOS'!S88</f>
        <v>ID:</v>
      </c>
      <c r="W88" s="29" t="n">
        <f>IF(N88=0,0,COUNTIFS('REFERENCIAS'!$R$15:$R$64,U88))</f>
        <v>0</v>
      </c>
      <c r="X88" s="29" t="n">
        <f>IF(N88=0,0,COUNTIFS('DATOS'!$R$10:$R$509,U88,'DATOS'!$S$10:$S$509,V88))</f>
        <v>0</v>
      </c>
      <c r="Y88" s="29" t="n">
        <f>IF(AND(ISNUMBER('DATOS'!G88),ISNUMBER('DATOS'!H88),ISNUMBER('DATOS'!J88)),1,0)</f>
        <v>0</v>
      </c>
    </row>
    <row r="89" ht="64" customHeight="1">
      <c r="B89" s="26">
        <f>IF(N89=1,80,"")</f>
      </c>
      <c r="C89" s="26">
        <f>IF(AND(N89=1,LEN(TRIM('DATOS'!B89&amp;""))&gt;0),'DATOS'!B89,"")</f>
      </c>
      <c r="D89" s="26">
        <f>IF(AND(N89=1,LEN(TRIM('DATOS'!C89&amp;""))&gt;0),'DATOS'!C89,"")</f>
      </c>
      <c r="E89" s="26">
        <f>IF(NOT(ISNUMBER(P89)),"",IF(P89=2,"ROJO",IF(P89=1,"ÁMBAR","VERDE")))</f>
      </c>
      <c r="F89" s="26">
        <f>IF(NOT(ISNUMBER(Q89)),"",IF(Q89=2,"ROJO",IF(Q89=1,"ÁMBAR","VERDE")))</f>
      </c>
      <c r="G89" s="26">
        <f>IF(NOT(ISNUMBER(R89)),"",IF(R89=2,"ROJO",IF(R89=1,"ÁMBAR","VERDE")))</f>
      </c>
      <c r="H89" s="26">
        <f>IF(NOT(ISNUMBER(S89)),"",IF(S89=2,"ROJO",IF(S89=1,"ÁMBAR","VERDE")))</f>
      </c>
      <c r="I89" s="26">
        <f>IF(NOT(ISNUMBER(T89)),"",IF(T89=2,"ROJO",IF(T89=1,"ÁMBAR","VERDE")))</f>
      </c>
      <c r="J89" s="26">
        <f>IF(NOT(ISNUMBER(O89)),"",IF(O89=2,"ROJO",IF(O89=1,"ÁMBAR","VERDE")))</f>
      </c>
      <c r="K89" s="26">
        <f>IFERROR(IF(AND(N89=1,LEN(TRIM('DATOS'!N89&amp;""))&gt;0),'DATOS'!N89,""),"Hay una entrada con error. Corregimos el dato antes de cerrar la comprobación.")</f>
      </c>
      <c r="L89" s="26">
        <f>IFERROR(IF(N89=0,"",IF(O89&gt;0,"Completamos datos, claves o motivo. ","")&amp;IF(P89&gt;0,"Cotejamos precios e importe. ","")&amp;IF(Q89&gt;0,"Aclaramos el cero. ","")&amp;IF(R89&gt;0,"Comprobamos el texto. ","")&amp;IF(S89&gt;0,"Revisamos decimales visibles. ","")&amp;IF(T89&gt;0,"Confirmamos la unidad.","")),"Hay una entrada con error. Corregimos el dato antes de cerrar la comprobación.")</f>
      </c>
      <c r="N89" s="29" t="n">
        <f>IF(COUNTA('DATOS'!B89:O89)&gt;0,1,0)</f>
        <v>0</v>
      </c>
      <c r="O89" s="29">
        <f>IFERROR(IF(N89=0,"",IF(OR(NOT(AND(LEN(TRIM('DATOS'!B89&amp;""))&gt;0,TRIM('DATOS'!B89&amp;"")&lt;&gt;"Pendiente",TRIM('DATOS'!B89&amp;"")&lt;&gt;"Por confirmar",TRIM('DATOS'!B89&amp;"")&lt;&gt;"No consta",TRIM('DATOS'!B89&amp;"")&lt;&gt;"Desconocido",TRIM('DATOS'!B89&amp;"")&lt;&gt;"Sin confirmar",TRIM('DATOS'!B89&amp;"")&lt;&gt;"Por decidir",TRIM('DATOS'!B89&amp;"")&lt;&gt;"Por comprobar")),NOT(AND(LEN(TRIM('DATOS'!C89&amp;""))&gt;0,TRIM('DATOS'!C89&amp;"")&lt;&gt;"Pendiente",TRIM('DATOS'!C89&amp;"")&lt;&gt;"Por confirmar",TRIM('DATOS'!C89&amp;"")&lt;&gt;"No consta",TRIM('DATOS'!C89&amp;"")&lt;&gt;"Desconocido",TRIM('DATOS'!C89&amp;"")&lt;&gt;"Sin confirmar",TRIM('DATOS'!C89&amp;"")&lt;&gt;"Por decidir",TRIM('DATOS'!C89&amp;"")&lt;&gt;"Por comprobar")),NOT(AND(LEN(TRIM('DATOS'!D89&amp;""))&gt;0,TRIM('DATOS'!D89&amp;"")&lt;&gt;"Pendiente",TRIM('DATOS'!D89&amp;"")&lt;&gt;"Por confirmar",TRIM('DATOS'!D89&amp;"")&lt;&gt;"No consta",TRIM('DATOS'!D89&amp;"")&lt;&gt;"Desconocido",TRIM('DATOS'!D89&amp;"")&lt;&gt;"Sin confirmar",TRIM('DATOS'!D89&amp;"")&lt;&gt;"Por decidir",TRIM('DATOS'!D89&amp;"")&lt;&gt;"Por comprobar")),NOT(AND(LEN(TRIM('DATOS'!E89&amp;""))&gt;0,TRIM('DATOS'!E89&amp;"")&lt;&gt;"Pendiente",TRIM('DATOS'!E89&amp;"")&lt;&gt;"Por confirmar",TRIM('DATOS'!E89&amp;"")&lt;&gt;"No consta",TRIM('DATOS'!E89&amp;"")&lt;&gt;"Desconocido",TRIM('DATOS'!E89&amp;"")&lt;&gt;"Sin confirmar",TRIM('DATOS'!E89&amp;"")&lt;&gt;"Por decidir",TRIM('DATOS'!E89&amp;"")&lt;&gt;"Por comprobar")),NOT(AND(LEN(TRIM('DATOS'!F89&amp;""))&gt;0,TRIM('DATOS'!F89&amp;"")&lt;&gt;"Pendiente",TRIM('DATOS'!F89&amp;"")&lt;&gt;"Por confirmar",TRIM('DATOS'!F89&amp;"")&lt;&gt;"No consta",TRIM('DATOS'!F89&amp;"")&lt;&gt;"Desconocido",TRIM('DATOS'!F89&amp;"")&lt;&gt;"Sin confirmar",TRIM('DATOS'!F89&amp;"")&lt;&gt;"Por decidir",TRIM('DATOS'!F89&amp;"")&lt;&gt;"Por comprobar")),NOT(AND(LEN(TRIM('DATOS'!N89&amp;""))&gt;0,TRIM('DATOS'!N89&amp;"")&lt;&gt;"Pendiente",TRIM('DATOS'!N89&amp;"")&lt;&gt;"Por confirmar",TRIM('DATOS'!N89&amp;"")&lt;&gt;"No consta",TRIM('DATOS'!N89&amp;"")&lt;&gt;"Desconocido",TRIM('DATOS'!N89&amp;"")&lt;&gt;"Sin confirmar",TRIM('DATOS'!N89&amp;"")&lt;&gt;"Por decidir",TRIM('DATOS'!N89&amp;"")&lt;&gt;"Por comprobar")),NOT(Y89=1),W89&lt;&gt;1,X89&gt;1,NOT(OR(LEN(TRIM('DATOS'!K89&amp;""))=0,'DATOS'!K89="Sin valorar",'DATOS'!K89="Sin coste documentado",'DATOS'!K89="Incluido en otra partida",'DATOS'!K89="Por confirmar")),NOT(OR(LEN(TRIM('DATOS'!M89&amp;""))=0,'DATOS'!M89="Sí",'DATOS'!M89="No",'DATOS'!M89="Por confirmar")),NOT(OR(LEN(TRIM('DATOS'!O89&amp;""))=0,'DATOS'!O89="Comparamos",'DATOS'!O89="No existe",'DATOS'!O89="Por confirmar"))),2,IF(AND(OR('DATOS'!G89&lt;0,'DATOS'!H89&lt;0,'DATOS'!J89&lt;0),NOT(AND(LEN(TRIM('DATOS'!L89&amp;""))&gt;0,TRIM('DATOS'!L89&amp;"")&lt;&gt;"Pendiente",TRIM('DATOS'!L89&amp;"")&lt;&gt;"Por confirmar",TRIM('DATOS'!L89&amp;"")&lt;&gt;"No consta",TRIM('DATOS'!L89&amp;"")&lt;&gt;"Desconocido",TRIM('DATOS'!L89&amp;"")&lt;&gt;"Sin confirmar",TRIM('DATOS'!L89&amp;"")&lt;&gt;"Por decidir",TRIM('DATOS'!L89&amp;"")&lt;&gt;"Por comprobar"))),1,0))),2)</f>
      </c>
      <c r="P89" s="29">
        <f>IFERROR(IF(N89=0,"",IF(NOT(Y89=1),1,IF('REFERENCIAS'!$Q$8&lt;&gt;1,2,IF(ABS('DATOS'!J89-ROUND('DATOS'!G89*'DATOS'!H89,'REFERENCIAS'!$K$8))&gt;0.00000001,2,IF('DATOS'!O89="No existe",IF(LEN(TRIM('DATOS'!I89&amp;""))=0,0,2),IF('DATOS'!O89="Comparamos",IF(LEN(TRIM('DATOS'!I89&amp;""))=0,1,IF(ISNUMBER('DATOS'!I89),IF(ABS('DATOS'!H89-'DATOS'!I89)&gt;0.00000001,2,0),2)),1)))))),2)</f>
      </c>
      <c r="Q89" s="29">
        <f>IFERROR(IF(N89=0,"",IF(NOT(Y89=1),1,IF('DATOS'!K89="Sin valorar",2,IF('DATOS'!G89=0,1,IF(OR('DATOS'!H89=0,'DATOS'!J89=0),IF(AND(OR('DATOS'!K89="Sin coste documentado",'DATOS'!K89="Incluido en otra partida"),AND(LEN(TRIM('DATOS'!L89&amp;""))&gt;0,TRIM('DATOS'!L89&amp;"")&lt;&gt;"Pendiente",TRIM('DATOS'!L89&amp;"")&lt;&gt;"Por confirmar",TRIM('DATOS'!L89&amp;"")&lt;&gt;"No consta",TRIM('DATOS'!L89&amp;"")&lt;&gt;"Desconocido",TRIM('DATOS'!L89&amp;"")&lt;&gt;"Sin confirmar",TRIM('DATOS'!L89&amp;"")&lt;&gt;"Por decidir",TRIM('DATOS'!L89&amp;"")&lt;&gt;"Por comprobar")),0,1),0))))),2)</f>
      </c>
      <c r="R89" s="29">
        <f>IFERROR(IF(N89=0,"",IF(OR(NOT(AND(LEN(TRIM('DATOS'!D89&amp;""))&gt;0,TRIM('DATOS'!D89&amp;"")&lt;&gt;"Pendiente",TRIM('DATOS'!D89&amp;"")&lt;&gt;"Por confirmar",TRIM('DATOS'!D89&amp;"")&lt;&gt;"No consta",TRIM('DATOS'!D89&amp;"")&lt;&gt;"Desconocido",TRIM('DATOS'!D89&amp;"")&lt;&gt;"Sin confirmar",TRIM('DATOS'!D89&amp;"")&lt;&gt;"Por decidir",TRIM('DATOS'!D89&amp;"")&lt;&gt;"Por comprobar")),NOT(AND(LEN(TRIM('DATOS'!E89&amp;""))&gt;0,TRIM('DATOS'!E89&amp;"")&lt;&gt;"Pendiente",TRIM('DATOS'!E89&amp;"")&lt;&gt;"Por confirmar",TRIM('DATOS'!E89&amp;"")&lt;&gt;"No consta",TRIM('DATOS'!E89&amp;"")&lt;&gt;"Desconocido",TRIM('DATOS'!E89&amp;"")&lt;&gt;"Sin confirmar",TRIM('DATOS'!E89&amp;"")&lt;&gt;"Por decidir",TRIM('DATOS'!E89&amp;"")&lt;&gt;"Por comprobar"))),2,IF('DATOS'!M89="No",2,IF('DATOS'!M89="Sí",0,IF(OR('DATOS'!D89&lt;&gt;'DATOS'!E89,LEN('DATOS'!E89)&gt;300,RIGHT(TRIM('DATOS'!E89),3)="...",RIGHT(TRIM('DATOS'!E89),1)="…"),1,0))))),2)</f>
      </c>
      <c r="S89" s="29">
        <f>IFERROR(IF(N89=0,"",IF('REFERENCIAS'!$Q$8&lt;&gt;1,2,IF(NOT(Y89=1),1,IF(OR(ABS('DATOS'!G89-ROUND('DATOS'!G89,'REFERENCIAS'!$E$8))&gt;0.00000001,ABS('DATOS'!H89-ROUND('DATOS'!H89,'REFERENCIAS'!$H$8))&gt;0.00000001,ABS('DATOS'!J89-ROUND('DATOS'!J89,'REFERENCIAS'!$K$8))&gt;0.00000001,IF(ISNUMBER('DATOS'!I89),ABS('DATOS'!I89-ROUND('DATOS'!I89,'REFERENCIAS'!$H$8))&gt;0.00000001,FALSE)),1,0)))),2)</f>
      </c>
      <c r="T89" s="29">
        <f>IFERROR(IF(N89=0,"",IF(NOT(AND(LEN(TRIM('DATOS'!F89&amp;""))&gt;0,TRIM('DATOS'!F89&amp;"")&lt;&gt;"Pendiente",TRIM('DATOS'!F89&amp;"")&lt;&gt;"Por confirmar",TRIM('DATOS'!F89&amp;"")&lt;&gt;"No consta",TRIM('DATOS'!F89&amp;"")&lt;&gt;"Desconocido",TRIM('DATOS'!F89&amp;"")&lt;&gt;"Sin confirmar",TRIM('DATOS'!F89&amp;"")&lt;&gt;"Por decidir",TRIM('DATOS'!F89&amp;"")&lt;&gt;"Por comprobar")),2,IF(COUNTIFS('REFERENCIAS'!$T$15:$T$34,"ID:"&amp;SUBSTITUTE(SUBSTITUTE(SUBSTITUTE(SUBSTITUTE(UPPER(TRIM('DATOS'!F89&amp;"")),"!","!E"),"*","!A"),"?","!B"),"~","!C"),'REFERENCIAS'!$H$15:$H$34,"&lt;&gt;")&gt;0,0,1))),2)</f>
      </c>
      <c r="U89" s="29" t="str">
        <f>'DATOS'!R89</f>
        <v>ID:</v>
      </c>
      <c r="V89" s="29" t="str">
        <f>'DATOS'!S89</f>
        <v>ID:</v>
      </c>
      <c r="W89" s="29" t="n">
        <f>IF(N89=0,0,COUNTIFS('REFERENCIAS'!$R$15:$R$64,U89))</f>
        <v>0</v>
      </c>
      <c r="X89" s="29" t="n">
        <f>IF(N89=0,0,COUNTIFS('DATOS'!$R$10:$R$509,U89,'DATOS'!$S$10:$S$509,V89))</f>
        <v>0</v>
      </c>
      <c r="Y89" s="29" t="n">
        <f>IF(AND(ISNUMBER('DATOS'!G89),ISNUMBER('DATOS'!H89),ISNUMBER('DATOS'!J89)),1,0)</f>
        <v>0</v>
      </c>
    </row>
    <row r="90" ht="64" customHeight="1">
      <c r="B90" s="26">
        <f>IF(N90=1,81,"")</f>
      </c>
      <c r="C90" s="26">
        <f>IF(AND(N90=1,LEN(TRIM('DATOS'!B90&amp;""))&gt;0),'DATOS'!B90,"")</f>
      </c>
      <c r="D90" s="26">
        <f>IF(AND(N90=1,LEN(TRIM('DATOS'!C90&amp;""))&gt;0),'DATOS'!C90,"")</f>
      </c>
      <c r="E90" s="26">
        <f>IF(NOT(ISNUMBER(P90)),"",IF(P90=2,"ROJO",IF(P90=1,"ÁMBAR","VERDE")))</f>
      </c>
      <c r="F90" s="26">
        <f>IF(NOT(ISNUMBER(Q90)),"",IF(Q90=2,"ROJO",IF(Q90=1,"ÁMBAR","VERDE")))</f>
      </c>
      <c r="G90" s="26">
        <f>IF(NOT(ISNUMBER(R90)),"",IF(R90=2,"ROJO",IF(R90=1,"ÁMBAR","VERDE")))</f>
      </c>
      <c r="H90" s="26">
        <f>IF(NOT(ISNUMBER(S90)),"",IF(S90=2,"ROJO",IF(S90=1,"ÁMBAR","VERDE")))</f>
      </c>
      <c r="I90" s="26">
        <f>IF(NOT(ISNUMBER(T90)),"",IF(T90=2,"ROJO",IF(T90=1,"ÁMBAR","VERDE")))</f>
      </c>
      <c r="J90" s="26">
        <f>IF(NOT(ISNUMBER(O90)),"",IF(O90=2,"ROJO",IF(O90=1,"ÁMBAR","VERDE")))</f>
      </c>
      <c r="K90" s="26">
        <f>IFERROR(IF(AND(N90=1,LEN(TRIM('DATOS'!N90&amp;""))&gt;0),'DATOS'!N90,""),"Hay una entrada con error. Corregimos el dato antes de cerrar la comprobación.")</f>
      </c>
      <c r="L90" s="26">
        <f>IFERROR(IF(N90=0,"",IF(O90&gt;0,"Completamos datos, claves o motivo. ","")&amp;IF(P90&gt;0,"Cotejamos precios e importe. ","")&amp;IF(Q90&gt;0,"Aclaramos el cero. ","")&amp;IF(R90&gt;0,"Comprobamos el texto. ","")&amp;IF(S90&gt;0,"Revisamos decimales visibles. ","")&amp;IF(T90&gt;0,"Confirmamos la unidad.","")),"Hay una entrada con error. Corregimos el dato antes de cerrar la comprobación.")</f>
      </c>
      <c r="N90" s="29" t="n">
        <f>IF(COUNTA('DATOS'!B90:O90)&gt;0,1,0)</f>
        <v>0</v>
      </c>
      <c r="O90" s="29">
        <f>IFERROR(IF(N90=0,"",IF(OR(NOT(AND(LEN(TRIM('DATOS'!B90&amp;""))&gt;0,TRIM('DATOS'!B90&amp;"")&lt;&gt;"Pendiente",TRIM('DATOS'!B90&amp;"")&lt;&gt;"Por confirmar",TRIM('DATOS'!B90&amp;"")&lt;&gt;"No consta",TRIM('DATOS'!B90&amp;"")&lt;&gt;"Desconocido",TRIM('DATOS'!B90&amp;"")&lt;&gt;"Sin confirmar",TRIM('DATOS'!B90&amp;"")&lt;&gt;"Por decidir",TRIM('DATOS'!B90&amp;"")&lt;&gt;"Por comprobar")),NOT(AND(LEN(TRIM('DATOS'!C90&amp;""))&gt;0,TRIM('DATOS'!C90&amp;"")&lt;&gt;"Pendiente",TRIM('DATOS'!C90&amp;"")&lt;&gt;"Por confirmar",TRIM('DATOS'!C90&amp;"")&lt;&gt;"No consta",TRIM('DATOS'!C90&amp;"")&lt;&gt;"Desconocido",TRIM('DATOS'!C90&amp;"")&lt;&gt;"Sin confirmar",TRIM('DATOS'!C90&amp;"")&lt;&gt;"Por decidir",TRIM('DATOS'!C90&amp;"")&lt;&gt;"Por comprobar")),NOT(AND(LEN(TRIM('DATOS'!D90&amp;""))&gt;0,TRIM('DATOS'!D90&amp;"")&lt;&gt;"Pendiente",TRIM('DATOS'!D90&amp;"")&lt;&gt;"Por confirmar",TRIM('DATOS'!D90&amp;"")&lt;&gt;"No consta",TRIM('DATOS'!D90&amp;"")&lt;&gt;"Desconocido",TRIM('DATOS'!D90&amp;"")&lt;&gt;"Sin confirmar",TRIM('DATOS'!D90&amp;"")&lt;&gt;"Por decidir",TRIM('DATOS'!D90&amp;"")&lt;&gt;"Por comprobar")),NOT(AND(LEN(TRIM('DATOS'!E90&amp;""))&gt;0,TRIM('DATOS'!E90&amp;"")&lt;&gt;"Pendiente",TRIM('DATOS'!E90&amp;"")&lt;&gt;"Por confirmar",TRIM('DATOS'!E90&amp;"")&lt;&gt;"No consta",TRIM('DATOS'!E90&amp;"")&lt;&gt;"Desconocido",TRIM('DATOS'!E90&amp;"")&lt;&gt;"Sin confirmar",TRIM('DATOS'!E90&amp;"")&lt;&gt;"Por decidir",TRIM('DATOS'!E90&amp;"")&lt;&gt;"Por comprobar")),NOT(AND(LEN(TRIM('DATOS'!F90&amp;""))&gt;0,TRIM('DATOS'!F90&amp;"")&lt;&gt;"Pendiente",TRIM('DATOS'!F90&amp;"")&lt;&gt;"Por confirmar",TRIM('DATOS'!F90&amp;"")&lt;&gt;"No consta",TRIM('DATOS'!F90&amp;"")&lt;&gt;"Desconocido",TRIM('DATOS'!F90&amp;"")&lt;&gt;"Sin confirmar",TRIM('DATOS'!F90&amp;"")&lt;&gt;"Por decidir",TRIM('DATOS'!F90&amp;"")&lt;&gt;"Por comprobar")),NOT(AND(LEN(TRIM('DATOS'!N90&amp;""))&gt;0,TRIM('DATOS'!N90&amp;"")&lt;&gt;"Pendiente",TRIM('DATOS'!N90&amp;"")&lt;&gt;"Por confirmar",TRIM('DATOS'!N90&amp;"")&lt;&gt;"No consta",TRIM('DATOS'!N90&amp;"")&lt;&gt;"Desconocido",TRIM('DATOS'!N90&amp;"")&lt;&gt;"Sin confirmar",TRIM('DATOS'!N90&amp;"")&lt;&gt;"Por decidir",TRIM('DATOS'!N90&amp;"")&lt;&gt;"Por comprobar")),NOT(Y90=1),W90&lt;&gt;1,X90&gt;1,NOT(OR(LEN(TRIM('DATOS'!K90&amp;""))=0,'DATOS'!K90="Sin valorar",'DATOS'!K90="Sin coste documentado",'DATOS'!K90="Incluido en otra partida",'DATOS'!K90="Por confirmar")),NOT(OR(LEN(TRIM('DATOS'!M90&amp;""))=0,'DATOS'!M90="Sí",'DATOS'!M90="No",'DATOS'!M90="Por confirmar")),NOT(OR(LEN(TRIM('DATOS'!O90&amp;""))=0,'DATOS'!O90="Comparamos",'DATOS'!O90="No existe",'DATOS'!O90="Por confirmar"))),2,IF(AND(OR('DATOS'!G90&lt;0,'DATOS'!H90&lt;0,'DATOS'!J90&lt;0),NOT(AND(LEN(TRIM('DATOS'!L90&amp;""))&gt;0,TRIM('DATOS'!L90&amp;"")&lt;&gt;"Pendiente",TRIM('DATOS'!L90&amp;"")&lt;&gt;"Por confirmar",TRIM('DATOS'!L90&amp;"")&lt;&gt;"No consta",TRIM('DATOS'!L90&amp;"")&lt;&gt;"Desconocido",TRIM('DATOS'!L90&amp;"")&lt;&gt;"Sin confirmar",TRIM('DATOS'!L90&amp;"")&lt;&gt;"Por decidir",TRIM('DATOS'!L90&amp;"")&lt;&gt;"Por comprobar"))),1,0))),2)</f>
      </c>
      <c r="P90" s="29">
        <f>IFERROR(IF(N90=0,"",IF(NOT(Y90=1),1,IF('REFERENCIAS'!$Q$8&lt;&gt;1,2,IF(ABS('DATOS'!J90-ROUND('DATOS'!G90*'DATOS'!H90,'REFERENCIAS'!$K$8))&gt;0.00000001,2,IF('DATOS'!O90="No existe",IF(LEN(TRIM('DATOS'!I90&amp;""))=0,0,2),IF('DATOS'!O90="Comparamos",IF(LEN(TRIM('DATOS'!I90&amp;""))=0,1,IF(ISNUMBER('DATOS'!I90),IF(ABS('DATOS'!H90-'DATOS'!I90)&gt;0.00000001,2,0),2)),1)))))),2)</f>
      </c>
      <c r="Q90" s="29">
        <f>IFERROR(IF(N90=0,"",IF(NOT(Y90=1),1,IF('DATOS'!K90="Sin valorar",2,IF('DATOS'!G90=0,1,IF(OR('DATOS'!H90=0,'DATOS'!J90=0),IF(AND(OR('DATOS'!K90="Sin coste documentado",'DATOS'!K90="Incluido en otra partida"),AND(LEN(TRIM('DATOS'!L90&amp;""))&gt;0,TRIM('DATOS'!L90&amp;"")&lt;&gt;"Pendiente",TRIM('DATOS'!L90&amp;"")&lt;&gt;"Por confirmar",TRIM('DATOS'!L90&amp;"")&lt;&gt;"No consta",TRIM('DATOS'!L90&amp;"")&lt;&gt;"Desconocido",TRIM('DATOS'!L90&amp;"")&lt;&gt;"Sin confirmar",TRIM('DATOS'!L90&amp;"")&lt;&gt;"Por decidir",TRIM('DATOS'!L90&amp;"")&lt;&gt;"Por comprobar")),0,1),0))))),2)</f>
      </c>
      <c r="R90" s="29">
        <f>IFERROR(IF(N90=0,"",IF(OR(NOT(AND(LEN(TRIM('DATOS'!D90&amp;""))&gt;0,TRIM('DATOS'!D90&amp;"")&lt;&gt;"Pendiente",TRIM('DATOS'!D90&amp;"")&lt;&gt;"Por confirmar",TRIM('DATOS'!D90&amp;"")&lt;&gt;"No consta",TRIM('DATOS'!D90&amp;"")&lt;&gt;"Desconocido",TRIM('DATOS'!D90&amp;"")&lt;&gt;"Sin confirmar",TRIM('DATOS'!D90&amp;"")&lt;&gt;"Por decidir",TRIM('DATOS'!D90&amp;"")&lt;&gt;"Por comprobar")),NOT(AND(LEN(TRIM('DATOS'!E90&amp;""))&gt;0,TRIM('DATOS'!E90&amp;"")&lt;&gt;"Pendiente",TRIM('DATOS'!E90&amp;"")&lt;&gt;"Por confirmar",TRIM('DATOS'!E90&amp;"")&lt;&gt;"No consta",TRIM('DATOS'!E90&amp;"")&lt;&gt;"Desconocido",TRIM('DATOS'!E90&amp;"")&lt;&gt;"Sin confirmar",TRIM('DATOS'!E90&amp;"")&lt;&gt;"Por decidir",TRIM('DATOS'!E90&amp;"")&lt;&gt;"Por comprobar"))),2,IF('DATOS'!M90="No",2,IF('DATOS'!M90="Sí",0,IF(OR('DATOS'!D90&lt;&gt;'DATOS'!E90,LEN('DATOS'!E90)&gt;300,RIGHT(TRIM('DATOS'!E90),3)="...",RIGHT(TRIM('DATOS'!E90),1)="…"),1,0))))),2)</f>
      </c>
      <c r="S90" s="29">
        <f>IFERROR(IF(N90=0,"",IF('REFERENCIAS'!$Q$8&lt;&gt;1,2,IF(NOT(Y90=1),1,IF(OR(ABS('DATOS'!G90-ROUND('DATOS'!G90,'REFERENCIAS'!$E$8))&gt;0.00000001,ABS('DATOS'!H90-ROUND('DATOS'!H90,'REFERENCIAS'!$H$8))&gt;0.00000001,ABS('DATOS'!J90-ROUND('DATOS'!J90,'REFERENCIAS'!$K$8))&gt;0.00000001,IF(ISNUMBER('DATOS'!I90),ABS('DATOS'!I90-ROUND('DATOS'!I90,'REFERENCIAS'!$H$8))&gt;0.00000001,FALSE)),1,0)))),2)</f>
      </c>
      <c r="T90" s="29">
        <f>IFERROR(IF(N90=0,"",IF(NOT(AND(LEN(TRIM('DATOS'!F90&amp;""))&gt;0,TRIM('DATOS'!F90&amp;"")&lt;&gt;"Pendiente",TRIM('DATOS'!F90&amp;"")&lt;&gt;"Por confirmar",TRIM('DATOS'!F90&amp;"")&lt;&gt;"No consta",TRIM('DATOS'!F90&amp;"")&lt;&gt;"Desconocido",TRIM('DATOS'!F90&amp;"")&lt;&gt;"Sin confirmar",TRIM('DATOS'!F90&amp;"")&lt;&gt;"Por decidir",TRIM('DATOS'!F90&amp;"")&lt;&gt;"Por comprobar")),2,IF(COUNTIFS('REFERENCIAS'!$T$15:$T$34,"ID:"&amp;SUBSTITUTE(SUBSTITUTE(SUBSTITUTE(SUBSTITUTE(UPPER(TRIM('DATOS'!F90&amp;"")),"!","!E"),"*","!A"),"?","!B"),"~","!C"),'REFERENCIAS'!$H$15:$H$34,"&lt;&gt;")&gt;0,0,1))),2)</f>
      </c>
      <c r="U90" s="29" t="str">
        <f>'DATOS'!R90</f>
        <v>ID:</v>
      </c>
      <c r="V90" s="29" t="str">
        <f>'DATOS'!S90</f>
        <v>ID:</v>
      </c>
      <c r="W90" s="29" t="n">
        <f>IF(N90=0,0,COUNTIFS('REFERENCIAS'!$R$15:$R$64,U90))</f>
        <v>0</v>
      </c>
      <c r="X90" s="29" t="n">
        <f>IF(N90=0,0,COUNTIFS('DATOS'!$R$10:$R$509,U90,'DATOS'!$S$10:$S$509,V90))</f>
        <v>0</v>
      </c>
      <c r="Y90" s="29" t="n">
        <f>IF(AND(ISNUMBER('DATOS'!G90),ISNUMBER('DATOS'!H90),ISNUMBER('DATOS'!J90)),1,0)</f>
        <v>0</v>
      </c>
    </row>
    <row r="91" ht="64" customHeight="1">
      <c r="B91" s="26">
        <f>IF(N91=1,82,"")</f>
      </c>
      <c r="C91" s="26">
        <f>IF(AND(N91=1,LEN(TRIM('DATOS'!B91&amp;""))&gt;0),'DATOS'!B91,"")</f>
      </c>
      <c r="D91" s="26">
        <f>IF(AND(N91=1,LEN(TRIM('DATOS'!C91&amp;""))&gt;0),'DATOS'!C91,"")</f>
      </c>
      <c r="E91" s="26">
        <f>IF(NOT(ISNUMBER(P91)),"",IF(P91=2,"ROJO",IF(P91=1,"ÁMBAR","VERDE")))</f>
      </c>
      <c r="F91" s="26">
        <f>IF(NOT(ISNUMBER(Q91)),"",IF(Q91=2,"ROJO",IF(Q91=1,"ÁMBAR","VERDE")))</f>
      </c>
      <c r="G91" s="26">
        <f>IF(NOT(ISNUMBER(R91)),"",IF(R91=2,"ROJO",IF(R91=1,"ÁMBAR","VERDE")))</f>
      </c>
      <c r="H91" s="26">
        <f>IF(NOT(ISNUMBER(S91)),"",IF(S91=2,"ROJO",IF(S91=1,"ÁMBAR","VERDE")))</f>
      </c>
      <c r="I91" s="26">
        <f>IF(NOT(ISNUMBER(T91)),"",IF(T91=2,"ROJO",IF(T91=1,"ÁMBAR","VERDE")))</f>
      </c>
      <c r="J91" s="26">
        <f>IF(NOT(ISNUMBER(O91)),"",IF(O91=2,"ROJO",IF(O91=1,"ÁMBAR","VERDE")))</f>
      </c>
      <c r="K91" s="26">
        <f>IFERROR(IF(AND(N91=1,LEN(TRIM('DATOS'!N91&amp;""))&gt;0),'DATOS'!N91,""),"Hay una entrada con error. Corregimos el dato antes de cerrar la comprobación.")</f>
      </c>
      <c r="L91" s="26">
        <f>IFERROR(IF(N91=0,"",IF(O91&gt;0,"Completamos datos, claves o motivo. ","")&amp;IF(P91&gt;0,"Cotejamos precios e importe. ","")&amp;IF(Q91&gt;0,"Aclaramos el cero. ","")&amp;IF(R91&gt;0,"Comprobamos el texto. ","")&amp;IF(S91&gt;0,"Revisamos decimales visibles. ","")&amp;IF(T91&gt;0,"Confirmamos la unidad.","")),"Hay una entrada con error. Corregimos el dato antes de cerrar la comprobación.")</f>
      </c>
      <c r="N91" s="29" t="n">
        <f>IF(COUNTA('DATOS'!B91:O91)&gt;0,1,0)</f>
        <v>0</v>
      </c>
      <c r="O91" s="29">
        <f>IFERROR(IF(N91=0,"",IF(OR(NOT(AND(LEN(TRIM('DATOS'!B91&amp;""))&gt;0,TRIM('DATOS'!B91&amp;"")&lt;&gt;"Pendiente",TRIM('DATOS'!B91&amp;"")&lt;&gt;"Por confirmar",TRIM('DATOS'!B91&amp;"")&lt;&gt;"No consta",TRIM('DATOS'!B91&amp;"")&lt;&gt;"Desconocido",TRIM('DATOS'!B91&amp;"")&lt;&gt;"Sin confirmar",TRIM('DATOS'!B91&amp;"")&lt;&gt;"Por decidir",TRIM('DATOS'!B91&amp;"")&lt;&gt;"Por comprobar")),NOT(AND(LEN(TRIM('DATOS'!C91&amp;""))&gt;0,TRIM('DATOS'!C91&amp;"")&lt;&gt;"Pendiente",TRIM('DATOS'!C91&amp;"")&lt;&gt;"Por confirmar",TRIM('DATOS'!C91&amp;"")&lt;&gt;"No consta",TRIM('DATOS'!C91&amp;"")&lt;&gt;"Desconocido",TRIM('DATOS'!C91&amp;"")&lt;&gt;"Sin confirmar",TRIM('DATOS'!C91&amp;"")&lt;&gt;"Por decidir",TRIM('DATOS'!C91&amp;"")&lt;&gt;"Por comprobar")),NOT(AND(LEN(TRIM('DATOS'!D91&amp;""))&gt;0,TRIM('DATOS'!D91&amp;"")&lt;&gt;"Pendiente",TRIM('DATOS'!D91&amp;"")&lt;&gt;"Por confirmar",TRIM('DATOS'!D91&amp;"")&lt;&gt;"No consta",TRIM('DATOS'!D91&amp;"")&lt;&gt;"Desconocido",TRIM('DATOS'!D91&amp;"")&lt;&gt;"Sin confirmar",TRIM('DATOS'!D91&amp;"")&lt;&gt;"Por decidir",TRIM('DATOS'!D91&amp;"")&lt;&gt;"Por comprobar")),NOT(AND(LEN(TRIM('DATOS'!E91&amp;""))&gt;0,TRIM('DATOS'!E91&amp;"")&lt;&gt;"Pendiente",TRIM('DATOS'!E91&amp;"")&lt;&gt;"Por confirmar",TRIM('DATOS'!E91&amp;"")&lt;&gt;"No consta",TRIM('DATOS'!E91&amp;"")&lt;&gt;"Desconocido",TRIM('DATOS'!E91&amp;"")&lt;&gt;"Sin confirmar",TRIM('DATOS'!E91&amp;"")&lt;&gt;"Por decidir",TRIM('DATOS'!E91&amp;"")&lt;&gt;"Por comprobar")),NOT(AND(LEN(TRIM('DATOS'!F91&amp;""))&gt;0,TRIM('DATOS'!F91&amp;"")&lt;&gt;"Pendiente",TRIM('DATOS'!F91&amp;"")&lt;&gt;"Por confirmar",TRIM('DATOS'!F91&amp;"")&lt;&gt;"No consta",TRIM('DATOS'!F91&amp;"")&lt;&gt;"Desconocido",TRIM('DATOS'!F91&amp;"")&lt;&gt;"Sin confirmar",TRIM('DATOS'!F91&amp;"")&lt;&gt;"Por decidir",TRIM('DATOS'!F91&amp;"")&lt;&gt;"Por comprobar")),NOT(AND(LEN(TRIM('DATOS'!N91&amp;""))&gt;0,TRIM('DATOS'!N91&amp;"")&lt;&gt;"Pendiente",TRIM('DATOS'!N91&amp;"")&lt;&gt;"Por confirmar",TRIM('DATOS'!N91&amp;"")&lt;&gt;"No consta",TRIM('DATOS'!N91&amp;"")&lt;&gt;"Desconocido",TRIM('DATOS'!N91&amp;"")&lt;&gt;"Sin confirmar",TRIM('DATOS'!N91&amp;"")&lt;&gt;"Por decidir",TRIM('DATOS'!N91&amp;"")&lt;&gt;"Por comprobar")),NOT(Y91=1),W91&lt;&gt;1,X91&gt;1,NOT(OR(LEN(TRIM('DATOS'!K91&amp;""))=0,'DATOS'!K91="Sin valorar",'DATOS'!K91="Sin coste documentado",'DATOS'!K91="Incluido en otra partida",'DATOS'!K91="Por confirmar")),NOT(OR(LEN(TRIM('DATOS'!M91&amp;""))=0,'DATOS'!M91="Sí",'DATOS'!M91="No",'DATOS'!M91="Por confirmar")),NOT(OR(LEN(TRIM('DATOS'!O91&amp;""))=0,'DATOS'!O91="Comparamos",'DATOS'!O91="No existe",'DATOS'!O91="Por confirmar"))),2,IF(AND(OR('DATOS'!G91&lt;0,'DATOS'!H91&lt;0,'DATOS'!J91&lt;0),NOT(AND(LEN(TRIM('DATOS'!L91&amp;""))&gt;0,TRIM('DATOS'!L91&amp;"")&lt;&gt;"Pendiente",TRIM('DATOS'!L91&amp;"")&lt;&gt;"Por confirmar",TRIM('DATOS'!L91&amp;"")&lt;&gt;"No consta",TRIM('DATOS'!L91&amp;"")&lt;&gt;"Desconocido",TRIM('DATOS'!L91&amp;"")&lt;&gt;"Sin confirmar",TRIM('DATOS'!L91&amp;"")&lt;&gt;"Por decidir",TRIM('DATOS'!L91&amp;"")&lt;&gt;"Por comprobar"))),1,0))),2)</f>
      </c>
      <c r="P91" s="29">
        <f>IFERROR(IF(N91=0,"",IF(NOT(Y91=1),1,IF('REFERENCIAS'!$Q$8&lt;&gt;1,2,IF(ABS('DATOS'!J91-ROUND('DATOS'!G91*'DATOS'!H91,'REFERENCIAS'!$K$8))&gt;0.00000001,2,IF('DATOS'!O91="No existe",IF(LEN(TRIM('DATOS'!I91&amp;""))=0,0,2),IF('DATOS'!O91="Comparamos",IF(LEN(TRIM('DATOS'!I91&amp;""))=0,1,IF(ISNUMBER('DATOS'!I91),IF(ABS('DATOS'!H91-'DATOS'!I91)&gt;0.00000001,2,0),2)),1)))))),2)</f>
      </c>
      <c r="Q91" s="29">
        <f>IFERROR(IF(N91=0,"",IF(NOT(Y91=1),1,IF('DATOS'!K91="Sin valorar",2,IF('DATOS'!G91=0,1,IF(OR('DATOS'!H91=0,'DATOS'!J91=0),IF(AND(OR('DATOS'!K91="Sin coste documentado",'DATOS'!K91="Incluido en otra partida"),AND(LEN(TRIM('DATOS'!L91&amp;""))&gt;0,TRIM('DATOS'!L91&amp;"")&lt;&gt;"Pendiente",TRIM('DATOS'!L91&amp;"")&lt;&gt;"Por confirmar",TRIM('DATOS'!L91&amp;"")&lt;&gt;"No consta",TRIM('DATOS'!L91&amp;"")&lt;&gt;"Desconocido",TRIM('DATOS'!L91&amp;"")&lt;&gt;"Sin confirmar",TRIM('DATOS'!L91&amp;"")&lt;&gt;"Por decidir",TRIM('DATOS'!L91&amp;"")&lt;&gt;"Por comprobar")),0,1),0))))),2)</f>
      </c>
      <c r="R91" s="29">
        <f>IFERROR(IF(N91=0,"",IF(OR(NOT(AND(LEN(TRIM('DATOS'!D91&amp;""))&gt;0,TRIM('DATOS'!D91&amp;"")&lt;&gt;"Pendiente",TRIM('DATOS'!D91&amp;"")&lt;&gt;"Por confirmar",TRIM('DATOS'!D91&amp;"")&lt;&gt;"No consta",TRIM('DATOS'!D91&amp;"")&lt;&gt;"Desconocido",TRIM('DATOS'!D91&amp;"")&lt;&gt;"Sin confirmar",TRIM('DATOS'!D91&amp;"")&lt;&gt;"Por decidir",TRIM('DATOS'!D91&amp;"")&lt;&gt;"Por comprobar")),NOT(AND(LEN(TRIM('DATOS'!E91&amp;""))&gt;0,TRIM('DATOS'!E91&amp;"")&lt;&gt;"Pendiente",TRIM('DATOS'!E91&amp;"")&lt;&gt;"Por confirmar",TRIM('DATOS'!E91&amp;"")&lt;&gt;"No consta",TRIM('DATOS'!E91&amp;"")&lt;&gt;"Desconocido",TRIM('DATOS'!E91&amp;"")&lt;&gt;"Sin confirmar",TRIM('DATOS'!E91&amp;"")&lt;&gt;"Por decidir",TRIM('DATOS'!E91&amp;"")&lt;&gt;"Por comprobar"))),2,IF('DATOS'!M91="No",2,IF('DATOS'!M91="Sí",0,IF(OR('DATOS'!D91&lt;&gt;'DATOS'!E91,LEN('DATOS'!E91)&gt;300,RIGHT(TRIM('DATOS'!E91),3)="...",RIGHT(TRIM('DATOS'!E91),1)="…"),1,0))))),2)</f>
      </c>
      <c r="S91" s="29">
        <f>IFERROR(IF(N91=0,"",IF('REFERENCIAS'!$Q$8&lt;&gt;1,2,IF(NOT(Y91=1),1,IF(OR(ABS('DATOS'!G91-ROUND('DATOS'!G91,'REFERENCIAS'!$E$8))&gt;0.00000001,ABS('DATOS'!H91-ROUND('DATOS'!H91,'REFERENCIAS'!$H$8))&gt;0.00000001,ABS('DATOS'!J91-ROUND('DATOS'!J91,'REFERENCIAS'!$K$8))&gt;0.00000001,IF(ISNUMBER('DATOS'!I91),ABS('DATOS'!I91-ROUND('DATOS'!I91,'REFERENCIAS'!$H$8))&gt;0.00000001,FALSE)),1,0)))),2)</f>
      </c>
      <c r="T91" s="29">
        <f>IFERROR(IF(N91=0,"",IF(NOT(AND(LEN(TRIM('DATOS'!F91&amp;""))&gt;0,TRIM('DATOS'!F91&amp;"")&lt;&gt;"Pendiente",TRIM('DATOS'!F91&amp;"")&lt;&gt;"Por confirmar",TRIM('DATOS'!F91&amp;"")&lt;&gt;"No consta",TRIM('DATOS'!F91&amp;"")&lt;&gt;"Desconocido",TRIM('DATOS'!F91&amp;"")&lt;&gt;"Sin confirmar",TRIM('DATOS'!F91&amp;"")&lt;&gt;"Por decidir",TRIM('DATOS'!F91&amp;"")&lt;&gt;"Por comprobar")),2,IF(COUNTIFS('REFERENCIAS'!$T$15:$T$34,"ID:"&amp;SUBSTITUTE(SUBSTITUTE(SUBSTITUTE(SUBSTITUTE(UPPER(TRIM('DATOS'!F91&amp;"")),"!","!E"),"*","!A"),"?","!B"),"~","!C"),'REFERENCIAS'!$H$15:$H$34,"&lt;&gt;")&gt;0,0,1))),2)</f>
      </c>
      <c r="U91" s="29" t="str">
        <f>'DATOS'!R91</f>
        <v>ID:</v>
      </c>
      <c r="V91" s="29" t="str">
        <f>'DATOS'!S91</f>
        <v>ID:</v>
      </c>
      <c r="W91" s="29" t="n">
        <f>IF(N91=0,0,COUNTIFS('REFERENCIAS'!$R$15:$R$64,U91))</f>
        <v>0</v>
      </c>
      <c r="X91" s="29" t="n">
        <f>IF(N91=0,0,COUNTIFS('DATOS'!$R$10:$R$509,U91,'DATOS'!$S$10:$S$509,V91))</f>
        <v>0</v>
      </c>
      <c r="Y91" s="29" t="n">
        <f>IF(AND(ISNUMBER('DATOS'!G91),ISNUMBER('DATOS'!H91),ISNUMBER('DATOS'!J91)),1,0)</f>
        <v>0</v>
      </c>
    </row>
    <row r="92" ht="64" customHeight="1">
      <c r="B92" s="26">
        <f>IF(N92=1,83,"")</f>
      </c>
      <c r="C92" s="26">
        <f>IF(AND(N92=1,LEN(TRIM('DATOS'!B92&amp;""))&gt;0),'DATOS'!B92,"")</f>
      </c>
      <c r="D92" s="26">
        <f>IF(AND(N92=1,LEN(TRIM('DATOS'!C92&amp;""))&gt;0),'DATOS'!C92,"")</f>
      </c>
      <c r="E92" s="26">
        <f>IF(NOT(ISNUMBER(P92)),"",IF(P92=2,"ROJO",IF(P92=1,"ÁMBAR","VERDE")))</f>
      </c>
      <c r="F92" s="26">
        <f>IF(NOT(ISNUMBER(Q92)),"",IF(Q92=2,"ROJO",IF(Q92=1,"ÁMBAR","VERDE")))</f>
      </c>
      <c r="G92" s="26">
        <f>IF(NOT(ISNUMBER(R92)),"",IF(R92=2,"ROJO",IF(R92=1,"ÁMBAR","VERDE")))</f>
      </c>
      <c r="H92" s="26">
        <f>IF(NOT(ISNUMBER(S92)),"",IF(S92=2,"ROJO",IF(S92=1,"ÁMBAR","VERDE")))</f>
      </c>
      <c r="I92" s="26">
        <f>IF(NOT(ISNUMBER(T92)),"",IF(T92=2,"ROJO",IF(T92=1,"ÁMBAR","VERDE")))</f>
      </c>
      <c r="J92" s="26">
        <f>IF(NOT(ISNUMBER(O92)),"",IF(O92=2,"ROJO",IF(O92=1,"ÁMBAR","VERDE")))</f>
      </c>
      <c r="K92" s="26">
        <f>IFERROR(IF(AND(N92=1,LEN(TRIM('DATOS'!N92&amp;""))&gt;0),'DATOS'!N92,""),"Hay una entrada con error. Corregimos el dato antes de cerrar la comprobación.")</f>
      </c>
      <c r="L92" s="26">
        <f>IFERROR(IF(N92=0,"",IF(O92&gt;0,"Completamos datos, claves o motivo. ","")&amp;IF(P92&gt;0,"Cotejamos precios e importe. ","")&amp;IF(Q92&gt;0,"Aclaramos el cero. ","")&amp;IF(R92&gt;0,"Comprobamos el texto. ","")&amp;IF(S92&gt;0,"Revisamos decimales visibles. ","")&amp;IF(T92&gt;0,"Confirmamos la unidad.","")),"Hay una entrada con error. Corregimos el dato antes de cerrar la comprobación.")</f>
      </c>
      <c r="N92" s="29" t="n">
        <f>IF(COUNTA('DATOS'!B92:O92)&gt;0,1,0)</f>
        <v>0</v>
      </c>
      <c r="O92" s="29">
        <f>IFERROR(IF(N92=0,"",IF(OR(NOT(AND(LEN(TRIM('DATOS'!B92&amp;""))&gt;0,TRIM('DATOS'!B92&amp;"")&lt;&gt;"Pendiente",TRIM('DATOS'!B92&amp;"")&lt;&gt;"Por confirmar",TRIM('DATOS'!B92&amp;"")&lt;&gt;"No consta",TRIM('DATOS'!B92&amp;"")&lt;&gt;"Desconocido",TRIM('DATOS'!B92&amp;"")&lt;&gt;"Sin confirmar",TRIM('DATOS'!B92&amp;"")&lt;&gt;"Por decidir",TRIM('DATOS'!B92&amp;"")&lt;&gt;"Por comprobar")),NOT(AND(LEN(TRIM('DATOS'!C92&amp;""))&gt;0,TRIM('DATOS'!C92&amp;"")&lt;&gt;"Pendiente",TRIM('DATOS'!C92&amp;"")&lt;&gt;"Por confirmar",TRIM('DATOS'!C92&amp;"")&lt;&gt;"No consta",TRIM('DATOS'!C92&amp;"")&lt;&gt;"Desconocido",TRIM('DATOS'!C92&amp;"")&lt;&gt;"Sin confirmar",TRIM('DATOS'!C92&amp;"")&lt;&gt;"Por decidir",TRIM('DATOS'!C92&amp;"")&lt;&gt;"Por comprobar")),NOT(AND(LEN(TRIM('DATOS'!D92&amp;""))&gt;0,TRIM('DATOS'!D92&amp;"")&lt;&gt;"Pendiente",TRIM('DATOS'!D92&amp;"")&lt;&gt;"Por confirmar",TRIM('DATOS'!D92&amp;"")&lt;&gt;"No consta",TRIM('DATOS'!D92&amp;"")&lt;&gt;"Desconocido",TRIM('DATOS'!D92&amp;"")&lt;&gt;"Sin confirmar",TRIM('DATOS'!D92&amp;"")&lt;&gt;"Por decidir",TRIM('DATOS'!D92&amp;"")&lt;&gt;"Por comprobar")),NOT(AND(LEN(TRIM('DATOS'!E92&amp;""))&gt;0,TRIM('DATOS'!E92&amp;"")&lt;&gt;"Pendiente",TRIM('DATOS'!E92&amp;"")&lt;&gt;"Por confirmar",TRIM('DATOS'!E92&amp;"")&lt;&gt;"No consta",TRIM('DATOS'!E92&amp;"")&lt;&gt;"Desconocido",TRIM('DATOS'!E92&amp;"")&lt;&gt;"Sin confirmar",TRIM('DATOS'!E92&amp;"")&lt;&gt;"Por decidir",TRIM('DATOS'!E92&amp;"")&lt;&gt;"Por comprobar")),NOT(AND(LEN(TRIM('DATOS'!F92&amp;""))&gt;0,TRIM('DATOS'!F92&amp;"")&lt;&gt;"Pendiente",TRIM('DATOS'!F92&amp;"")&lt;&gt;"Por confirmar",TRIM('DATOS'!F92&amp;"")&lt;&gt;"No consta",TRIM('DATOS'!F92&amp;"")&lt;&gt;"Desconocido",TRIM('DATOS'!F92&amp;"")&lt;&gt;"Sin confirmar",TRIM('DATOS'!F92&amp;"")&lt;&gt;"Por decidir",TRIM('DATOS'!F92&amp;"")&lt;&gt;"Por comprobar")),NOT(AND(LEN(TRIM('DATOS'!N92&amp;""))&gt;0,TRIM('DATOS'!N92&amp;"")&lt;&gt;"Pendiente",TRIM('DATOS'!N92&amp;"")&lt;&gt;"Por confirmar",TRIM('DATOS'!N92&amp;"")&lt;&gt;"No consta",TRIM('DATOS'!N92&amp;"")&lt;&gt;"Desconocido",TRIM('DATOS'!N92&amp;"")&lt;&gt;"Sin confirmar",TRIM('DATOS'!N92&amp;"")&lt;&gt;"Por decidir",TRIM('DATOS'!N92&amp;"")&lt;&gt;"Por comprobar")),NOT(Y92=1),W92&lt;&gt;1,X92&gt;1,NOT(OR(LEN(TRIM('DATOS'!K92&amp;""))=0,'DATOS'!K92="Sin valorar",'DATOS'!K92="Sin coste documentado",'DATOS'!K92="Incluido en otra partida",'DATOS'!K92="Por confirmar")),NOT(OR(LEN(TRIM('DATOS'!M92&amp;""))=0,'DATOS'!M92="Sí",'DATOS'!M92="No",'DATOS'!M92="Por confirmar")),NOT(OR(LEN(TRIM('DATOS'!O92&amp;""))=0,'DATOS'!O92="Comparamos",'DATOS'!O92="No existe",'DATOS'!O92="Por confirmar"))),2,IF(AND(OR('DATOS'!G92&lt;0,'DATOS'!H92&lt;0,'DATOS'!J92&lt;0),NOT(AND(LEN(TRIM('DATOS'!L92&amp;""))&gt;0,TRIM('DATOS'!L92&amp;"")&lt;&gt;"Pendiente",TRIM('DATOS'!L92&amp;"")&lt;&gt;"Por confirmar",TRIM('DATOS'!L92&amp;"")&lt;&gt;"No consta",TRIM('DATOS'!L92&amp;"")&lt;&gt;"Desconocido",TRIM('DATOS'!L92&amp;"")&lt;&gt;"Sin confirmar",TRIM('DATOS'!L92&amp;"")&lt;&gt;"Por decidir",TRIM('DATOS'!L92&amp;"")&lt;&gt;"Por comprobar"))),1,0))),2)</f>
      </c>
      <c r="P92" s="29">
        <f>IFERROR(IF(N92=0,"",IF(NOT(Y92=1),1,IF('REFERENCIAS'!$Q$8&lt;&gt;1,2,IF(ABS('DATOS'!J92-ROUND('DATOS'!G92*'DATOS'!H92,'REFERENCIAS'!$K$8))&gt;0.00000001,2,IF('DATOS'!O92="No existe",IF(LEN(TRIM('DATOS'!I92&amp;""))=0,0,2),IF('DATOS'!O92="Comparamos",IF(LEN(TRIM('DATOS'!I92&amp;""))=0,1,IF(ISNUMBER('DATOS'!I92),IF(ABS('DATOS'!H92-'DATOS'!I92)&gt;0.00000001,2,0),2)),1)))))),2)</f>
      </c>
      <c r="Q92" s="29">
        <f>IFERROR(IF(N92=0,"",IF(NOT(Y92=1),1,IF('DATOS'!K92="Sin valorar",2,IF('DATOS'!G92=0,1,IF(OR('DATOS'!H92=0,'DATOS'!J92=0),IF(AND(OR('DATOS'!K92="Sin coste documentado",'DATOS'!K92="Incluido en otra partida"),AND(LEN(TRIM('DATOS'!L92&amp;""))&gt;0,TRIM('DATOS'!L92&amp;"")&lt;&gt;"Pendiente",TRIM('DATOS'!L92&amp;"")&lt;&gt;"Por confirmar",TRIM('DATOS'!L92&amp;"")&lt;&gt;"No consta",TRIM('DATOS'!L92&amp;"")&lt;&gt;"Desconocido",TRIM('DATOS'!L92&amp;"")&lt;&gt;"Sin confirmar",TRIM('DATOS'!L92&amp;"")&lt;&gt;"Por decidir",TRIM('DATOS'!L92&amp;"")&lt;&gt;"Por comprobar")),0,1),0))))),2)</f>
      </c>
      <c r="R92" s="29">
        <f>IFERROR(IF(N92=0,"",IF(OR(NOT(AND(LEN(TRIM('DATOS'!D92&amp;""))&gt;0,TRIM('DATOS'!D92&amp;"")&lt;&gt;"Pendiente",TRIM('DATOS'!D92&amp;"")&lt;&gt;"Por confirmar",TRIM('DATOS'!D92&amp;"")&lt;&gt;"No consta",TRIM('DATOS'!D92&amp;"")&lt;&gt;"Desconocido",TRIM('DATOS'!D92&amp;"")&lt;&gt;"Sin confirmar",TRIM('DATOS'!D92&amp;"")&lt;&gt;"Por decidir",TRIM('DATOS'!D92&amp;"")&lt;&gt;"Por comprobar")),NOT(AND(LEN(TRIM('DATOS'!E92&amp;""))&gt;0,TRIM('DATOS'!E92&amp;"")&lt;&gt;"Pendiente",TRIM('DATOS'!E92&amp;"")&lt;&gt;"Por confirmar",TRIM('DATOS'!E92&amp;"")&lt;&gt;"No consta",TRIM('DATOS'!E92&amp;"")&lt;&gt;"Desconocido",TRIM('DATOS'!E92&amp;"")&lt;&gt;"Sin confirmar",TRIM('DATOS'!E92&amp;"")&lt;&gt;"Por decidir",TRIM('DATOS'!E92&amp;"")&lt;&gt;"Por comprobar"))),2,IF('DATOS'!M92="No",2,IF('DATOS'!M92="Sí",0,IF(OR('DATOS'!D92&lt;&gt;'DATOS'!E92,LEN('DATOS'!E92)&gt;300,RIGHT(TRIM('DATOS'!E92),3)="...",RIGHT(TRIM('DATOS'!E92),1)="…"),1,0))))),2)</f>
      </c>
      <c r="S92" s="29">
        <f>IFERROR(IF(N92=0,"",IF('REFERENCIAS'!$Q$8&lt;&gt;1,2,IF(NOT(Y92=1),1,IF(OR(ABS('DATOS'!G92-ROUND('DATOS'!G92,'REFERENCIAS'!$E$8))&gt;0.00000001,ABS('DATOS'!H92-ROUND('DATOS'!H92,'REFERENCIAS'!$H$8))&gt;0.00000001,ABS('DATOS'!J92-ROUND('DATOS'!J92,'REFERENCIAS'!$K$8))&gt;0.00000001,IF(ISNUMBER('DATOS'!I92),ABS('DATOS'!I92-ROUND('DATOS'!I92,'REFERENCIAS'!$H$8))&gt;0.00000001,FALSE)),1,0)))),2)</f>
      </c>
      <c r="T92" s="29">
        <f>IFERROR(IF(N92=0,"",IF(NOT(AND(LEN(TRIM('DATOS'!F92&amp;""))&gt;0,TRIM('DATOS'!F92&amp;"")&lt;&gt;"Pendiente",TRIM('DATOS'!F92&amp;"")&lt;&gt;"Por confirmar",TRIM('DATOS'!F92&amp;"")&lt;&gt;"No consta",TRIM('DATOS'!F92&amp;"")&lt;&gt;"Desconocido",TRIM('DATOS'!F92&amp;"")&lt;&gt;"Sin confirmar",TRIM('DATOS'!F92&amp;"")&lt;&gt;"Por decidir",TRIM('DATOS'!F92&amp;"")&lt;&gt;"Por comprobar")),2,IF(COUNTIFS('REFERENCIAS'!$T$15:$T$34,"ID:"&amp;SUBSTITUTE(SUBSTITUTE(SUBSTITUTE(SUBSTITUTE(UPPER(TRIM('DATOS'!F92&amp;"")),"!","!E"),"*","!A"),"?","!B"),"~","!C"),'REFERENCIAS'!$H$15:$H$34,"&lt;&gt;")&gt;0,0,1))),2)</f>
      </c>
      <c r="U92" s="29" t="str">
        <f>'DATOS'!R92</f>
        <v>ID:</v>
      </c>
      <c r="V92" s="29" t="str">
        <f>'DATOS'!S92</f>
        <v>ID:</v>
      </c>
      <c r="W92" s="29" t="n">
        <f>IF(N92=0,0,COUNTIFS('REFERENCIAS'!$R$15:$R$64,U92))</f>
        <v>0</v>
      </c>
      <c r="X92" s="29" t="n">
        <f>IF(N92=0,0,COUNTIFS('DATOS'!$R$10:$R$509,U92,'DATOS'!$S$10:$S$509,V92))</f>
        <v>0</v>
      </c>
      <c r="Y92" s="29" t="n">
        <f>IF(AND(ISNUMBER('DATOS'!G92),ISNUMBER('DATOS'!H92),ISNUMBER('DATOS'!J92)),1,0)</f>
        <v>0</v>
      </c>
    </row>
    <row r="93" ht="64" customHeight="1">
      <c r="B93" s="26">
        <f>IF(N93=1,84,"")</f>
      </c>
      <c r="C93" s="26">
        <f>IF(AND(N93=1,LEN(TRIM('DATOS'!B93&amp;""))&gt;0),'DATOS'!B93,"")</f>
      </c>
      <c r="D93" s="26">
        <f>IF(AND(N93=1,LEN(TRIM('DATOS'!C93&amp;""))&gt;0),'DATOS'!C93,"")</f>
      </c>
      <c r="E93" s="26">
        <f>IF(NOT(ISNUMBER(P93)),"",IF(P93=2,"ROJO",IF(P93=1,"ÁMBAR","VERDE")))</f>
      </c>
      <c r="F93" s="26">
        <f>IF(NOT(ISNUMBER(Q93)),"",IF(Q93=2,"ROJO",IF(Q93=1,"ÁMBAR","VERDE")))</f>
      </c>
      <c r="G93" s="26">
        <f>IF(NOT(ISNUMBER(R93)),"",IF(R93=2,"ROJO",IF(R93=1,"ÁMBAR","VERDE")))</f>
      </c>
      <c r="H93" s="26">
        <f>IF(NOT(ISNUMBER(S93)),"",IF(S93=2,"ROJO",IF(S93=1,"ÁMBAR","VERDE")))</f>
      </c>
      <c r="I93" s="26">
        <f>IF(NOT(ISNUMBER(T93)),"",IF(T93=2,"ROJO",IF(T93=1,"ÁMBAR","VERDE")))</f>
      </c>
      <c r="J93" s="26">
        <f>IF(NOT(ISNUMBER(O93)),"",IF(O93=2,"ROJO",IF(O93=1,"ÁMBAR","VERDE")))</f>
      </c>
      <c r="K93" s="26">
        <f>IFERROR(IF(AND(N93=1,LEN(TRIM('DATOS'!N93&amp;""))&gt;0),'DATOS'!N93,""),"Hay una entrada con error. Corregimos el dato antes de cerrar la comprobación.")</f>
      </c>
      <c r="L93" s="26">
        <f>IFERROR(IF(N93=0,"",IF(O93&gt;0,"Completamos datos, claves o motivo. ","")&amp;IF(P93&gt;0,"Cotejamos precios e importe. ","")&amp;IF(Q93&gt;0,"Aclaramos el cero. ","")&amp;IF(R93&gt;0,"Comprobamos el texto. ","")&amp;IF(S93&gt;0,"Revisamos decimales visibles. ","")&amp;IF(T93&gt;0,"Confirmamos la unidad.","")),"Hay una entrada con error. Corregimos el dato antes de cerrar la comprobación.")</f>
      </c>
      <c r="N93" s="29" t="n">
        <f>IF(COUNTA('DATOS'!B93:O93)&gt;0,1,0)</f>
        <v>0</v>
      </c>
      <c r="O93" s="29">
        <f>IFERROR(IF(N93=0,"",IF(OR(NOT(AND(LEN(TRIM('DATOS'!B93&amp;""))&gt;0,TRIM('DATOS'!B93&amp;"")&lt;&gt;"Pendiente",TRIM('DATOS'!B93&amp;"")&lt;&gt;"Por confirmar",TRIM('DATOS'!B93&amp;"")&lt;&gt;"No consta",TRIM('DATOS'!B93&amp;"")&lt;&gt;"Desconocido",TRIM('DATOS'!B93&amp;"")&lt;&gt;"Sin confirmar",TRIM('DATOS'!B93&amp;"")&lt;&gt;"Por decidir",TRIM('DATOS'!B93&amp;"")&lt;&gt;"Por comprobar")),NOT(AND(LEN(TRIM('DATOS'!C93&amp;""))&gt;0,TRIM('DATOS'!C93&amp;"")&lt;&gt;"Pendiente",TRIM('DATOS'!C93&amp;"")&lt;&gt;"Por confirmar",TRIM('DATOS'!C93&amp;"")&lt;&gt;"No consta",TRIM('DATOS'!C93&amp;"")&lt;&gt;"Desconocido",TRIM('DATOS'!C93&amp;"")&lt;&gt;"Sin confirmar",TRIM('DATOS'!C93&amp;"")&lt;&gt;"Por decidir",TRIM('DATOS'!C93&amp;"")&lt;&gt;"Por comprobar")),NOT(AND(LEN(TRIM('DATOS'!D93&amp;""))&gt;0,TRIM('DATOS'!D93&amp;"")&lt;&gt;"Pendiente",TRIM('DATOS'!D93&amp;"")&lt;&gt;"Por confirmar",TRIM('DATOS'!D93&amp;"")&lt;&gt;"No consta",TRIM('DATOS'!D93&amp;"")&lt;&gt;"Desconocido",TRIM('DATOS'!D93&amp;"")&lt;&gt;"Sin confirmar",TRIM('DATOS'!D93&amp;"")&lt;&gt;"Por decidir",TRIM('DATOS'!D93&amp;"")&lt;&gt;"Por comprobar")),NOT(AND(LEN(TRIM('DATOS'!E93&amp;""))&gt;0,TRIM('DATOS'!E93&amp;"")&lt;&gt;"Pendiente",TRIM('DATOS'!E93&amp;"")&lt;&gt;"Por confirmar",TRIM('DATOS'!E93&amp;"")&lt;&gt;"No consta",TRIM('DATOS'!E93&amp;"")&lt;&gt;"Desconocido",TRIM('DATOS'!E93&amp;"")&lt;&gt;"Sin confirmar",TRIM('DATOS'!E93&amp;"")&lt;&gt;"Por decidir",TRIM('DATOS'!E93&amp;"")&lt;&gt;"Por comprobar")),NOT(AND(LEN(TRIM('DATOS'!F93&amp;""))&gt;0,TRIM('DATOS'!F93&amp;"")&lt;&gt;"Pendiente",TRIM('DATOS'!F93&amp;"")&lt;&gt;"Por confirmar",TRIM('DATOS'!F93&amp;"")&lt;&gt;"No consta",TRIM('DATOS'!F93&amp;"")&lt;&gt;"Desconocido",TRIM('DATOS'!F93&amp;"")&lt;&gt;"Sin confirmar",TRIM('DATOS'!F93&amp;"")&lt;&gt;"Por decidir",TRIM('DATOS'!F93&amp;"")&lt;&gt;"Por comprobar")),NOT(AND(LEN(TRIM('DATOS'!N93&amp;""))&gt;0,TRIM('DATOS'!N93&amp;"")&lt;&gt;"Pendiente",TRIM('DATOS'!N93&amp;"")&lt;&gt;"Por confirmar",TRIM('DATOS'!N93&amp;"")&lt;&gt;"No consta",TRIM('DATOS'!N93&amp;"")&lt;&gt;"Desconocido",TRIM('DATOS'!N93&amp;"")&lt;&gt;"Sin confirmar",TRIM('DATOS'!N93&amp;"")&lt;&gt;"Por decidir",TRIM('DATOS'!N93&amp;"")&lt;&gt;"Por comprobar")),NOT(Y93=1),W93&lt;&gt;1,X93&gt;1,NOT(OR(LEN(TRIM('DATOS'!K93&amp;""))=0,'DATOS'!K93="Sin valorar",'DATOS'!K93="Sin coste documentado",'DATOS'!K93="Incluido en otra partida",'DATOS'!K93="Por confirmar")),NOT(OR(LEN(TRIM('DATOS'!M93&amp;""))=0,'DATOS'!M93="Sí",'DATOS'!M93="No",'DATOS'!M93="Por confirmar")),NOT(OR(LEN(TRIM('DATOS'!O93&amp;""))=0,'DATOS'!O93="Comparamos",'DATOS'!O93="No existe",'DATOS'!O93="Por confirmar"))),2,IF(AND(OR('DATOS'!G93&lt;0,'DATOS'!H93&lt;0,'DATOS'!J93&lt;0),NOT(AND(LEN(TRIM('DATOS'!L93&amp;""))&gt;0,TRIM('DATOS'!L93&amp;"")&lt;&gt;"Pendiente",TRIM('DATOS'!L93&amp;"")&lt;&gt;"Por confirmar",TRIM('DATOS'!L93&amp;"")&lt;&gt;"No consta",TRIM('DATOS'!L93&amp;"")&lt;&gt;"Desconocido",TRIM('DATOS'!L93&amp;"")&lt;&gt;"Sin confirmar",TRIM('DATOS'!L93&amp;"")&lt;&gt;"Por decidir",TRIM('DATOS'!L93&amp;"")&lt;&gt;"Por comprobar"))),1,0))),2)</f>
      </c>
      <c r="P93" s="29">
        <f>IFERROR(IF(N93=0,"",IF(NOT(Y93=1),1,IF('REFERENCIAS'!$Q$8&lt;&gt;1,2,IF(ABS('DATOS'!J93-ROUND('DATOS'!G93*'DATOS'!H93,'REFERENCIAS'!$K$8))&gt;0.00000001,2,IF('DATOS'!O93="No existe",IF(LEN(TRIM('DATOS'!I93&amp;""))=0,0,2),IF('DATOS'!O93="Comparamos",IF(LEN(TRIM('DATOS'!I93&amp;""))=0,1,IF(ISNUMBER('DATOS'!I93),IF(ABS('DATOS'!H93-'DATOS'!I93)&gt;0.00000001,2,0),2)),1)))))),2)</f>
      </c>
      <c r="Q93" s="29">
        <f>IFERROR(IF(N93=0,"",IF(NOT(Y93=1),1,IF('DATOS'!K93="Sin valorar",2,IF('DATOS'!G93=0,1,IF(OR('DATOS'!H93=0,'DATOS'!J93=0),IF(AND(OR('DATOS'!K93="Sin coste documentado",'DATOS'!K93="Incluido en otra partida"),AND(LEN(TRIM('DATOS'!L93&amp;""))&gt;0,TRIM('DATOS'!L93&amp;"")&lt;&gt;"Pendiente",TRIM('DATOS'!L93&amp;"")&lt;&gt;"Por confirmar",TRIM('DATOS'!L93&amp;"")&lt;&gt;"No consta",TRIM('DATOS'!L93&amp;"")&lt;&gt;"Desconocido",TRIM('DATOS'!L93&amp;"")&lt;&gt;"Sin confirmar",TRIM('DATOS'!L93&amp;"")&lt;&gt;"Por decidir",TRIM('DATOS'!L93&amp;"")&lt;&gt;"Por comprobar")),0,1),0))))),2)</f>
      </c>
      <c r="R93" s="29">
        <f>IFERROR(IF(N93=0,"",IF(OR(NOT(AND(LEN(TRIM('DATOS'!D93&amp;""))&gt;0,TRIM('DATOS'!D93&amp;"")&lt;&gt;"Pendiente",TRIM('DATOS'!D93&amp;"")&lt;&gt;"Por confirmar",TRIM('DATOS'!D93&amp;"")&lt;&gt;"No consta",TRIM('DATOS'!D93&amp;"")&lt;&gt;"Desconocido",TRIM('DATOS'!D93&amp;"")&lt;&gt;"Sin confirmar",TRIM('DATOS'!D93&amp;"")&lt;&gt;"Por decidir",TRIM('DATOS'!D93&amp;"")&lt;&gt;"Por comprobar")),NOT(AND(LEN(TRIM('DATOS'!E93&amp;""))&gt;0,TRIM('DATOS'!E93&amp;"")&lt;&gt;"Pendiente",TRIM('DATOS'!E93&amp;"")&lt;&gt;"Por confirmar",TRIM('DATOS'!E93&amp;"")&lt;&gt;"No consta",TRIM('DATOS'!E93&amp;"")&lt;&gt;"Desconocido",TRIM('DATOS'!E93&amp;"")&lt;&gt;"Sin confirmar",TRIM('DATOS'!E93&amp;"")&lt;&gt;"Por decidir",TRIM('DATOS'!E93&amp;"")&lt;&gt;"Por comprobar"))),2,IF('DATOS'!M93="No",2,IF('DATOS'!M93="Sí",0,IF(OR('DATOS'!D93&lt;&gt;'DATOS'!E93,LEN('DATOS'!E93)&gt;300,RIGHT(TRIM('DATOS'!E93),3)="...",RIGHT(TRIM('DATOS'!E93),1)="…"),1,0))))),2)</f>
      </c>
      <c r="S93" s="29">
        <f>IFERROR(IF(N93=0,"",IF('REFERENCIAS'!$Q$8&lt;&gt;1,2,IF(NOT(Y93=1),1,IF(OR(ABS('DATOS'!G93-ROUND('DATOS'!G93,'REFERENCIAS'!$E$8))&gt;0.00000001,ABS('DATOS'!H93-ROUND('DATOS'!H93,'REFERENCIAS'!$H$8))&gt;0.00000001,ABS('DATOS'!J93-ROUND('DATOS'!J93,'REFERENCIAS'!$K$8))&gt;0.00000001,IF(ISNUMBER('DATOS'!I93),ABS('DATOS'!I93-ROUND('DATOS'!I93,'REFERENCIAS'!$H$8))&gt;0.00000001,FALSE)),1,0)))),2)</f>
      </c>
      <c r="T93" s="29">
        <f>IFERROR(IF(N93=0,"",IF(NOT(AND(LEN(TRIM('DATOS'!F93&amp;""))&gt;0,TRIM('DATOS'!F93&amp;"")&lt;&gt;"Pendiente",TRIM('DATOS'!F93&amp;"")&lt;&gt;"Por confirmar",TRIM('DATOS'!F93&amp;"")&lt;&gt;"No consta",TRIM('DATOS'!F93&amp;"")&lt;&gt;"Desconocido",TRIM('DATOS'!F93&amp;"")&lt;&gt;"Sin confirmar",TRIM('DATOS'!F93&amp;"")&lt;&gt;"Por decidir",TRIM('DATOS'!F93&amp;"")&lt;&gt;"Por comprobar")),2,IF(COUNTIFS('REFERENCIAS'!$T$15:$T$34,"ID:"&amp;SUBSTITUTE(SUBSTITUTE(SUBSTITUTE(SUBSTITUTE(UPPER(TRIM('DATOS'!F93&amp;"")),"!","!E"),"*","!A"),"?","!B"),"~","!C"),'REFERENCIAS'!$H$15:$H$34,"&lt;&gt;")&gt;0,0,1))),2)</f>
      </c>
      <c r="U93" s="29" t="str">
        <f>'DATOS'!R93</f>
        <v>ID:</v>
      </c>
      <c r="V93" s="29" t="str">
        <f>'DATOS'!S93</f>
        <v>ID:</v>
      </c>
      <c r="W93" s="29" t="n">
        <f>IF(N93=0,0,COUNTIFS('REFERENCIAS'!$R$15:$R$64,U93))</f>
        <v>0</v>
      </c>
      <c r="X93" s="29" t="n">
        <f>IF(N93=0,0,COUNTIFS('DATOS'!$R$10:$R$509,U93,'DATOS'!$S$10:$S$509,V93))</f>
        <v>0</v>
      </c>
      <c r="Y93" s="29" t="n">
        <f>IF(AND(ISNUMBER('DATOS'!G93),ISNUMBER('DATOS'!H93),ISNUMBER('DATOS'!J93)),1,0)</f>
        <v>0</v>
      </c>
    </row>
    <row r="94" ht="64" customHeight="1">
      <c r="B94" s="26">
        <f>IF(N94=1,85,"")</f>
      </c>
      <c r="C94" s="26">
        <f>IF(AND(N94=1,LEN(TRIM('DATOS'!B94&amp;""))&gt;0),'DATOS'!B94,"")</f>
      </c>
      <c r="D94" s="26">
        <f>IF(AND(N94=1,LEN(TRIM('DATOS'!C94&amp;""))&gt;0),'DATOS'!C94,"")</f>
      </c>
      <c r="E94" s="26">
        <f>IF(NOT(ISNUMBER(P94)),"",IF(P94=2,"ROJO",IF(P94=1,"ÁMBAR","VERDE")))</f>
      </c>
      <c r="F94" s="26">
        <f>IF(NOT(ISNUMBER(Q94)),"",IF(Q94=2,"ROJO",IF(Q94=1,"ÁMBAR","VERDE")))</f>
      </c>
      <c r="G94" s="26">
        <f>IF(NOT(ISNUMBER(R94)),"",IF(R94=2,"ROJO",IF(R94=1,"ÁMBAR","VERDE")))</f>
      </c>
      <c r="H94" s="26">
        <f>IF(NOT(ISNUMBER(S94)),"",IF(S94=2,"ROJO",IF(S94=1,"ÁMBAR","VERDE")))</f>
      </c>
      <c r="I94" s="26">
        <f>IF(NOT(ISNUMBER(T94)),"",IF(T94=2,"ROJO",IF(T94=1,"ÁMBAR","VERDE")))</f>
      </c>
      <c r="J94" s="26">
        <f>IF(NOT(ISNUMBER(O94)),"",IF(O94=2,"ROJO",IF(O94=1,"ÁMBAR","VERDE")))</f>
      </c>
      <c r="K94" s="26">
        <f>IFERROR(IF(AND(N94=1,LEN(TRIM('DATOS'!N94&amp;""))&gt;0),'DATOS'!N94,""),"Hay una entrada con error. Corregimos el dato antes de cerrar la comprobación.")</f>
      </c>
      <c r="L94" s="26">
        <f>IFERROR(IF(N94=0,"",IF(O94&gt;0,"Completamos datos, claves o motivo. ","")&amp;IF(P94&gt;0,"Cotejamos precios e importe. ","")&amp;IF(Q94&gt;0,"Aclaramos el cero. ","")&amp;IF(R94&gt;0,"Comprobamos el texto. ","")&amp;IF(S94&gt;0,"Revisamos decimales visibles. ","")&amp;IF(T94&gt;0,"Confirmamos la unidad.","")),"Hay una entrada con error. Corregimos el dato antes de cerrar la comprobación.")</f>
      </c>
      <c r="N94" s="29" t="n">
        <f>IF(COUNTA('DATOS'!B94:O94)&gt;0,1,0)</f>
        <v>0</v>
      </c>
      <c r="O94" s="29">
        <f>IFERROR(IF(N94=0,"",IF(OR(NOT(AND(LEN(TRIM('DATOS'!B94&amp;""))&gt;0,TRIM('DATOS'!B94&amp;"")&lt;&gt;"Pendiente",TRIM('DATOS'!B94&amp;"")&lt;&gt;"Por confirmar",TRIM('DATOS'!B94&amp;"")&lt;&gt;"No consta",TRIM('DATOS'!B94&amp;"")&lt;&gt;"Desconocido",TRIM('DATOS'!B94&amp;"")&lt;&gt;"Sin confirmar",TRIM('DATOS'!B94&amp;"")&lt;&gt;"Por decidir",TRIM('DATOS'!B94&amp;"")&lt;&gt;"Por comprobar")),NOT(AND(LEN(TRIM('DATOS'!C94&amp;""))&gt;0,TRIM('DATOS'!C94&amp;"")&lt;&gt;"Pendiente",TRIM('DATOS'!C94&amp;"")&lt;&gt;"Por confirmar",TRIM('DATOS'!C94&amp;"")&lt;&gt;"No consta",TRIM('DATOS'!C94&amp;"")&lt;&gt;"Desconocido",TRIM('DATOS'!C94&amp;"")&lt;&gt;"Sin confirmar",TRIM('DATOS'!C94&amp;"")&lt;&gt;"Por decidir",TRIM('DATOS'!C94&amp;"")&lt;&gt;"Por comprobar")),NOT(AND(LEN(TRIM('DATOS'!D94&amp;""))&gt;0,TRIM('DATOS'!D94&amp;"")&lt;&gt;"Pendiente",TRIM('DATOS'!D94&amp;"")&lt;&gt;"Por confirmar",TRIM('DATOS'!D94&amp;"")&lt;&gt;"No consta",TRIM('DATOS'!D94&amp;"")&lt;&gt;"Desconocido",TRIM('DATOS'!D94&amp;"")&lt;&gt;"Sin confirmar",TRIM('DATOS'!D94&amp;"")&lt;&gt;"Por decidir",TRIM('DATOS'!D94&amp;"")&lt;&gt;"Por comprobar")),NOT(AND(LEN(TRIM('DATOS'!E94&amp;""))&gt;0,TRIM('DATOS'!E94&amp;"")&lt;&gt;"Pendiente",TRIM('DATOS'!E94&amp;"")&lt;&gt;"Por confirmar",TRIM('DATOS'!E94&amp;"")&lt;&gt;"No consta",TRIM('DATOS'!E94&amp;"")&lt;&gt;"Desconocido",TRIM('DATOS'!E94&amp;"")&lt;&gt;"Sin confirmar",TRIM('DATOS'!E94&amp;"")&lt;&gt;"Por decidir",TRIM('DATOS'!E94&amp;"")&lt;&gt;"Por comprobar")),NOT(AND(LEN(TRIM('DATOS'!F94&amp;""))&gt;0,TRIM('DATOS'!F94&amp;"")&lt;&gt;"Pendiente",TRIM('DATOS'!F94&amp;"")&lt;&gt;"Por confirmar",TRIM('DATOS'!F94&amp;"")&lt;&gt;"No consta",TRIM('DATOS'!F94&amp;"")&lt;&gt;"Desconocido",TRIM('DATOS'!F94&amp;"")&lt;&gt;"Sin confirmar",TRIM('DATOS'!F94&amp;"")&lt;&gt;"Por decidir",TRIM('DATOS'!F94&amp;"")&lt;&gt;"Por comprobar")),NOT(AND(LEN(TRIM('DATOS'!N94&amp;""))&gt;0,TRIM('DATOS'!N94&amp;"")&lt;&gt;"Pendiente",TRIM('DATOS'!N94&amp;"")&lt;&gt;"Por confirmar",TRIM('DATOS'!N94&amp;"")&lt;&gt;"No consta",TRIM('DATOS'!N94&amp;"")&lt;&gt;"Desconocido",TRIM('DATOS'!N94&amp;"")&lt;&gt;"Sin confirmar",TRIM('DATOS'!N94&amp;"")&lt;&gt;"Por decidir",TRIM('DATOS'!N94&amp;"")&lt;&gt;"Por comprobar")),NOT(Y94=1),W94&lt;&gt;1,X94&gt;1,NOT(OR(LEN(TRIM('DATOS'!K94&amp;""))=0,'DATOS'!K94="Sin valorar",'DATOS'!K94="Sin coste documentado",'DATOS'!K94="Incluido en otra partida",'DATOS'!K94="Por confirmar")),NOT(OR(LEN(TRIM('DATOS'!M94&amp;""))=0,'DATOS'!M94="Sí",'DATOS'!M94="No",'DATOS'!M94="Por confirmar")),NOT(OR(LEN(TRIM('DATOS'!O94&amp;""))=0,'DATOS'!O94="Comparamos",'DATOS'!O94="No existe",'DATOS'!O94="Por confirmar"))),2,IF(AND(OR('DATOS'!G94&lt;0,'DATOS'!H94&lt;0,'DATOS'!J94&lt;0),NOT(AND(LEN(TRIM('DATOS'!L94&amp;""))&gt;0,TRIM('DATOS'!L94&amp;"")&lt;&gt;"Pendiente",TRIM('DATOS'!L94&amp;"")&lt;&gt;"Por confirmar",TRIM('DATOS'!L94&amp;"")&lt;&gt;"No consta",TRIM('DATOS'!L94&amp;"")&lt;&gt;"Desconocido",TRIM('DATOS'!L94&amp;"")&lt;&gt;"Sin confirmar",TRIM('DATOS'!L94&amp;"")&lt;&gt;"Por decidir",TRIM('DATOS'!L94&amp;"")&lt;&gt;"Por comprobar"))),1,0))),2)</f>
      </c>
      <c r="P94" s="29">
        <f>IFERROR(IF(N94=0,"",IF(NOT(Y94=1),1,IF('REFERENCIAS'!$Q$8&lt;&gt;1,2,IF(ABS('DATOS'!J94-ROUND('DATOS'!G94*'DATOS'!H94,'REFERENCIAS'!$K$8))&gt;0.00000001,2,IF('DATOS'!O94="No existe",IF(LEN(TRIM('DATOS'!I94&amp;""))=0,0,2),IF('DATOS'!O94="Comparamos",IF(LEN(TRIM('DATOS'!I94&amp;""))=0,1,IF(ISNUMBER('DATOS'!I94),IF(ABS('DATOS'!H94-'DATOS'!I94)&gt;0.00000001,2,0),2)),1)))))),2)</f>
      </c>
      <c r="Q94" s="29">
        <f>IFERROR(IF(N94=0,"",IF(NOT(Y94=1),1,IF('DATOS'!K94="Sin valorar",2,IF('DATOS'!G94=0,1,IF(OR('DATOS'!H94=0,'DATOS'!J94=0),IF(AND(OR('DATOS'!K94="Sin coste documentado",'DATOS'!K94="Incluido en otra partida"),AND(LEN(TRIM('DATOS'!L94&amp;""))&gt;0,TRIM('DATOS'!L94&amp;"")&lt;&gt;"Pendiente",TRIM('DATOS'!L94&amp;"")&lt;&gt;"Por confirmar",TRIM('DATOS'!L94&amp;"")&lt;&gt;"No consta",TRIM('DATOS'!L94&amp;"")&lt;&gt;"Desconocido",TRIM('DATOS'!L94&amp;"")&lt;&gt;"Sin confirmar",TRIM('DATOS'!L94&amp;"")&lt;&gt;"Por decidir",TRIM('DATOS'!L94&amp;"")&lt;&gt;"Por comprobar")),0,1),0))))),2)</f>
      </c>
      <c r="R94" s="29">
        <f>IFERROR(IF(N94=0,"",IF(OR(NOT(AND(LEN(TRIM('DATOS'!D94&amp;""))&gt;0,TRIM('DATOS'!D94&amp;"")&lt;&gt;"Pendiente",TRIM('DATOS'!D94&amp;"")&lt;&gt;"Por confirmar",TRIM('DATOS'!D94&amp;"")&lt;&gt;"No consta",TRIM('DATOS'!D94&amp;"")&lt;&gt;"Desconocido",TRIM('DATOS'!D94&amp;"")&lt;&gt;"Sin confirmar",TRIM('DATOS'!D94&amp;"")&lt;&gt;"Por decidir",TRIM('DATOS'!D94&amp;"")&lt;&gt;"Por comprobar")),NOT(AND(LEN(TRIM('DATOS'!E94&amp;""))&gt;0,TRIM('DATOS'!E94&amp;"")&lt;&gt;"Pendiente",TRIM('DATOS'!E94&amp;"")&lt;&gt;"Por confirmar",TRIM('DATOS'!E94&amp;"")&lt;&gt;"No consta",TRIM('DATOS'!E94&amp;"")&lt;&gt;"Desconocido",TRIM('DATOS'!E94&amp;"")&lt;&gt;"Sin confirmar",TRIM('DATOS'!E94&amp;"")&lt;&gt;"Por decidir",TRIM('DATOS'!E94&amp;"")&lt;&gt;"Por comprobar"))),2,IF('DATOS'!M94="No",2,IF('DATOS'!M94="Sí",0,IF(OR('DATOS'!D94&lt;&gt;'DATOS'!E94,LEN('DATOS'!E94)&gt;300,RIGHT(TRIM('DATOS'!E94),3)="...",RIGHT(TRIM('DATOS'!E94),1)="…"),1,0))))),2)</f>
      </c>
      <c r="S94" s="29">
        <f>IFERROR(IF(N94=0,"",IF('REFERENCIAS'!$Q$8&lt;&gt;1,2,IF(NOT(Y94=1),1,IF(OR(ABS('DATOS'!G94-ROUND('DATOS'!G94,'REFERENCIAS'!$E$8))&gt;0.00000001,ABS('DATOS'!H94-ROUND('DATOS'!H94,'REFERENCIAS'!$H$8))&gt;0.00000001,ABS('DATOS'!J94-ROUND('DATOS'!J94,'REFERENCIAS'!$K$8))&gt;0.00000001,IF(ISNUMBER('DATOS'!I94),ABS('DATOS'!I94-ROUND('DATOS'!I94,'REFERENCIAS'!$H$8))&gt;0.00000001,FALSE)),1,0)))),2)</f>
      </c>
      <c r="T94" s="29">
        <f>IFERROR(IF(N94=0,"",IF(NOT(AND(LEN(TRIM('DATOS'!F94&amp;""))&gt;0,TRIM('DATOS'!F94&amp;"")&lt;&gt;"Pendiente",TRIM('DATOS'!F94&amp;"")&lt;&gt;"Por confirmar",TRIM('DATOS'!F94&amp;"")&lt;&gt;"No consta",TRIM('DATOS'!F94&amp;"")&lt;&gt;"Desconocido",TRIM('DATOS'!F94&amp;"")&lt;&gt;"Sin confirmar",TRIM('DATOS'!F94&amp;"")&lt;&gt;"Por decidir",TRIM('DATOS'!F94&amp;"")&lt;&gt;"Por comprobar")),2,IF(COUNTIFS('REFERENCIAS'!$T$15:$T$34,"ID:"&amp;SUBSTITUTE(SUBSTITUTE(SUBSTITUTE(SUBSTITUTE(UPPER(TRIM('DATOS'!F94&amp;"")),"!","!E"),"*","!A"),"?","!B"),"~","!C"),'REFERENCIAS'!$H$15:$H$34,"&lt;&gt;")&gt;0,0,1))),2)</f>
      </c>
      <c r="U94" s="29" t="str">
        <f>'DATOS'!R94</f>
        <v>ID:</v>
      </c>
      <c r="V94" s="29" t="str">
        <f>'DATOS'!S94</f>
        <v>ID:</v>
      </c>
      <c r="W94" s="29" t="n">
        <f>IF(N94=0,0,COUNTIFS('REFERENCIAS'!$R$15:$R$64,U94))</f>
        <v>0</v>
      </c>
      <c r="X94" s="29" t="n">
        <f>IF(N94=0,0,COUNTIFS('DATOS'!$R$10:$R$509,U94,'DATOS'!$S$10:$S$509,V94))</f>
        <v>0</v>
      </c>
      <c r="Y94" s="29" t="n">
        <f>IF(AND(ISNUMBER('DATOS'!G94),ISNUMBER('DATOS'!H94),ISNUMBER('DATOS'!J94)),1,0)</f>
        <v>0</v>
      </c>
    </row>
    <row r="95" ht="64" customHeight="1">
      <c r="B95" s="26">
        <f>IF(N95=1,86,"")</f>
      </c>
      <c r="C95" s="26">
        <f>IF(AND(N95=1,LEN(TRIM('DATOS'!B95&amp;""))&gt;0),'DATOS'!B95,"")</f>
      </c>
      <c r="D95" s="26">
        <f>IF(AND(N95=1,LEN(TRIM('DATOS'!C95&amp;""))&gt;0),'DATOS'!C95,"")</f>
      </c>
      <c r="E95" s="26">
        <f>IF(NOT(ISNUMBER(P95)),"",IF(P95=2,"ROJO",IF(P95=1,"ÁMBAR","VERDE")))</f>
      </c>
      <c r="F95" s="26">
        <f>IF(NOT(ISNUMBER(Q95)),"",IF(Q95=2,"ROJO",IF(Q95=1,"ÁMBAR","VERDE")))</f>
      </c>
      <c r="G95" s="26">
        <f>IF(NOT(ISNUMBER(R95)),"",IF(R95=2,"ROJO",IF(R95=1,"ÁMBAR","VERDE")))</f>
      </c>
      <c r="H95" s="26">
        <f>IF(NOT(ISNUMBER(S95)),"",IF(S95=2,"ROJO",IF(S95=1,"ÁMBAR","VERDE")))</f>
      </c>
      <c r="I95" s="26">
        <f>IF(NOT(ISNUMBER(T95)),"",IF(T95=2,"ROJO",IF(T95=1,"ÁMBAR","VERDE")))</f>
      </c>
      <c r="J95" s="26">
        <f>IF(NOT(ISNUMBER(O95)),"",IF(O95=2,"ROJO",IF(O95=1,"ÁMBAR","VERDE")))</f>
      </c>
      <c r="K95" s="26">
        <f>IFERROR(IF(AND(N95=1,LEN(TRIM('DATOS'!N95&amp;""))&gt;0),'DATOS'!N95,""),"Hay una entrada con error. Corregimos el dato antes de cerrar la comprobación.")</f>
      </c>
      <c r="L95" s="26">
        <f>IFERROR(IF(N95=0,"",IF(O95&gt;0,"Completamos datos, claves o motivo. ","")&amp;IF(P95&gt;0,"Cotejamos precios e importe. ","")&amp;IF(Q95&gt;0,"Aclaramos el cero. ","")&amp;IF(R95&gt;0,"Comprobamos el texto. ","")&amp;IF(S95&gt;0,"Revisamos decimales visibles. ","")&amp;IF(T95&gt;0,"Confirmamos la unidad.","")),"Hay una entrada con error. Corregimos el dato antes de cerrar la comprobación.")</f>
      </c>
      <c r="N95" s="29" t="n">
        <f>IF(COUNTA('DATOS'!B95:O95)&gt;0,1,0)</f>
        <v>0</v>
      </c>
      <c r="O95" s="29">
        <f>IFERROR(IF(N95=0,"",IF(OR(NOT(AND(LEN(TRIM('DATOS'!B95&amp;""))&gt;0,TRIM('DATOS'!B95&amp;"")&lt;&gt;"Pendiente",TRIM('DATOS'!B95&amp;"")&lt;&gt;"Por confirmar",TRIM('DATOS'!B95&amp;"")&lt;&gt;"No consta",TRIM('DATOS'!B95&amp;"")&lt;&gt;"Desconocido",TRIM('DATOS'!B95&amp;"")&lt;&gt;"Sin confirmar",TRIM('DATOS'!B95&amp;"")&lt;&gt;"Por decidir",TRIM('DATOS'!B95&amp;"")&lt;&gt;"Por comprobar")),NOT(AND(LEN(TRIM('DATOS'!C95&amp;""))&gt;0,TRIM('DATOS'!C95&amp;"")&lt;&gt;"Pendiente",TRIM('DATOS'!C95&amp;"")&lt;&gt;"Por confirmar",TRIM('DATOS'!C95&amp;"")&lt;&gt;"No consta",TRIM('DATOS'!C95&amp;"")&lt;&gt;"Desconocido",TRIM('DATOS'!C95&amp;"")&lt;&gt;"Sin confirmar",TRIM('DATOS'!C95&amp;"")&lt;&gt;"Por decidir",TRIM('DATOS'!C95&amp;"")&lt;&gt;"Por comprobar")),NOT(AND(LEN(TRIM('DATOS'!D95&amp;""))&gt;0,TRIM('DATOS'!D95&amp;"")&lt;&gt;"Pendiente",TRIM('DATOS'!D95&amp;"")&lt;&gt;"Por confirmar",TRIM('DATOS'!D95&amp;"")&lt;&gt;"No consta",TRIM('DATOS'!D95&amp;"")&lt;&gt;"Desconocido",TRIM('DATOS'!D95&amp;"")&lt;&gt;"Sin confirmar",TRIM('DATOS'!D95&amp;"")&lt;&gt;"Por decidir",TRIM('DATOS'!D95&amp;"")&lt;&gt;"Por comprobar")),NOT(AND(LEN(TRIM('DATOS'!E95&amp;""))&gt;0,TRIM('DATOS'!E95&amp;"")&lt;&gt;"Pendiente",TRIM('DATOS'!E95&amp;"")&lt;&gt;"Por confirmar",TRIM('DATOS'!E95&amp;"")&lt;&gt;"No consta",TRIM('DATOS'!E95&amp;"")&lt;&gt;"Desconocido",TRIM('DATOS'!E95&amp;"")&lt;&gt;"Sin confirmar",TRIM('DATOS'!E95&amp;"")&lt;&gt;"Por decidir",TRIM('DATOS'!E95&amp;"")&lt;&gt;"Por comprobar")),NOT(AND(LEN(TRIM('DATOS'!F95&amp;""))&gt;0,TRIM('DATOS'!F95&amp;"")&lt;&gt;"Pendiente",TRIM('DATOS'!F95&amp;"")&lt;&gt;"Por confirmar",TRIM('DATOS'!F95&amp;"")&lt;&gt;"No consta",TRIM('DATOS'!F95&amp;"")&lt;&gt;"Desconocido",TRIM('DATOS'!F95&amp;"")&lt;&gt;"Sin confirmar",TRIM('DATOS'!F95&amp;"")&lt;&gt;"Por decidir",TRIM('DATOS'!F95&amp;"")&lt;&gt;"Por comprobar")),NOT(AND(LEN(TRIM('DATOS'!N95&amp;""))&gt;0,TRIM('DATOS'!N95&amp;"")&lt;&gt;"Pendiente",TRIM('DATOS'!N95&amp;"")&lt;&gt;"Por confirmar",TRIM('DATOS'!N95&amp;"")&lt;&gt;"No consta",TRIM('DATOS'!N95&amp;"")&lt;&gt;"Desconocido",TRIM('DATOS'!N95&amp;"")&lt;&gt;"Sin confirmar",TRIM('DATOS'!N95&amp;"")&lt;&gt;"Por decidir",TRIM('DATOS'!N95&amp;"")&lt;&gt;"Por comprobar")),NOT(Y95=1),W95&lt;&gt;1,X95&gt;1,NOT(OR(LEN(TRIM('DATOS'!K95&amp;""))=0,'DATOS'!K95="Sin valorar",'DATOS'!K95="Sin coste documentado",'DATOS'!K95="Incluido en otra partida",'DATOS'!K95="Por confirmar")),NOT(OR(LEN(TRIM('DATOS'!M95&amp;""))=0,'DATOS'!M95="Sí",'DATOS'!M95="No",'DATOS'!M95="Por confirmar")),NOT(OR(LEN(TRIM('DATOS'!O95&amp;""))=0,'DATOS'!O95="Comparamos",'DATOS'!O95="No existe",'DATOS'!O95="Por confirmar"))),2,IF(AND(OR('DATOS'!G95&lt;0,'DATOS'!H95&lt;0,'DATOS'!J95&lt;0),NOT(AND(LEN(TRIM('DATOS'!L95&amp;""))&gt;0,TRIM('DATOS'!L95&amp;"")&lt;&gt;"Pendiente",TRIM('DATOS'!L95&amp;"")&lt;&gt;"Por confirmar",TRIM('DATOS'!L95&amp;"")&lt;&gt;"No consta",TRIM('DATOS'!L95&amp;"")&lt;&gt;"Desconocido",TRIM('DATOS'!L95&amp;"")&lt;&gt;"Sin confirmar",TRIM('DATOS'!L95&amp;"")&lt;&gt;"Por decidir",TRIM('DATOS'!L95&amp;"")&lt;&gt;"Por comprobar"))),1,0))),2)</f>
      </c>
      <c r="P95" s="29">
        <f>IFERROR(IF(N95=0,"",IF(NOT(Y95=1),1,IF('REFERENCIAS'!$Q$8&lt;&gt;1,2,IF(ABS('DATOS'!J95-ROUND('DATOS'!G95*'DATOS'!H95,'REFERENCIAS'!$K$8))&gt;0.00000001,2,IF('DATOS'!O95="No existe",IF(LEN(TRIM('DATOS'!I95&amp;""))=0,0,2),IF('DATOS'!O95="Comparamos",IF(LEN(TRIM('DATOS'!I95&amp;""))=0,1,IF(ISNUMBER('DATOS'!I95),IF(ABS('DATOS'!H95-'DATOS'!I95)&gt;0.00000001,2,0),2)),1)))))),2)</f>
      </c>
      <c r="Q95" s="29">
        <f>IFERROR(IF(N95=0,"",IF(NOT(Y95=1),1,IF('DATOS'!K95="Sin valorar",2,IF('DATOS'!G95=0,1,IF(OR('DATOS'!H95=0,'DATOS'!J95=0),IF(AND(OR('DATOS'!K95="Sin coste documentado",'DATOS'!K95="Incluido en otra partida"),AND(LEN(TRIM('DATOS'!L95&amp;""))&gt;0,TRIM('DATOS'!L95&amp;"")&lt;&gt;"Pendiente",TRIM('DATOS'!L95&amp;"")&lt;&gt;"Por confirmar",TRIM('DATOS'!L95&amp;"")&lt;&gt;"No consta",TRIM('DATOS'!L95&amp;"")&lt;&gt;"Desconocido",TRIM('DATOS'!L95&amp;"")&lt;&gt;"Sin confirmar",TRIM('DATOS'!L95&amp;"")&lt;&gt;"Por decidir",TRIM('DATOS'!L95&amp;"")&lt;&gt;"Por comprobar")),0,1),0))))),2)</f>
      </c>
      <c r="R95" s="29">
        <f>IFERROR(IF(N95=0,"",IF(OR(NOT(AND(LEN(TRIM('DATOS'!D95&amp;""))&gt;0,TRIM('DATOS'!D95&amp;"")&lt;&gt;"Pendiente",TRIM('DATOS'!D95&amp;"")&lt;&gt;"Por confirmar",TRIM('DATOS'!D95&amp;"")&lt;&gt;"No consta",TRIM('DATOS'!D95&amp;"")&lt;&gt;"Desconocido",TRIM('DATOS'!D95&amp;"")&lt;&gt;"Sin confirmar",TRIM('DATOS'!D95&amp;"")&lt;&gt;"Por decidir",TRIM('DATOS'!D95&amp;"")&lt;&gt;"Por comprobar")),NOT(AND(LEN(TRIM('DATOS'!E95&amp;""))&gt;0,TRIM('DATOS'!E95&amp;"")&lt;&gt;"Pendiente",TRIM('DATOS'!E95&amp;"")&lt;&gt;"Por confirmar",TRIM('DATOS'!E95&amp;"")&lt;&gt;"No consta",TRIM('DATOS'!E95&amp;"")&lt;&gt;"Desconocido",TRIM('DATOS'!E95&amp;"")&lt;&gt;"Sin confirmar",TRIM('DATOS'!E95&amp;"")&lt;&gt;"Por decidir",TRIM('DATOS'!E95&amp;"")&lt;&gt;"Por comprobar"))),2,IF('DATOS'!M95="No",2,IF('DATOS'!M95="Sí",0,IF(OR('DATOS'!D95&lt;&gt;'DATOS'!E95,LEN('DATOS'!E95)&gt;300,RIGHT(TRIM('DATOS'!E95),3)="...",RIGHT(TRIM('DATOS'!E95),1)="…"),1,0))))),2)</f>
      </c>
      <c r="S95" s="29">
        <f>IFERROR(IF(N95=0,"",IF('REFERENCIAS'!$Q$8&lt;&gt;1,2,IF(NOT(Y95=1),1,IF(OR(ABS('DATOS'!G95-ROUND('DATOS'!G95,'REFERENCIAS'!$E$8))&gt;0.00000001,ABS('DATOS'!H95-ROUND('DATOS'!H95,'REFERENCIAS'!$H$8))&gt;0.00000001,ABS('DATOS'!J95-ROUND('DATOS'!J95,'REFERENCIAS'!$K$8))&gt;0.00000001,IF(ISNUMBER('DATOS'!I95),ABS('DATOS'!I95-ROUND('DATOS'!I95,'REFERENCIAS'!$H$8))&gt;0.00000001,FALSE)),1,0)))),2)</f>
      </c>
      <c r="T95" s="29">
        <f>IFERROR(IF(N95=0,"",IF(NOT(AND(LEN(TRIM('DATOS'!F95&amp;""))&gt;0,TRIM('DATOS'!F95&amp;"")&lt;&gt;"Pendiente",TRIM('DATOS'!F95&amp;"")&lt;&gt;"Por confirmar",TRIM('DATOS'!F95&amp;"")&lt;&gt;"No consta",TRIM('DATOS'!F95&amp;"")&lt;&gt;"Desconocido",TRIM('DATOS'!F95&amp;"")&lt;&gt;"Sin confirmar",TRIM('DATOS'!F95&amp;"")&lt;&gt;"Por decidir",TRIM('DATOS'!F95&amp;"")&lt;&gt;"Por comprobar")),2,IF(COUNTIFS('REFERENCIAS'!$T$15:$T$34,"ID:"&amp;SUBSTITUTE(SUBSTITUTE(SUBSTITUTE(SUBSTITUTE(UPPER(TRIM('DATOS'!F95&amp;"")),"!","!E"),"*","!A"),"?","!B"),"~","!C"),'REFERENCIAS'!$H$15:$H$34,"&lt;&gt;")&gt;0,0,1))),2)</f>
      </c>
      <c r="U95" s="29" t="str">
        <f>'DATOS'!R95</f>
        <v>ID:</v>
      </c>
      <c r="V95" s="29" t="str">
        <f>'DATOS'!S95</f>
        <v>ID:</v>
      </c>
      <c r="W95" s="29" t="n">
        <f>IF(N95=0,0,COUNTIFS('REFERENCIAS'!$R$15:$R$64,U95))</f>
        <v>0</v>
      </c>
      <c r="X95" s="29" t="n">
        <f>IF(N95=0,0,COUNTIFS('DATOS'!$R$10:$R$509,U95,'DATOS'!$S$10:$S$509,V95))</f>
        <v>0</v>
      </c>
      <c r="Y95" s="29" t="n">
        <f>IF(AND(ISNUMBER('DATOS'!G95),ISNUMBER('DATOS'!H95),ISNUMBER('DATOS'!J95)),1,0)</f>
        <v>0</v>
      </c>
    </row>
    <row r="96" ht="64" customHeight="1">
      <c r="B96" s="26">
        <f>IF(N96=1,87,"")</f>
      </c>
      <c r="C96" s="26">
        <f>IF(AND(N96=1,LEN(TRIM('DATOS'!B96&amp;""))&gt;0),'DATOS'!B96,"")</f>
      </c>
      <c r="D96" s="26">
        <f>IF(AND(N96=1,LEN(TRIM('DATOS'!C96&amp;""))&gt;0),'DATOS'!C96,"")</f>
      </c>
      <c r="E96" s="26">
        <f>IF(NOT(ISNUMBER(P96)),"",IF(P96=2,"ROJO",IF(P96=1,"ÁMBAR","VERDE")))</f>
      </c>
      <c r="F96" s="26">
        <f>IF(NOT(ISNUMBER(Q96)),"",IF(Q96=2,"ROJO",IF(Q96=1,"ÁMBAR","VERDE")))</f>
      </c>
      <c r="G96" s="26">
        <f>IF(NOT(ISNUMBER(R96)),"",IF(R96=2,"ROJO",IF(R96=1,"ÁMBAR","VERDE")))</f>
      </c>
      <c r="H96" s="26">
        <f>IF(NOT(ISNUMBER(S96)),"",IF(S96=2,"ROJO",IF(S96=1,"ÁMBAR","VERDE")))</f>
      </c>
      <c r="I96" s="26">
        <f>IF(NOT(ISNUMBER(T96)),"",IF(T96=2,"ROJO",IF(T96=1,"ÁMBAR","VERDE")))</f>
      </c>
      <c r="J96" s="26">
        <f>IF(NOT(ISNUMBER(O96)),"",IF(O96=2,"ROJO",IF(O96=1,"ÁMBAR","VERDE")))</f>
      </c>
      <c r="K96" s="26">
        <f>IFERROR(IF(AND(N96=1,LEN(TRIM('DATOS'!N96&amp;""))&gt;0),'DATOS'!N96,""),"Hay una entrada con error. Corregimos el dato antes de cerrar la comprobación.")</f>
      </c>
      <c r="L96" s="26">
        <f>IFERROR(IF(N96=0,"",IF(O96&gt;0,"Completamos datos, claves o motivo. ","")&amp;IF(P96&gt;0,"Cotejamos precios e importe. ","")&amp;IF(Q96&gt;0,"Aclaramos el cero. ","")&amp;IF(R96&gt;0,"Comprobamos el texto. ","")&amp;IF(S96&gt;0,"Revisamos decimales visibles. ","")&amp;IF(T96&gt;0,"Confirmamos la unidad.","")),"Hay una entrada con error. Corregimos el dato antes de cerrar la comprobación.")</f>
      </c>
      <c r="N96" s="29" t="n">
        <f>IF(COUNTA('DATOS'!B96:O96)&gt;0,1,0)</f>
        <v>0</v>
      </c>
      <c r="O96" s="29">
        <f>IFERROR(IF(N96=0,"",IF(OR(NOT(AND(LEN(TRIM('DATOS'!B96&amp;""))&gt;0,TRIM('DATOS'!B96&amp;"")&lt;&gt;"Pendiente",TRIM('DATOS'!B96&amp;"")&lt;&gt;"Por confirmar",TRIM('DATOS'!B96&amp;"")&lt;&gt;"No consta",TRIM('DATOS'!B96&amp;"")&lt;&gt;"Desconocido",TRIM('DATOS'!B96&amp;"")&lt;&gt;"Sin confirmar",TRIM('DATOS'!B96&amp;"")&lt;&gt;"Por decidir",TRIM('DATOS'!B96&amp;"")&lt;&gt;"Por comprobar")),NOT(AND(LEN(TRIM('DATOS'!C96&amp;""))&gt;0,TRIM('DATOS'!C96&amp;"")&lt;&gt;"Pendiente",TRIM('DATOS'!C96&amp;"")&lt;&gt;"Por confirmar",TRIM('DATOS'!C96&amp;"")&lt;&gt;"No consta",TRIM('DATOS'!C96&amp;"")&lt;&gt;"Desconocido",TRIM('DATOS'!C96&amp;"")&lt;&gt;"Sin confirmar",TRIM('DATOS'!C96&amp;"")&lt;&gt;"Por decidir",TRIM('DATOS'!C96&amp;"")&lt;&gt;"Por comprobar")),NOT(AND(LEN(TRIM('DATOS'!D96&amp;""))&gt;0,TRIM('DATOS'!D96&amp;"")&lt;&gt;"Pendiente",TRIM('DATOS'!D96&amp;"")&lt;&gt;"Por confirmar",TRIM('DATOS'!D96&amp;"")&lt;&gt;"No consta",TRIM('DATOS'!D96&amp;"")&lt;&gt;"Desconocido",TRIM('DATOS'!D96&amp;"")&lt;&gt;"Sin confirmar",TRIM('DATOS'!D96&amp;"")&lt;&gt;"Por decidir",TRIM('DATOS'!D96&amp;"")&lt;&gt;"Por comprobar")),NOT(AND(LEN(TRIM('DATOS'!E96&amp;""))&gt;0,TRIM('DATOS'!E96&amp;"")&lt;&gt;"Pendiente",TRIM('DATOS'!E96&amp;"")&lt;&gt;"Por confirmar",TRIM('DATOS'!E96&amp;"")&lt;&gt;"No consta",TRIM('DATOS'!E96&amp;"")&lt;&gt;"Desconocido",TRIM('DATOS'!E96&amp;"")&lt;&gt;"Sin confirmar",TRIM('DATOS'!E96&amp;"")&lt;&gt;"Por decidir",TRIM('DATOS'!E96&amp;"")&lt;&gt;"Por comprobar")),NOT(AND(LEN(TRIM('DATOS'!F96&amp;""))&gt;0,TRIM('DATOS'!F96&amp;"")&lt;&gt;"Pendiente",TRIM('DATOS'!F96&amp;"")&lt;&gt;"Por confirmar",TRIM('DATOS'!F96&amp;"")&lt;&gt;"No consta",TRIM('DATOS'!F96&amp;"")&lt;&gt;"Desconocido",TRIM('DATOS'!F96&amp;"")&lt;&gt;"Sin confirmar",TRIM('DATOS'!F96&amp;"")&lt;&gt;"Por decidir",TRIM('DATOS'!F96&amp;"")&lt;&gt;"Por comprobar")),NOT(AND(LEN(TRIM('DATOS'!N96&amp;""))&gt;0,TRIM('DATOS'!N96&amp;"")&lt;&gt;"Pendiente",TRIM('DATOS'!N96&amp;"")&lt;&gt;"Por confirmar",TRIM('DATOS'!N96&amp;"")&lt;&gt;"No consta",TRIM('DATOS'!N96&amp;"")&lt;&gt;"Desconocido",TRIM('DATOS'!N96&amp;"")&lt;&gt;"Sin confirmar",TRIM('DATOS'!N96&amp;"")&lt;&gt;"Por decidir",TRIM('DATOS'!N96&amp;"")&lt;&gt;"Por comprobar")),NOT(Y96=1),W96&lt;&gt;1,X96&gt;1,NOT(OR(LEN(TRIM('DATOS'!K96&amp;""))=0,'DATOS'!K96="Sin valorar",'DATOS'!K96="Sin coste documentado",'DATOS'!K96="Incluido en otra partida",'DATOS'!K96="Por confirmar")),NOT(OR(LEN(TRIM('DATOS'!M96&amp;""))=0,'DATOS'!M96="Sí",'DATOS'!M96="No",'DATOS'!M96="Por confirmar")),NOT(OR(LEN(TRIM('DATOS'!O96&amp;""))=0,'DATOS'!O96="Comparamos",'DATOS'!O96="No existe",'DATOS'!O96="Por confirmar"))),2,IF(AND(OR('DATOS'!G96&lt;0,'DATOS'!H96&lt;0,'DATOS'!J96&lt;0),NOT(AND(LEN(TRIM('DATOS'!L96&amp;""))&gt;0,TRIM('DATOS'!L96&amp;"")&lt;&gt;"Pendiente",TRIM('DATOS'!L96&amp;"")&lt;&gt;"Por confirmar",TRIM('DATOS'!L96&amp;"")&lt;&gt;"No consta",TRIM('DATOS'!L96&amp;"")&lt;&gt;"Desconocido",TRIM('DATOS'!L96&amp;"")&lt;&gt;"Sin confirmar",TRIM('DATOS'!L96&amp;"")&lt;&gt;"Por decidir",TRIM('DATOS'!L96&amp;"")&lt;&gt;"Por comprobar"))),1,0))),2)</f>
      </c>
      <c r="P96" s="29">
        <f>IFERROR(IF(N96=0,"",IF(NOT(Y96=1),1,IF('REFERENCIAS'!$Q$8&lt;&gt;1,2,IF(ABS('DATOS'!J96-ROUND('DATOS'!G96*'DATOS'!H96,'REFERENCIAS'!$K$8))&gt;0.00000001,2,IF('DATOS'!O96="No existe",IF(LEN(TRIM('DATOS'!I96&amp;""))=0,0,2),IF('DATOS'!O96="Comparamos",IF(LEN(TRIM('DATOS'!I96&amp;""))=0,1,IF(ISNUMBER('DATOS'!I96),IF(ABS('DATOS'!H96-'DATOS'!I96)&gt;0.00000001,2,0),2)),1)))))),2)</f>
      </c>
      <c r="Q96" s="29">
        <f>IFERROR(IF(N96=0,"",IF(NOT(Y96=1),1,IF('DATOS'!K96="Sin valorar",2,IF('DATOS'!G96=0,1,IF(OR('DATOS'!H96=0,'DATOS'!J96=0),IF(AND(OR('DATOS'!K96="Sin coste documentado",'DATOS'!K96="Incluido en otra partida"),AND(LEN(TRIM('DATOS'!L96&amp;""))&gt;0,TRIM('DATOS'!L96&amp;"")&lt;&gt;"Pendiente",TRIM('DATOS'!L96&amp;"")&lt;&gt;"Por confirmar",TRIM('DATOS'!L96&amp;"")&lt;&gt;"No consta",TRIM('DATOS'!L96&amp;"")&lt;&gt;"Desconocido",TRIM('DATOS'!L96&amp;"")&lt;&gt;"Sin confirmar",TRIM('DATOS'!L96&amp;"")&lt;&gt;"Por decidir",TRIM('DATOS'!L96&amp;"")&lt;&gt;"Por comprobar")),0,1),0))))),2)</f>
      </c>
      <c r="R96" s="29">
        <f>IFERROR(IF(N96=0,"",IF(OR(NOT(AND(LEN(TRIM('DATOS'!D96&amp;""))&gt;0,TRIM('DATOS'!D96&amp;"")&lt;&gt;"Pendiente",TRIM('DATOS'!D96&amp;"")&lt;&gt;"Por confirmar",TRIM('DATOS'!D96&amp;"")&lt;&gt;"No consta",TRIM('DATOS'!D96&amp;"")&lt;&gt;"Desconocido",TRIM('DATOS'!D96&amp;"")&lt;&gt;"Sin confirmar",TRIM('DATOS'!D96&amp;"")&lt;&gt;"Por decidir",TRIM('DATOS'!D96&amp;"")&lt;&gt;"Por comprobar")),NOT(AND(LEN(TRIM('DATOS'!E96&amp;""))&gt;0,TRIM('DATOS'!E96&amp;"")&lt;&gt;"Pendiente",TRIM('DATOS'!E96&amp;"")&lt;&gt;"Por confirmar",TRIM('DATOS'!E96&amp;"")&lt;&gt;"No consta",TRIM('DATOS'!E96&amp;"")&lt;&gt;"Desconocido",TRIM('DATOS'!E96&amp;"")&lt;&gt;"Sin confirmar",TRIM('DATOS'!E96&amp;"")&lt;&gt;"Por decidir",TRIM('DATOS'!E96&amp;"")&lt;&gt;"Por comprobar"))),2,IF('DATOS'!M96="No",2,IF('DATOS'!M96="Sí",0,IF(OR('DATOS'!D96&lt;&gt;'DATOS'!E96,LEN('DATOS'!E96)&gt;300,RIGHT(TRIM('DATOS'!E96),3)="...",RIGHT(TRIM('DATOS'!E96),1)="…"),1,0))))),2)</f>
      </c>
      <c r="S96" s="29">
        <f>IFERROR(IF(N96=0,"",IF('REFERENCIAS'!$Q$8&lt;&gt;1,2,IF(NOT(Y96=1),1,IF(OR(ABS('DATOS'!G96-ROUND('DATOS'!G96,'REFERENCIAS'!$E$8))&gt;0.00000001,ABS('DATOS'!H96-ROUND('DATOS'!H96,'REFERENCIAS'!$H$8))&gt;0.00000001,ABS('DATOS'!J96-ROUND('DATOS'!J96,'REFERENCIAS'!$K$8))&gt;0.00000001,IF(ISNUMBER('DATOS'!I96),ABS('DATOS'!I96-ROUND('DATOS'!I96,'REFERENCIAS'!$H$8))&gt;0.00000001,FALSE)),1,0)))),2)</f>
      </c>
      <c r="T96" s="29">
        <f>IFERROR(IF(N96=0,"",IF(NOT(AND(LEN(TRIM('DATOS'!F96&amp;""))&gt;0,TRIM('DATOS'!F96&amp;"")&lt;&gt;"Pendiente",TRIM('DATOS'!F96&amp;"")&lt;&gt;"Por confirmar",TRIM('DATOS'!F96&amp;"")&lt;&gt;"No consta",TRIM('DATOS'!F96&amp;"")&lt;&gt;"Desconocido",TRIM('DATOS'!F96&amp;"")&lt;&gt;"Sin confirmar",TRIM('DATOS'!F96&amp;"")&lt;&gt;"Por decidir",TRIM('DATOS'!F96&amp;"")&lt;&gt;"Por comprobar")),2,IF(COUNTIFS('REFERENCIAS'!$T$15:$T$34,"ID:"&amp;SUBSTITUTE(SUBSTITUTE(SUBSTITUTE(SUBSTITUTE(UPPER(TRIM('DATOS'!F96&amp;"")),"!","!E"),"*","!A"),"?","!B"),"~","!C"),'REFERENCIAS'!$H$15:$H$34,"&lt;&gt;")&gt;0,0,1))),2)</f>
      </c>
      <c r="U96" s="29" t="str">
        <f>'DATOS'!R96</f>
        <v>ID:</v>
      </c>
      <c r="V96" s="29" t="str">
        <f>'DATOS'!S96</f>
        <v>ID:</v>
      </c>
      <c r="W96" s="29" t="n">
        <f>IF(N96=0,0,COUNTIFS('REFERENCIAS'!$R$15:$R$64,U96))</f>
        <v>0</v>
      </c>
      <c r="X96" s="29" t="n">
        <f>IF(N96=0,0,COUNTIFS('DATOS'!$R$10:$R$509,U96,'DATOS'!$S$10:$S$509,V96))</f>
        <v>0</v>
      </c>
      <c r="Y96" s="29" t="n">
        <f>IF(AND(ISNUMBER('DATOS'!G96),ISNUMBER('DATOS'!H96),ISNUMBER('DATOS'!J96)),1,0)</f>
        <v>0</v>
      </c>
    </row>
    <row r="97" ht="64" customHeight="1">
      <c r="B97" s="26">
        <f>IF(N97=1,88,"")</f>
      </c>
      <c r="C97" s="26">
        <f>IF(AND(N97=1,LEN(TRIM('DATOS'!B97&amp;""))&gt;0),'DATOS'!B97,"")</f>
      </c>
      <c r="D97" s="26">
        <f>IF(AND(N97=1,LEN(TRIM('DATOS'!C97&amp;""))&gt;0),'DATOS'!C97,"")</f>
      </c>
      <c r="E97" s="26">
        <f>IF(NOT(ISNUMBER(P97)),"",IF(P97=2,"ROJO",IF(P97=1,"ÁMBAR","VERDE")))</f>
      </c>
      <c r="F97" s="26">
        <f>IF(NOT(ISNUMBER(Q97)),"",IF(Q97=2,"ROJO",IF(Q97=1,"ÁMBAR","VERDE")))</f>
      </c>
      <c r="G97" s="26">
        <f>IF(NOT(ISNUMBER(R97)),"",IF(R97=2,"ROJO",IF(R97=1,"ÁMBAR","VERDE")))</f>
      </c>
      <c r="H97" s="26">
        <f>IF(NOT(ISNUMBER(S97)),"",IF(S97=2,"ROJO",IF(S97=1,"ÁMBAR","VERDE")))</f>
      </c>
      <c r="I97" s="26">
        <f>IF(NOT(ISNUMBER(T97)),"",IF(T97=2,"ROJO",IF(T97=1,"ÁMBAR","VERDE")))</f>
      </c>
      <c r="J97" s="26">
        <f>IF(NOT(ISNUMBER(O97)),"",IF(O97=2,"ROJO",IF(O97=1,"ÁMBAR","VERDE")))</f>
      </c>
      <c r="K97" s="26">
        <f>IFERROR(IF(AND(N97=1,LEN(TRIM('DATOS'!N97&amp;""))&gt;0),'DATOS'!N97,""),"Hay una entrada con error. Corregimos el dato antes de cerrar la comprobación.")</f>
      </c>
      <c r="L97" s="26">
        <f>IFERROR(IF(N97=0,"",IF(O97&gt;0,"Completamos datos, claves o motivo. ","")&amp;IF(P97&gt;0,"Cotejamos precios e importe. ","")&amp;IF(Q97&gt;0,"Aclaramos el cero. ","")&amp;IF(R97&gt;0,"Comprobamos el texto. ","")&amp;IF(S97&gt;0,"Revisamos decimales visibles. ","")&amp;IF(T97&gt;0,"Confirmamos la unidad.","")),"Hay una entrada con error. Corregimos el dato antes de cerrar la comprobación.")</f>
      </c>
      <c r="N97" s="29" t="n">
        <f>IF(COUNTA('DATOS'!B97:O97)&gt;0,1,0)</f>
        <v>0</v>
      </c>
      <c r="O97" s="29">
        <f>IFERROR(IF(N97=0,"",IF(OR(NOT(AND(LEN(TRIM('DATOS'!B97&amp;""))&gt;0,TRIM('DATOS'!B97&amp;"")&lt;&gt;"Pendiente",TRIM('DATOS'!B97&amp;"")&lt;&gt;"Por confirmar",TRIM('DATOS'!B97&amp;"")&lt;&gt;"No consta",TRIM('DATOS'!B97&amp;"")&lt;&gt;"Desconocido",TRIM('DATOS'!B97&amp;"")&lt;&gt;"Sin confirmar",TRIM('DATOS'!B97&amp;"")&lt;&gt;"Por decidir",TRIM('DATOS'!B97&amp;"")&lt;&gt;"Por comprobar")),NOT(AND(LEN(TRIM('DATOS'!C97&amp;""))&gt;0,TRIM('DATOS'!C97&amp;"")&lt;&gt;"Pendiente",TRIM('DATOS'!C97&amp;"")&lt;&gt;"Por confirmar",TRIM('DATOS'!C97&amp;"")&lt;&gt;"No consta",TRIM('DATOS'!C97&amp;"")&lt;&gt;"Desconocido",TRIM('DATOS'!C97&amp;"")&lt;&gt;"Sin confirmar",TRIM('DATOS'!C97&amp;"")&lt;&gt;"Por decidir",TRIM('DATOS'!C97&amp;"")&lt;&gt;"Por comprobar")),NOT(AND(LEN(TRIM('DATOS'!D97&amp;""))&gt;0,TRIM('DATOS'!D97&amp;"")&lt;&gt;"Pendiente",TRIM('DATOS'!D97&amp;"")&lt;&gt;"Por confirmar",TRIM('DATOS'!D97&amp;"")&lt;&gt;"No consta",TRIM('DATOS'!D97&amp;"")&lt;&gt;"Desconocido",TRIM('DATOS'!D97&amp;"")&lt;&gt;"Sin confirmar",TRIM('DATOS'!D97&amp;"")&lt;&gt;"Por decidir",TRIM('DATOS'!D97&amp;"")&lt;&gt;"Por comprobar")),NOT(AND(LEN(TRIM('DATOS'!E97&amp;""))&gt;0,TRIM('DATOS'!E97&amp;"")&lt;&gt;"Pendiente",TRIM('DATOS'!E97&amp;"")&lt;&gt;"Por confirmar",TRIM('DATOS'!E97&amp;"")&lt;&gt;"No consta",TRIM('DATOS'!E97&amp;"")&lt;&gt;"Desconocido",TRIM('DATOS'!E97&amp;"")&lt;&gt;"Sin confirmar",TRIM('DATOS'!E97&amp;"")&lt;&gt;"Por decidir",TRIM('DATOS'!E97&amp;"")&lt;&gt;"Por comprobar")),NOT(AND(LEN(TRIM('DATOS'!F97&amp;""))&gt;0,TRIM('DATOS'!F97&amp;"")&lt;&gt;"Pendiente",TRIM('DATOS'!F97&amp;"")&lt;&gt;"Por confirmar",TRIM('DATOS'!F97&amp;"")&lt;&gt;"No consta",TRIM('DATOS'!F97&amp;"")&lt;&gt;"Desconocido",TRIM('DATOS'!F97&amp;"")&lt;&gt;"Sin confirmar",TRIM('DATOS'!F97&amp;"")&lt;&gt;"Por decidir",TRIM('DATOS'!F97&amp;"")&lt;&gt;"Por comprobar")),NOT(AND(LEN(TRIM('DATOS'!N97&amp;""))&gt;0,TRIM('DATOS'!N97&amp;"")&lt;&gt;"Pendiente",TRIM('DATOS'!N97&amp;"")&lt;&gt;"Por confirmar",TRIM('DATOS'!N97&amp;"")&lt;&gt;"No consta",TRIM('DATOS'!N97&amp;"")&lt;&gt;"Desconocido",TRIM('DATOS'!N97&amp;"")&lt;&gt;"Sin confirmar",TRIM('DATOS'!N97&amp;"")&lt;&gt;"Por decidir",TRIM('DATOS'!N97&amp;"")&lt;&gt;"Por comprobar")),NOT(Y97=1),W97&lt;&gt;1,X97&gt;1,NOT(OR(LEN(TRIM('DATOS'!K97&amp;""))=0,'DATOS'!K97="Sin valorar",'DATOS'!K97="Sin coste documentado",'DATOS'!K97="Incluido en otra partida",'DATOS'!K97="Por confirmar")),NOT(OR(LEN(TRIM('DATOS'!M97&amp;""))=0,'DATOS'!M97="Sí",'DATOS'!M97="No",'DATOS'!M97="Por confirmar")),NOT(OR(LEN(TRIM('DATOS'!O97&amp;""))=0,'DATOS'!O97="Comparamos",'DATOS'!O97="No existe",'DATOS'!O97="Por confirmar"))),2,IF(AND(OR('DATOS'!G97&lt;0,'DATOS'!H97&lt;0,'DATOS'!J97&lt;0),NOT(AND(LEN(TRIM('DATOS'!L97&amp;""))&gt;0,TRIM('DATOS'!L97&amp;"")&lt;&gt;"Pendiente",TRIM('DATOS'!L97&amp;"")&lt;&gt;"Por confirmar",TRIM('DATOS'!L97&amp;"")&lt;&gt;"No consta",TRIM('DATOS'!L97&amp;"")&lt;&gt;"Desconocido",TRIM('DATOS'!L97&amp;"")&lt;&gt;"Sin confirmar",TRIM('DATOS'!L97&amp;"")&lt;&gt;"Por decidir",TRIM('DATOS'!L97&amp;"")&lt;&gt;"Por comprobar"))),1,0))),2)</f>
      </c>
      <c r="P97" s="29">
        <f>IFERROR(IF(N97=0,"",IF(NOT(Y97=1),1,IF('REFERENCIAS'!$Q$8&lt;&gt;1,2,IF(ABS('DATOS'!J97-ROUND('DATOS'!G97*'DATOS'!H97,'REFERENCIAS'!$K$8))&gt;0.00000001,2,IF('DATOS'!O97="No existe",IF(LEN(TRIM('DATOS'!I97&amp;""))=0,0,2),IF('DATOS'!O97="Comparamos",IF(LEN(TRIM('DATOS'!I97&amp;""))=0,1,IF(ISNUMBER('DATOS'!I97),IF(ABS('DATOS'!H97-'DATOS'!I97)&gt;0.00000001,2,0),2)),1)))))),2)</f>
      </c>
      <c r="Q97" s="29">
        <f>IFERROR(IF(N97=0,"",IF(NOT(Y97=1),1,IF('DATOS'!K97="Sin valorar",2,IF('DATOS'!G97=0,1,IF(OR('DATOS'!H97=0,'DATOS'!J97=0),IF(AND(OR('DATOS'!K97="Sin coste documentado",'DATOS'!K97="Incluido en otra partida"),AND(LEN(TRIM('DATOS'!L97&amp;""))&gt;0,TRIM('DATOS'!L97&amp;"")&lt;&gt;"Pendiente",TRIM('DATOS'!L97&amp;"")&lt;&gt;"Por confirmar",TRIM('DATOS'!L97&amp;"")&lt;&gt;"No consta",TRIM('DATOS'!L97&amp;"")&lt;&gt;"Desconocido",TRIM('DATOS'!L97&amp;"")&lt;&gt;"Sin confirmar",TRIM('DATOS'!L97&amp;"")&lt;&gt;"Por decidir",TRIM('DATOS'!L97&amp;"")&lt;&gt;"Por comprobar")),0,1),0))))),2)</f>
      </c>
      <c r="R97" s="29">
        <f>IFERROR(IF(N97=0,"",IF(OR(NOT(AND(LEN(TRIM('DATOS'!D97&amp;""))&gt;0,TRIM('DATOS'!D97&amp;"")&lt;&gt;"Pendiente",TRIM('DATOS'!D97&amp;"")&lt;&gt;"Por confirmar",TRIM('DATOS'!D97&amp;"")&lt;&gt;"No consta",TRIM('DATOS'!D97&amp;"")&lt;&gt;"Desconocido",TRIM('DATOS'!D97&amp;"")&lt;&gt;"Sin confirmar",TRIM('DATOS'!D97&amp;"")&lt;&gt;"Por decidir",TRIM('DATOS'!D97&amp;"")&lt;&gt;"Por comprobar")),NOT(AND(LEN(TRIM('DATOS'!E97&amp;""))&gt;0,TRIM('DATOS'!E97&amp;"")&lt;&gt;"Pendiente",TRIM('DATOS'!E97&amp;"")&lt;&gt;"Por confirmar",TRIM('DATOS'!E97&amp;"")&lt;&gt;"No consta",TRIM('DATOS'!E97&amp;"")&lt;&gt;"Desconocido",TRIM('DATOS'!E97&amp;"")&lt;&gt;"Sin confirmar",TRIM('DATOS'!E97&amp;"")&lt;&gt;"Por decidir",TRIM('DATOS'!E97&amp;"")&lt;&gt;"Por comprobar"))),2,IF('DATOS'!M97="No",2,IF('DATOS'!M97="Sí",0,IF(OR('DATOS'!D97&lt;&gt;'DATOS'!E97,LEN('DATOS'!E97)&gt;300,RIGHT(TRIM('DATOS'!E97),3)="...",RIGHT(TRIM('DATOS'!E97),1)="…"),1,0))))),2)</f>
      </c>
      <c r="S97" s="29">
        <f>IFERROR(IF(N97=0,"",IF('REFERENCIAS'!$Q$8&lt;&gt;1,2,IF(NOT(Y97=1),1,IF(OR(ABS('DATOS'!G97-ROUND('DATOS'!G97,'REFERENCIAS'!$E$8))&gt;0.00000001,ABS('DATOS'!H97-ROUND('DATOS'!H97,'REFERENCIAS'!$H$8))&gt;0.00000001,ABS('DATOS'!J97-ROUND('DATOS'!J97,'REFERENCIAS'!$K$8))&gt;0.00000001,IF(ISNUMBER('DATOS'!I97),ABS('DATOS'!I97-ROUND('DATOS'!I97,'REFERENCIAS'!$H$8))&gt;0.00000001,FALSE)),1,0)))),2)</f>
      </c>
      <c r="T97" s="29">
        <f>IFERROR(IF(N97=0,"",IF(NOT(AND(LEN(TRIM('DATOS'!F97&amp;""))&gt;0,TRIM('DATOS'!F97&amp;"")&lt;&gt;"Pendiente",TRIM('DATOS'!F97&amp;"")&lt;&gt;"Por confirmar",TRIM('DATOS'!F97&amp;"")&lt;&gt;"No consta",TRIM('DATOS'!F97&amp;"")&lt;&gt;"Desconocido",TRIM('DATOS'!F97&amp;"")&lt;&gt;"Sin confirmar",TRIM('DATOS'!F97&amp;"")&lt;&gt;"Por decidir",TRIM('DATOS'!F97&amp;"")&lt;&gt;"Por comprobar")),2,IF(COUNTIFS('REFERENCIAS'!$T$15:$T$34,"ID:"&amp;SUBSTITUTE(SUBSTITUTE(SUBSTITUTE(SUBSTITUTE(UPPER(TRIM('DATOS'!F97&amp;"")),"!","!E"),"*","!A"),"?","!B"),"~","!C"),'REFERENCIAS'!$H$15:$H$34,"&lt;&gt;")&gt;0,0,1))),2)</f>
      </c>
      <c r="U97" s="29" t="str">
        <f>'DATOS'!R97</f>
        <v>ID:</v>
      </c>
      <c r="V97" s="29" t="str">
        <f>'DATOS'!S97</f>
        <v>ID:</v>
      </c>
      <c r="W97" s="29" t="n">
        <f>IF(N97=0,0,COUNTIFS('REFERENCIAS'!$R$15:$R$64,U97))</f>
        <v>0</v>
      </c>
      <c r="X97" s="29" t="n">
        <f>IF(N97=0,0,COUNTIFS('DATOS'!$R$10:$R$509,U97,'DATOS'!$S$10:$S$509,V97))</f>
        <v>0</v>
      </c>
      <c r="Y97" s="29" t="n">
        <f>IF(AND(ISNUMBER('DATOS'!G97),ISNUMBER('DATOS'!H97),ISNUMBER('DATOS'!J97)),1,0)</f>
        <v>0</v>
      </c>
    </row>
    <row r="98" ht="64" customHeight="1">
      <c r="B98" s="26">
        <f>IF(N98=1,89,"")</f>
      </c>
      <c r="C98" s="26">
        <f>IF(AND(N98=1,LEN(TRIM('DATOS'!B98&amp;""))&gt;0),'DATOS'!B98,"")</f>
      </c>
      <c r="D98" s="26">
        <f>IF(AND(N98=1,LEN(TRIM('DATOS'!C98&amp;""))&gt;0),'DATOS'!C98,"")</f>
      </c>
      <c r="E98" s="26">
        <f>IF(NOT(ISNUMBER(P98)),"",IF(P98=2,"ROJO",IF(P98=1,"ÁMBAR","VERDE")))</f>
      </c>
      <c r="F98" s="26">
        <f>IF(NOT(ISNUMBER(Q98)),"",IF(Q98=2,"ROJO",IF(Q98=1,"ÁMBAR","VERDE")))</f>
      </c>
      <c r="G98" s="26">
        <f>IF(NOT(ISNUMBER(R98)),"",IF(R98=2,"ROJO",IF(R98=1,"ÁMBAR","VERDE")))</f>
      </c>
      <c r="H98" s="26">
        <f>IF(NOT(ISNUMBER(S98)),"",IF(S98=2,"ROJO",IF(S98=1,"ÁMBAR","VERDE")))</f>
      </c>
      <c r="I98" s="26">
        <f>IF(NOT(ISNUMBER(T98)),"",IF(T98=2,"ROJO",IF(T98=1,"ÁMBAR","VERDE")))</f>
      </c>
      <c r="J98" s="26">
        <f>IF(NOT(ISNUMBER(O98)),"",IF(O98=2,"ROJO",IF(O98=1,"ÁMBAR","VERDE")))</f>
      </c>
      <c r="K98" s="26">
        <f>IFERROR(IF(AND(N98=1,LEN(TRIM('DATOS'!N98&amp;""))&gt;0),'DATOS'!N98,""),"Hay una entrada con error. Corregimos el dato antes de cerrar la comprobación.")</f>
      </c>
      <c r="L98" s="26">
        <f>IFERROR(IF(N98=0,"",IF(O98&gt;0,"Completamos datos, claves o motivo. ","")&amp;IF(P98&gt;0,"Cotejamos precios e importe. ","")&amp;IF(Q98&gt;0,"Aclaramos el cero. ","")&amp;IF(R98&gt;0,"Comprobamos el texto. ","")&amp;IF(S98&gt;0,"Revisamos decimales visibles. ","")&amp;IF(T98&gt;0,"Confirmamos la unidad.","")),"Hay una entrada con error. Corregimos el dato antes de cerrar la comprobación.")</f>
      </c>
      <c r="N98" s="29" t="n">
        <f>IF(COUNTA('DATOS'!B98:O98)&gt;0,1,0)</f>
        <v>0</v>
      </c>
      <c r="O98" s="29">
        <f>IFERROR(IF(N98=0,"",IF(OR(NOT(AND(LEN(TRIM('DATOS'!B98&amp;""))&gt;0,TRIM('DATOS'!B98&amp;"")&lt;&gt;"Pendiente",TRIM('DATOS'!B98&amp;"")&lt;&gt;"Por confirmar",TRIM('DATOS'!B98&amp;"")&lt;&gt;"No consta",TRIM('DATOS'!B98&amp;"")&lt;&gt;"Desconocido",TRIM('DATOS'!B98&amp;"")&lt;&gt;"Sin confirmar",TRIM('DATOS'!B98&amp;"")&lt;&gt;"Por decidir",TRIM('DATOS'!B98&amp;"")&lt;&gt;"Por comprobar")),NOT(AND(LEN(TRIM('DATOS'!C98&amp;""))&gt;0,TRIM('DATOS'!C98&amp;"")&lt;&gt;"Pendiente",TRIM('DATOS'!C98&amp;"")&lt;&gt;"Por confirmar",TRIM('DATOS'!C98&amp;"")&lt;&gt;"No consta",TRIM('DATOS'!C98&amp;"")&lt;&gt;"Desconocido",TRIM('DATOS'!C98&amp;"")&lt;&gt;"Sin confirmar",TRIM('DATOS'!C98&amp;"")&lt;&gt;"Por decidir",TRIM('DATOS'!C98&amp;"")&lt;&gt;"Por comprobar")),NOT(AND(LEN(TRIM('DATOS'!D98&amp;""))&gt;0,TRIM('DATOS'!D98&amp;"")&lt;&gt;"Pendiente",TRIM('DATOS'!D98&amp;"")&lt;&gt;"Por confirmar",TRIM('DATOS'!D98&amp;"")&lt;&gt;"No consta",TRIM('DATOS'!D98&amp;"")&lt;&gt;"Desconocido",TRIM('DATOS'!D98&amp;"")&lt;&gt;"Sin confirmar",TRIM('DATOS'!D98&amp;"")&lt;&gt;"Por decidir",TRIM('DATOS'!D98&amp;"")&lt;&gt;"Por comprobar")),NOT(AND(LEN(TRIM('DATOS'!E98&amp;""))&gt;0,TRIM('DATOS'!E98&amp;"")&lt;&gt;"Pendiente",TRIM('DATOS'!E98&amp;"")&lt;&gt;"Por confirmar",TRIM('DATOS'!E98&amp;"")&lt;&gt;"No consta",TRIM('DATOS'!E98&amp;"")&lt;&gt;"Desconocido",TRIM('DATOS'!E98&amp;"")&lt;&gt;"Sin confirmar",TRIM('DATOS'!E98&amp;"")&lt;&gt;"Por decidir",TRIM('DATOS'!E98&amp;"")&lt;&gt;"Por comprobar")),NOT(AND(LEN(TRIM('DATOS'!F98&amp;""))&gt;0,TRIM('DATOS'!F98&amp;"")&lt;&gt;"Pendiente",TRIM('DATOS'!F98&amp;"")&lt;&gt;"Por confirmar",TRIM('DATOS'!F98&amp;"")&lt;&gt;"No consta",TRIM('DATOS'!F98&amp;"")&lt;&gt;"Desconocido",TRIM('DATOS'!F98&amp;"")&lt;&gt;"Sin confirmar",TRIM('DATOS'!F98&amp;"")&lt;&gt;"Por decidir",TRIM('DATOS'!F98&amp;"")&lt;&gt;"Por comprobar")),NOT(AND(LEN(TRIM('DATOS'!N98&amp;""))&gt;0,TRIM('DATOS'!N98&amp;"")&lt;&gt;"Pendiente",TRIM('DATOS'!N98&amp;"")&lt;&gt;"Por confirmar",TRIM('DATOS'!N98&amp;"")&lt;&gt;"No consta",TRIM('DATOS'!N98&amp;"")&lt;&gt;"Desconocido",TRIM('DATOS'!N98&amp;"")&lt;&gt;"Sin confirmar",TRIM('DATOS'!N98&amp;"")&lt;&gt;"Por decidir",TRIM('DATOS'!N98&amp;"")&lt;&gt;"Por comprobar")),NOT(Y98=1),W98&lt;&gt;1,X98&gt;1,NOT(OR(LEN(TRIM('DATOS'!K98&amp;""))=0,'DATOS'!K98="Sin valorar",'DATOS'!K98="Sin coste documentado",'DATOS'!K98="Incluido en otra partida",'DATOS'!K98="Por confirmar")),NOT(OR(LEN(TRIM('DATOS'!M98&amp;""))=0,'DATOS'!M98="Sí",'DATOS'!M98="No",'DATOS'!M98="Por confirmar")),NOT(OR(LEN(TRIM('DATOS'!O98&amp;""))=0,'DATOS'!O98="Comparamos",'DATOS'!O98="No existe",'DATOS'!O98="Por confirmar"))),2,IF(AND(OR('DATOS'!G98&lt;0,'DATOS'!H98&lt;0,'DATOS'!J98&lt;0),NOT(AND(LEN(TRIM('DATOS'!L98&amp;""))&gt;0,TRIM('DATOS'!L98&amp;"")&lt;&gt;"Pendiente",TRIM('DATOS'!L98&amp;"")&lt;&gt;"Por confirmar",TRIM('DATOS'!L98&amp;"")&lt;&gt;"No consta",TRIM('DATOS'!L98&amp;"")&lt;&gt;"Desconocido",TRIM('DATOS'!L98&amp;"")&lt;&gt;"Sin confirmar",TRIM('DATOS'!L98&amp;"")&lt;&gt;"Por decidir",TRIM('DATOS'!L98&amp;"")&lt;&gt;"Por comprobar"))),1,0))),2)</f>
      </c>
      <c r="P98" s="29">
        <f>IFERROR(IF(N98=0,"",IF(NOT(Y98=1),1,IF('REFERENCIAS'!$Q$8&lt;&gt;1,2,IF(ABS('DATOS'!J98-ROUND('DATOS'!G98*'DATOS'!H98,'REFERENCIAS'!$K$8))&gt;0.00000001,2,IF('DATOS'!O98="No existe",IF(LEN(TRIM('DATOS'!I98&amp;""))=0,0,2),IF('DATOS'!O98="Comparamos",IF(LEN(TRIM('DATOS'!I98&amp;""))=0,1,IF(ISNUMBER('DATOS'!I98),IF(ABS('DATOS'!H98-'DATOS'!I98)&gt;0.00000001,2,0),2)),1)))))),2)</f>
      </c>
      <c r="Q98" s="29">
        <f>IFERROR(IF(N98=0,"",IF(NOT(Y98=1),1,IF('DATOS'!K98="Sin valorar",2,IF('DATOS'!G98=0,1,IF(OR('DATOS'!H98=0,'DATOS'!J98=0),IF(AND(OR('DATOS'!K98="Sin coste documentado",'DATOS'!K98="Incluido en otra partida"),AND(LEN(TRIM('DATOS'!L98&amp;""))&gt;0,TRIM('DATOS'!L98&amp;"")&lt;&gt;"Pendiente",TRIM('DATOS'!L98&amp;"")&lt;&gt;"Por confirmar",TRIM('DATOS'!L98&amp;"")&lt;&gt;"No consta",TRIM('DATOS'!L98&amp;"")&lt;&gt;"Desconocido",TRIM('DATOS'!L98&amp;"")&lt;&gt;"Sin confirmar",TRIM('DATOS'!L98&amp;"")&lt;&gt;"Por decidir",TRIM('DATOS'!L98&amp;"")&lt;&gt;"Por comprobar")),0,1),0))))),2)</f>
      </c>
      <c r="R98" s="29">
        <f>IFERROR(IF(N98=0,"",IF(OR(NOT(AND(LEN(TRIM('DATOS'!D98&amp;""))&gt;0,TRIM('DATOS'!D98&amp;"")&lt;&gt;"Pendiente",TRIM('DATOS'!D98&amp;"")&lt;&gt;"Por confirmar",TRIM('DATOS'!D98&amp;"")&lt;&gt;"No consta",TRIM('DATOS'!D98&amp;"")&lt;&gt;"Desconocido",TRIM('DATOS'!D98&amp;"")&lt;&gt;"Sin confirmar",TRIM('DATOS'!D98&amp;"")&lt;&gt;"Por decidir",TRIM('DATOS'!D98&amp;"")&lt;&gt;"Por comprobar")),NOT(AND(LEN(TRIM('DATOS'!E98&amp;""))&gt;0,TRIM('DATOS'!E98&amp;"")&lt;&gt;"Pendiente",TRIM('DATOS'!E98&amp;"")&lt;&gt;"Por confirmar",TRIM('DATOS'!E98&amp;"")&lt;&gt;"No consta",TRIM('DATOS'!E98&amp;"")&lt;&gt;"Desconocido",TRIM('DATOS'!E98&amp;"")&lt;&gt;"Sin confirmar",TRIM('DATOS'!E98&amp;"")&lt;&gt;"Por decidir",TRIM('DATOS'!E98&amp;"")&lt;&gt;"Por comprobar"))),2,IF('DATOS'!M98="No",2,IF('DATOS'!M98="Sí",0,IF(OR('DATOS'!D98&lt;&gt;'DATOS'!E98,LEN('DATOS'!E98)&gt;300,RIGHT(TRIM('DATOS'!E98),3)="...",RIGHT(TRIM('DATOS'!E98),1)="…"),1,0))))),2)</f>
      </c>
      <c r="S98" s="29">
        <f>IFERROR(IF(N98=0,"",IF('REFERENCIAS'!$Q$8&lt;&gt;1,2,IF(NOT(Y98=1),1,IF(OR(ABS('DATOS'!G98-ROUND('DATOS'!G98,'REFERENCIAS'!$E$8))&gt;0.00000001,ABS('DATOS'!H98-ROUND('DATOS'!H98,'REFERENCIAS'!$H$8))&gt;0.00000001,ABS('DATOS'!J98-ROUND('DATOS'!J98,'REFERENCIAS'!$K$8))&gt;0.00000001,IF(ISNUMBER('DATOS'!I98),ABS('DATOS'!I98-ROUND('DATOS'!I98,'REFERENCIAS'!$H$8))&gt;0.00000001,FALSE)),1,0)))),2)</f>
      </c>
      <c r="T98" s="29">
        <f>IFERROR(IF(N98=0,"",IF(NOT(AND(LEN(TRIM('DATOS'!F98&amp;""))&gt;0,TRIM('DATOS'!F98&amp;"")&lt;&gt;"Pendiente",TRIM('DATOS'!F98&amp;"")&lt;&gt;"Por confirmar",TRIM('DATOS'!F98&amp;"")&lt;&gt;"No consta",TRIM('DATOS'!F98&amp;"")&lt;&gt;"Desconocido",TRIM('DATOS'!F98&amp;"")&lt;&gt;"Sin confirmar",TRIM('DATOS'!F98&amp;"")&lt;&gt;"Por decidir",TRIM('DATOS'!F98&amp;"")&lt;&gt;"Por comprobar")),2,IF(COUNTIFS('REFERENCIAS'!$T$15:$T$34,"ID:"&amp;SUBSTITUTE(SUBSTITUTE(SUBSTITUTE(SUBSTITUTE(UPPER(TRIM('DATOS'!F98&amp;"")),"!","!E"),"*","!A"),"?","!B"),"~","!C"),'REFERENCIAS'!$H$15:$H$34,"&lt;&gt;")&gt;0,0,1))),2)</f>
      </c>
      <c r="U98" s="29" t="str">
        <f>'DATOS'!R98</f>
        <v>ID:</v>
      </c>
      <c r="V98" s="29" t="str">
        <f>'DATOS'!S98</f>
        <v>ID:</v>
      </c>
      <c r="W98" s="29" t="n">
        <f>IF(N98=0,0,COUNTIFS('REFERENCIAS'!$R$15:$R$64,U98))</f>
        <v>0</v>
      </c>
      <c r="X98" s="29" t="n">
        <f>IF(N98=0,0,COUNTIFS('DATOS'!$R$10:$R$509,U98,'DATOS'!$S$10:$S$509,V98))</f>
        <v>0</v>
      </c>
      <c r="Y98" s="29" t="n">
        <f>IF(AND(ISNUMBER('DATOS'!G98),ISNUMBER('DATOS'!H98),ISNUMBER('DATOS'!J98)),1,0)</f>
        <v>0</v>
      </c>
    </row>
    <row r="99" ht="64" customHeight="1">
      <c r="B99" s="26">
        <f>IF(N99=1,90,"")</f>
      </c>
      <c r="C99" s="26">
        <f>IF(AND(N99=1,LEN(TRIM('DATOS'!B99&amp;""))&gt;0),'DATOS'!B99,"")</f>
      </c>
      <c r="D99" s="26">
        <f>IF(AND(N99=1,LEN(TRIM('DATOS'!C99&amp;""))&gt;0),'DATOS'!C99,"")</f>
      </c>
      <c r="E99" s="26">
        <f>IF(NOT(ISNUMBER(P99)),"",IF(P99=2,"ROJO",IF(P99=1,"ÁMBAR","VERDE")))</f>
      </c>
      <c r="F99" s="26">
        <f>IF(NOT(ISNUMBER(Q99)),"",IF(Q99=2,"ROJO",IF(Q99=1,"ÁMBAR","VERDE")))</f>
      </c>
      <c r="G99" s="26">
        <f>IF(NOT(ISNUMBER(R99)),"",IF(R99=2,"ROJO",IF(R99=1,"ÁMBAR","VERDE")))</f>
      </c>
      <c r="H99" s="26">
        <f>IF(NOT(ISNUMBER(S99)),"",IF(S99=2,"ROJO",IF(S99=1,"ÁMBAR","VERDE")))</f>
      </c>
      <c r="I99" s="26">
        <f>IF(NOT(ISNUMBER(T99)),"",IF(T99=2,"ROJO",IF(T99=1,"ÁMBAR","VERDE")))</f>
      </c>
      <c r="J99" s="26">
        <f>IF(NOT(ISNUMBER(O99)),"",IF(O99=2,"ROJO",IF(O99=1,"ÁMBAR","VERDE")))</f>
      </c>
      <c r="K99" s="26">
        <f>IFERROR(IF(AND(N99=1,LEN(TRIM('DATOS'!N99&amp;""))&gt;0),'DATOS'!N99,""),"Hay una entrada con error. Corregimos el dato antes de cerrar la comprobación.")</f>
      </c>
      <c r="L99" s="26">
        <f>IFERROR(IF(N99=0,"",IF(O99&gt;0,"Completamos datos, claves o motivo. ","")&amp;IF(P99&gt;0,"Cotejamos precios e importe. ","")&amp;IF(Q99&gt;0,"Aclaramos el cero. ","")&amp;IF(R99&gt;0,"Comprobamos el texto. ","")&amp;IF(S99&gt;0,"Revisamos decimales visibles. ","")&amp;IF(T99&gt;0,"Confirmamos la unidad.","")),"Hay una entrada con error. Corregimos el dato antes de cerrar la comprobación.")</f>
      </c>
      <c r="N99" s="29" t="n">
        <f>IF(COUNTA('DATOS'!B99:O99)&gt;0,1,0)</f>
        <v>0</v>
      </c>
      <c r="O99" s="29">
        <f>IFERROR(IF(N99=0,"",IF(OR(NOT(AND(LEN(TRIM('DATOS'!B99&amp;""))&gt;0,TRIM('DATOS'!B99&amp;"")&lt;&gt;"Pendiente",TRIM('DATOS'!B99&amp;"")&lt;&gt;"Por confirmar",TRIM('DATOS'!B99&amp;"")&lt;&gt;"No consta",TRIM('DATOS'!B99&amp;"")&lt;&gt;"Desconocido",TRIM('DATOS'!B99&amp;"")&lt;&gt;"Sin confirmar",TRIM('DATOS'!B99&amp;"")&lt;&gt;"Por decidir",TRIM('DATOS'!B99&amp;"")&lt;&gt;"Por comprobar")),NOT(AND(LEN(TRIM('DATOS'!C99&amp;""))&gt;0,TRIM('DATOS'!C99&amp;"")&lt;&gt;"Pendiente",TRIM('DATOS'!C99&amp;"")&lt;&gt;"Por confirmar",TRIM('DATOS'!C99&amp;"")&lt;&gt;"No consta",TRIM('DATOS'!C99&amp;"")&lt;&gt;"Desconocido",TRIM('DATOS'!C99&amp;"")&lt;&gt;"Sin confirmar",TRIM('DATOS'!C99&amp;"")&lt;&gt;"Por decidir",TRIM('DATOS'!C99&amp;"")&lt;&gt;"Por comprobar")),NOT(AND(LEN(TRIM('DATOS'!D99&amp;""))&gt;0,TRIM('DATOS'!D99&amp;"")&lt;&gt;"Pendiente",TRIM('DATOS'!D99&amp;"")&lt;&gt;"Por confirmar",TRIM('DATOS'!D99&amp;"")&lt;&gt;"No consta",TRIM('DATOS'!D99&amp;"")&lt;&gt;"Desconocido",TRIM('DATOS'!D99&amp;"")&lt;&gt;"Sin confirmar",TRIM('DATOS'!D99&amp;"")&lt;&gt;"Por decidir",TRIM('DATOS'!D99&amp;"")&lt;&gt;"Por comprobar")),NOT(AND(LEN(TRIM('DATOS'!E99&amp;""))&gt;0,TRIM('DATOS'!E99&amp;"")&lt;&gt;"Pendiente",TRIM('DATOS'!E99&amp;"")&lt;&gt;"Por confirmar",TRIM('DATOS'!E99&amp;"")&lt;&gt;"No consta",TRIM('DATOS'!E99&amp;"")&lt;&gt;"Desconocido",TRIM('DATOS'!E99&amp;"")&lt;&gt;"Sin confirmar",TRIM('DATOS'!E99&amp;"")&lt;&gt;"Por decidir",TRIM('DATOS'!E99&amp;"")&lt;&gt;"Por comprobar")),NOT(AND(LEN(TRIM('DATOS'!F99&amp;""))&gt;0,TRIM('DATOS'!F99&amp;"")&lt;&gt;"Pendiente",TRIM('DATOS'!F99&amp;"")&lt;&gt;"Por confirmar",TRIM('DATOS'!F99&amp;"")&lt;&gt;"No consta",TRIM('DATOS'!F99&amp;"")&lt;&gt;"Desconocido",TRIM('DATOS'!F99&amp;"")&lt;&gt;"Sin confirmar",TRIM('DATOS'!F99&amp;"")&lt;&gt;"Por decidir",TRIM('DATOS'!F99&amp;"")&lt;&gt;"Por comprobar")),NOT(AND(LEN(TRIM('DATOS'!N99&amp;""))&gt;0,TRIM('DATOS'!N99&amp;"")&lt;&gt;"Pendiente",TRIM('DATOS'!N99&amp;"")&lt;&gt;"Por confirmar",TRIM('DATOS'!N99&amp;"")&lt;&gt;"No consta",TRIM('DATOS'!N99&amp;"")&lt;&gt;"Desconocido",TRIM('DATOS'!N99&amp;"")&lt;&gt;"Sin confirmar",TRIM('DATOS'!N99&amp;"")&lt;&gt;"Por decidir",TRIM('DATOS'!N99&amp;"")&lt;&gt;"Por comprobar")),NOT(Y99=1),W99&lt;&gt;1,X99&gt;1,NOT(OR(LEN(TRIM('DATOS'!K99&amp;""))=0,'DATOS'!K99="Sin valorar",'DATOS'!K99="Sin coste documentado",'DATOS'!K99="Incluido en otra partida",'DATOS'!K99="Por confirmar")),NOT(OR(LEN(TRIM('DATOS'!M99&amp;""))=0,'DATOS'!M99="Sí",'DATOS'!M99="No",'DATOS'!M99="Por confirmar")),NOT(OR(LEN(TRIM('DATOS'!O99&amp;""))=0,'DATOS'!O99="Comparamos",'DATOS'!O99="No existe",'DATOS'!O99="Por confirmar"))),2,IF(AND(OR('DATOS'!G99&lt;0,'DATOS'!H99&lt;0,'DATOS'!J99&lt;0),NOT(AND(LEN(TRIM('DATOS'!L99&amp;""))&gt;0,TRIM('DATOS'!L99&amp;"")&lt;&gt;"Pendiente",TRIM('DATOS'!L99&amp;"")&lt;&gt;"Por confirmar",TRIM('DATOS'!L99&amp;"")&lt;&gt;"No consta",TRIM('DATOS'!L99&amp;"")&lt;&gt;"Desconocido",TRIM('DATOS'!L99&amp;"")&lt;&gt;"Sin confirmar",TRIM('DATOS'!L99&amp;"")&lt;&gt;"Por decidir",TRIM('DATOS'!L99&amp;"")&lt;&gt;"Por comprobar"))),1,0))),2)</f>
      </c>
      <c r="P99" s="29">
        <f>IFERROR(IF(N99=0,"",IF(NOT(Y99=1),1,IF('REFERENCIAS'!$Q$8&lt;&gt;1,2,IF(ABS('DATOS'!J99-ROUND('DATOS'!G99*'DATOS'!H99,'REFERENCIAS'!$K$8))&gt;0.00000001,2,IF('DATOS'!O99="No existe",IF(LEN(TRIM('DATOS'!I99&amp;""))=0,0,2),IF('DATOS'!O99="Comparamos",IF(LEN(TRIM('DATOS'!I99&amp;""))=0,1,IF(ISNUMBER('DATOS'!I99),IF(ABS('DATOS'!H99-'DATOS'!I99)&gt;0.00000001,2,0),2)),1)))))),2)</f>
      </c>
      <c r="Q99" s="29">
        <f>IFERROR(IF(N99=0,"",IF(NOT(Y99=1),1,IF('DATOS'!K99="Sin valorar",2,IF('DATOS'!G99=0,1,IF(OR('DATOS'!H99=0,'DATOS'!J99=0),IF(AND(OR('DATOS'!K99="Sin coste documentado",'DATOS'!K99="Incluido en otra partida"),AND(LEN(TRIM('DATOS'!L99&amp;""))&gt;0,TRIM('DATOS'!L99&amp;"")&lt;&gt;"Pendiente",TRIM('DATOS'!L99&amp;"")&lt;&gt;"Por confirmar",TRIM('DATOS'!L99&amp;"")&lt;&gt;"No consta",TRIM('DATOS'!L99&amp;"")&lt;&gt;"Desconocido",TRIM('DATOS'!L99&amp;"")&lt;&gt;"Sin confirmar",TRIM('DATOS'!L99&amp;"")&lt;&gt;"Por decidir",TRIM('DATOS'!L99&amp;"")&lt;&gt;"Por comprobar")),0,1),0))))),2)</f>
      </c>
      <c r="R99" s="29">
        <f>IFERROR(IF(N99=0,"",IF(OR(NOT(AND(LEN(TRIM('DATOS'!D99&amp;""))&gt;0,TRIM('DATOS'!D99&amp;"")&lt;&gt;"Pendiente",TRIM('DATOS'!D99&amp;"")&lt;&gt;"Por confirmar",TRIM('DATOS'!D99&amp;"")&lt;&gt;"No consta",TRIM('DATOS'!D99&amp;"")&lt;&gt;"Desconocido",TRIM('DATOS'!D99&amp;"")&lt;&gt;"Sin confirmar",TRIM('DATOS'!D99&amp;"")&lt;&gt;"Por decidir",TRIM('DATOS'!D99&amp;"")&lt;&gt;"Por comprobar")),NOT(AND(LEN(TRIM('DATOS'!E99&amp;""))&gt;0,TRIM('DATOS'!E99&amp;"")&lt;&gt;"Pendiente",TRIM('DATOS'!E99&amp;"")&lt;&gt;"Por confirmar",TRIM('DATOS'!E99&amp;"")&lt;&gt;"No consta",TRIM('DATOS'!E99&amp;"")&lt;&gt;"Desconocido",TRIM('DATOS'!E99&amp;"")&lt;&gt;"Sin confirmar",TRIM('DATOS'!E99&amp;"")&lt;&gt;"Por decidir",TRIM('DATOS'!E99&amp;"")&lt;&gt;"Por comprobar"))),2,IF('DATOS'!M99="No",2,IF('DATOS'!M99="Sí",0,IF(OR('DATOS'!D99&lt;&gt;'DATOS'!E99,LEN('DATOS'!E99)&gt;300,RIGHT(TRIM('DATOS'!E99),3)="...",RIGHT(TRIM('DATOS'!E99),1)="…"),1,0))))),2)</f>
      </c>
      <c r="S99" s="29">
        <f>IFERROR(IF(N99=0,"",IF('REFERENCIAS'!$Q$8&lt;&gt;1,2,IF(NOT(Y99=1),1,IF(OR(ABS('DATOS'!G99-ROUND('DATOS'!G99,'REFERENCIAS'!$E$8))&gt;0.00000001,ABS('DATOS'!H99-ROUND('DATOS'!H99,'REFERENCIAS'!$H$8))&gt;0.00000001,ABS('DATOS'!J99-ROUND('DATOS'!J99,'REFERENCIAS'!$K$8))&gt;0.00000001,IF(ISNUMBER('DATOS'!I99),ABS('DATOS'!I99-ROUND('DATOS'!I99,'REFERENCIAS'!$H$8))&gt;0.00000001,FALSE)),1,0)))),2)</f>
      </c>
      <c r="T99" s="29">
        <f>IFERROR(IF(N99=0,"",IF(NOT(AND(LEN(TRIM('DATOS'!F99&amp;""))&gt;0,TRIM('DATOS'!F99&amp;"")&lt;&gt;"Pendiente",TRIM('DATOS'!F99&amp;"")&lt;&gt;"Por confirmar",TRIM('DATOS'!F99&amp;"")&lt;&gt;"No consta",TRIM('DATOS'!F99&amp;"")&lt;&gt;"Desconocido",TRIM('DATOS'!F99&amp;"")&lt;&gt;"Sin confirmar",TRIM('DATOS'!F99&amp;"")&lt;&gt;"Por decidir",TRIM('DATOS'!F99&amp;"")&lt;&gt;"Por comprobar")),2,IF(COUNTIFS('REFERENCIAS'!$T$15:$T$34,"ID:"&amp;SUBSTITUTE(SUBSTITUTE(SUBSTITUTE(SUBSTITUTE(UPPER(TRIM('DATOS'!F99&amp;"")),"!","!E"),"*","!A"),"?","!B"),"~","!C"),'REFERENCIAS'!$H$15:$H$34,"&lt;&gt;")&gt;0,0,1))),2)</f>
      </c>
      <c r="U99" s="29" t="str">
        <f>'DATOS'!R99</f>
        <v>ID:</v>
      </c>
      <c r="V99" s="29" t="str">
        <f>'DATOS'!S99</f>
        <v>ID:</v>
      </c>
      <c r="W99" s="29" t="n">
        <f>IF(N99=0,0,COUNTIFS('REFERENCIAS'!$R$15:$R$64,U99))</f>
        <v>0</v>
      </c>
      <c r="X99" s="29" t="n">
        <f>IF(N99=0,0,COUNTIFS('DATOS'!$R$10:$R$509,U99,'DATOS'!$S$10:$S$509,V99))</f>
        <v>0</v>
      </c>
      <c r="Y99" s="29" t="n">
        <f>IF(AND(ISNUMBER('DATOS'!G99),ISNUMBER('DATOS'!H99),ISNUMBER('DATOS'!J99)),1,0)</f>
        <v>0</v>
      </c>
    </row>
    <row r="100" ht="64" customHeight="1">
      <c r="B100" s="26">
        <f>IF(N100=1,91,"")</f>
      </c>
      <c r="C100" s="26">
        <f>IF(AND(N100=1,LEN(TRIM('DATOS'!B100&amp;""))&gt;0),'DATOS'!B100,"")</f>
      </c>
      <c r="D100" s="26">
        <f>IF(AND(N100=1,LEN(TRIM('DATOS'!C100&amp;""))&gt;0),'DATOS'!C100,"")</f>
      </c>
      <c r="E100" s="26">
        <f>IF(NOT(ISNUMBER(P100)),"",IF(P100=2,"ROJO",IF(P100=1,"ÁMBAR","VERDE")))</f>
      </c>
      <c r="F100" s="26">
        <f>IF(NOT(ISNUMBER(Q100)),"",IF(Q100=2,"ROJO",IF(Q100=1,"ÁMBAR","VERDE")))</f>
      </c>
      <c r="G100" s="26">
        <f>IF(NOT(ISNUMBER(R100)),"",IF(R100=2,"ROJO",IF(R100=1,"ÁMBAR","VERDE")))</f>
      </c>
      <c r="H100" s="26">
        <f>IF(NOT(ISNUMBER(S100)),"",IF(S100=2,"ROJO",IF(S100=1,"ÁMBAR","VERDE")))</f>
      </c>
      <c r="I100" s="26">
        <f>IF(NOT(ISNUMBER(T100)),"",IF(T100=2,"ROJO",IF(T100=1,"ÁMBAR","VERDE")))</f>
      </c>
      <c r="J100" s="26">
        <f>IF(NOT(ISNUMBER(O100)),"",IF(O100=2,"ROJO",IF(O100=1,"ÁMBAR","VERDE")))</f>
      </c>
      <c r="K100" s="26">
        <f>IFERROR(IF(AND(N100=1,LEN(TRIM('DATOS'!N100&amp;""))&gt;0),'DATOS'!N100,""),"Hay una entrada con error. Corregimos el dato antes de cerrar la comprobación.")</f>
      </c>
      <c r="L100" s="26">
        <f>IFERROR(IF(N100=0,"",IF(O100&gt;0,"Completamos datos, claves o motivo. ","")&amp;IF(P100&gt;0,"Cotejamos precios e importe. ","")&amp;IF(Q100&gt;0,"Aclaramos el cero. ","")&amp;IF(R100&gt;0,"Comprobamos el texto. ","")&amp;IF(S100&gt;0,"Revisamos decimales visibles. ","")&amp;IF(T100&gt;0,"Confirmamos la unidad.","")),"Hay una entrada con error. Corregimos el dato antes de cerrar la comprobación.")</f>
      </c>
      <c r="N100" s="29" t="n">
        <f>IF(COUNTA('DATOS'!B100:O100)&gt;0,1,0)</f>
        <v>0</v>
      </c>
      <c r="O100" s="29">
        <f>IFERROR(IF(N100=0,"",IF(OR(NOT(AND(LEN(TRIM('DATOS'!B100&amp;""))&gt;0,TRIM('DATOS'!B100&amp;"")&lt;&gt;"Pendiente",TRIM('DATOS'!B100&amp;"")&lt;&gt;"Por confirmar",TRIM('DATOS'!B100&amp;"")&lt;&gt;"No consta",TRIM('DATOS'!B100&amp;"")&lt;&gt;"Desconocido",TRIM('DATOS'!B100&amp;"")&lt;&gt;"Sin confirmar",TRIM('DATOS'!B100&amp;"")&lt;&gt;"Por decidir",TRIM('DATOS'!B100&amp;"")&lt;&gt;"Por comprobar")),NOT(AND(LEN(TRIM('DATOS'!C100&amp;""))&gt;0,TRIM('DATOS'!C100&amp;"")&lt;&gt;"Pendiente",TRIM('DATOS'!C100&amp;"")&lt;&gt;"Por confirmar",TRIM('DATOS'!C100&amp;"")&lt;&gt;"No consta",TRIM('DATOS'!C100&amp;"")&lt;&gt;"Desconocido",TRIM('DATOS'!C100&amp;"")&lt;&gt;"Sin confirmar",TRIM('DATOS'!C100&amp;"")&lt;&gt;"Por decidir",TRIM('DATOS'!C100&amp;"")&lt;&gt;"Por comprobar")),NOT(AND(LEN(TRIM('DATOS'!D100&amp;""))&gt;0,TRIM('DATOS'!D100&amp;"")&lt;&gt;"Pendiente",TRIM('DATOS'!D100&amp;"")&lt;&gt;"Por confirmar",TRIM('DATOS'!D100&amp;"")&lt;&gt;"No consta",TRIM('DATOS'!D100&amp;"")&lt;&gt;"Desconocido",TRIM('DATOS'!D100&amp;"")&lt;&gt;"Sin confirmar",TRIM('DATOS'!D100&amp;"")&lt;&gt;"Por decidir",TRIM('DATOS'!D100&amp;"")&lt;&gt;"Por comprobar")),NOT(AND(LEN(TRIM('DATOS'!E100&amp;""))&gt;0,TRIM('DATOS'!E100&amp;"")&lt;&gt;"Pendiente",TRIM('DATOS'!E100&amp;"")&lt;&gt;"Por confirmar",TRIM('DATOS'!E100&amp;"")&lt;&gt;"No consta",TRIM('DATOS'!E100&amp;"")&lt;&gt;"Desconocido",TRIM('DATOS'!E100&amp;"")&lt;&gt;"Sin confirmar",TRIM('DATOS'!E100&amp;"")&lt;&gt;"Por decidir",TRIM('DATOS'!E100&amp;"")&lt;&gt;"Por comprobar")),NOT(AND(LEN(TRIM('DATOS'!F100&amp;""))&gt;0,TRIM('DATOS'!F100&amp;"")&lt;&gt;"Pendiente",TRIM('DATOS'!F100&amp;"")&lt;&gt;"Por confirmar",TRIM('DATOS'!F100&amp;"")&lt;&gt;"No consta",TRIM('DATOS'!F100&amp;"")&lt;&gt;"Desconocido",TRIM('DATOS'!F100&amp;"")&lt;&gt;"Sin confirmar",TRIM('DATOS'!F100&amp;"")&lt;&gt;"Por decidir",TRIM('DATOS'!F100&amp;"")&lt;&gt;"Por comprobar")),NOT(AND(LEN(TRIM('DATOS'!N100&amp;""))&gt;0,TRIM('DATOS'!N100&amp;"")&lt;&gt;"Pendiente",TRIM('DATOS'!N100&amp;"")&lt;&gt;"Por confirmar",TRIM('DATOS'!N100&amp;"")&lt;&gt;"No consta",TRIM('DATOS'!N100&amp;"")&lt;&gt;"Desconocido",TRIM('DATOS'!N100&amp;"")&lt;&gt;"Sin confirmar",TRIM('DATOS'!N100&amp;"")&lt;&gt;"Por decidir",TRIM('DATOS'!N100&amp;"")&lt;&gt;"Por comprobar")),NOT(Y100=1),W100&lt;&gt;1,X100&gt;1,NOT(OR(LEN(TRIM('DATOS'!K100&amp;""))=0,'DATOS'!K100="Sin valorar",'DATOS'!K100="Sin coste documentado",'DATOS'!K100="Incluido en otra partida",'DATOS'!K100="Por confirmar")),NOT(OR(LEN(TRIM('DATOS'!M100&amp;""))=0,'DATOS'!M100="Sí",'DATOS'!M100="No",'DATOS'!M100="Por confirmar")),NOT(OR(LEN(TRIM('DATOS'!O100&amp;""))=0,'DATOS'!O100="Comparamos",'DATOS'!O100="No existe",'DATOS'!O100="Por confirmar"))),2,IF(AND(OR('DATOS'!G100&lt;0,'DATOS'!H100&lt;0,'DATOS'!J100&lt;0),NOT(AND(LEN(TRIM('DATOS'!L100&amp;""))&gt;0,TRIM('DATOS'!L100&amp;"")&lt;&gt;"Pendiente",TRIM('DATOS'!L100&amp;"")&lt;&gt;"Por confirmar",TRIM('DATOS'!L100&amp;"")&lt;&gt;"No consta",TRIM('DATOS'!L100&amp;"")&lt;&gt;"Desconocido",TRIM('DATOS'!L100&amp;"")&lt;&gt;"Sin confirmar",TRIM('DATOS'!L100&amp;"")&lt;&gt;"Por decidir",TRIM('DATOS'!L100&amp;"")&lt;&gt;"Por comprobar"))),1,0))),2)</f>
      </c>
      <c r="P100" s="29">
        <f>IFERROR(IF(N100=0,"",IF(NOT(Y100=1),1,IF('REFERENCIAS'!$Q$8&lt;&gt;1,2,IF(ABS('DATOS'!J100-ROUND('DATOS'!G100*'DATOS'!H100,'REFERENCIAS'!$K$8))&gt;0.00000001,2,IF('DATOS'!O100="No existe",IF(LEN(TRIM('DATOS'!I100&amp;""))=0,0,2),IF('DATOS'!O100="Comparamos",IF(LEN(TRIM('DATOS'!I100&amp;""))=0,1,IF(ISNUMBER('DATOS'!I100),IF(ABS('DATOS'!H100-'DATOS'!I100)&gt;0.00000001,2,0),2)),1)))))),2)</f>
      </c>
      <c r="Q100" s="29">
        <f>IFERROR(IF(N100=0,"",IF(NOT(Y100=1),1,IF('DATOS'!K100="Sin valorar",2,IF('DATOS'!G100=0,1,IF(OR('DATOS'!H100=0,'DATOS'!J100=0),IF(AND(OR('DATOS'!K100="Sin coste documentado",'DATOS'!K100="Incluido en otra partida"),AND(LEN(TRIM('DATOS'!L100&amp;""))&gt;0,TRIM('DATOS'!L100&amp;"")&lt;&gt;"Pendiente",TRIM('DATOS'!L100&amp;"")&lt;&gt;"Por confirmar",TRIM('DATOS'!L100&amp;"")&lt;&gt;"No consta",TRIM('DATOS'!L100&amp;"")&lt;&gt;"Desconocido",TRIM('DATOS'!L100&amp;"")&lt;&gt;"Sin confirmar",TRIM('DATOS'!L100&amp;"")&lt;&gt;"Por decidir",TRIM('DATOS'!L100&amp;"")&lt;&gt;"Por comprobar")),0,1),0))))),2)</f>
      </c>
      <c r="R100" s="29">
        <f>IFERROR(IF(N100=0,"",IF(OR(NOT(AND(LEN(TRIM('DATOS'!D100&amp;""))&gt;0,TRIM('DATOS'!D100&amp;"")&lt;&gt;"Pendiente",TRIM('DATOS'!D100&amp;"")&lt;&gt;"Por confirmar",TRIM('DATOS'!D100&amp;"")&lt;&gt;"No consta",TRIM('DATOS'!D100&amp;"")&lt;&gt;"Desconocido",TRIM('DATOS'!D100&amp;"")&lt;&gt;"Sin confirmar",TRIM('DATOS'!D100&amp;"")&lt;&gt;"Por decidir",TRIM('DATOS'!D100&amp;"")&lt;&gt;"Por comprobar")),NOT(AND(LEN(TRIM('DATOS'!E100&amp;""))&gt;0,TRIM('DATOS'!E100&amp;"")&lt;&gt;"Pendiente",TRIM('DATOS'!E100&amp;"")&lt;&gt;"Por confirmar",TRIM('DATOS'!E100&amp;"")&lt;&gt;"No consta",TRIM('DATOS'!E100&amp;"")&lt;&gt;"Desconocido",TRIM('DATOS'!E100&amp;"")&lt;&gt;"Sin confirmar",TRIM('DATOS'!E100&amp;"")&lt;&gt;"Por decidir",TRIM('DATOS'!E100&amp;"")&lt;&gt;"Por comprobar"))),2,IF('DATOS'!M100="No",2,IF('DATOS'!M100="Sí",0,IF(OR('DATOS'!D100&lt;&gt;'DATOS'!E100,LEN('DATOS'!E100)&gt;300,RIGHT(TRIM('DATOS'!E100),3)="...",RIGHT(TRIM('DATOS'!E100),1)="…"),1,0))))),2)</f>
      </c>
      <c r="S100" s="29">
        <f>IFERROR(IF(N100=0,"",IF('REFERENCIAS'!$Q$8&lt;&gt;1,2,IF(NOT(Y100=1),1,IF(OR(ABS('DATOS'!G100-ROUND('DATOS'!G100,'REFERENCIAS'!$E$8))&gt;0.00000001,ABS('DATOS'!H100-ROUND('DATOS'!H100,'REFERENCIAS'!$H$8))&gt;0.00000001,ABS('DATOS'!J100-ROUND('DATOS'!J100,'REFERENCIAS'!$K$8))&gt;0.00000001,IF(ISNUMBER('DATOS'!I100),ABS('DATOS'!I100-ROUND('DATOS'!I100,'REFERENCIAS'!$H$8))&gt;0.00000001,FALSE)),1,0)))),2)</f>
      </c>
      <c r="T100" s="29">
        <f>IFERROR(IF(N100=0,"",IF(NOT(AND(LEN(TRIM('DATOS'!F100&amp;""))&gt;0,TRIM('DATOS'!F100&amp;"")&lt;&gt;"Pendiente",TRIM('DATOS'!F100&amp;"")&lt;&gt;"Por confirmar",TRIM('DATOS'!F100&amp;"")&lt;&gt;"No consta",TRIM('DATOS'!F100&amp;"")&lt;&gt;"Desconocido",TRIM('DATOS'!F100&amp;"")&lt;&gt;"Sin confirmar",TRIM('DATOS'!F100&amp;"")&lt;&gt;"Por decidir",TRIM('DATOS'!F100&amp;"")&lt;&gt;"Por comprobar")),2,IF(COUNTIFS('REFERENCIAS'!$T$15:$T$34,"ID:"&amp;SUBSTITUTE(SUBSTITUTE(SUBSTITUTE(SUBSTITUTE(UPPER(TRIM('DATOS'!F100&amp;"")),"!","!E"),"*","!A"),"?","!B"),"~","!C"),'REFERENCIAS'!$H$15:$H$34,"&lt;&gt;")&gt;0,0,1))),2)</f>
      </c>
      <c r="U100" s="29" t="str">
        <f>'DATOS'!R100</f>
        <v>ID:</v>
      </c>
      <c r="V100" s="29" t="str">
        <f>'DATOS'!S100</f>
        <v>ID:</v>
      </c>
      <c r="W100" s="29" t="n">
        <f>IF(N100=0,0,COUNTIFS('REFERENCIAS'!$R$15:$R$64,U100))</f>
        <v>0</v>
      </c>
      <c r="X100" s="29" t="n">
        <f>IF(N100=0,0,COUNTIFS('DATOS'!$R$10:$R$509,U100,'DATOS'!$S$10:$S$509,V100))</f>
        <v>0</v>
      </c>
      <c r="Y100" s="29" t="n">
        <f>IF(AND(ISNUMBER('DATOS'!G100),ISNUMBER('DATOS'!H100),ISNUMBER('DATOS'!J100)),1,0)</f>
        <v>0</v>
      </c>
    </row>
    <row r="101" ht="64" customHeight="1">
      <c r="B101" s="26">
        <f>IF(N101=1,92,"")</f>
      </c>
      <c r="C101" s="26">
        <f>IF(AND(N101=1,LEN(TRIM('DATOS'!B101&amp;""))&gt;0),'DATOS'!B101,"")</f>
      </c>
      <c r="D101" s="26">
        <f>IF(AND(N101=1,LEN(TRIM('DATOS'!C101&amp;""))&gt;0),'DATOS'!C101,"")</f>
      </c>
      <c r="E101" s="26">
        <f>IF(NOT(ISNUMBER(P101)),"",IF(P101=2,"ROJO",IF(P101=1,"ÁMBAR","VERDE")))</f>
      </c>
      <c r="F101" s="26">
        <f>IF(NOT(ISNUMBER(Q101)),"",IF(Q101=2,"ROJO",IF(Q101=1,"ÁMBAR","VERDE")))</f>
      </c>
      <c r="G101" s="26">
        <f>IF(NOT(ISNUMBER(R101)),"",IF(R101=2,"ROJO",IF(R101=1,"ÁMBAR","VERDE")))</f>
      </c>
      <c r="H101" s="26">
        <f>IF(NOT(ISNUMBER(S101)),"",IF(S101=2,"ROJO",IF(S101=1,"ÁMBAR","VERDE")))</f>
      </c>
      <c r="I101" s="26">
        <f>IF(NOT(ISNUMBER(T101)),"",IF(T101=2,"ROJO",IF(T101=1,"ÁMBAR","VERDE")))</f>
      </c>
      <c r="J101" s="26">
        <f>IF(NOT(ISNUMBER(O101)),"",IF(O101=2,"ROJO",IF(O101=1,"ÁMBAR","VERDE")))</f>
      </c>
      <c r="K101" s="26">
        <f>IFERROR(IF(AND(N101=1,LEN(TRIM('DATOS'!N101&amp;""))&gt;0),'DATOS'!N101,""),"Hay una entrada con error. Corregimos el dato antes de cerrar la comprobación.")</f>
      </c>
      <c r="L101" s="26">
        <f>IFERROR(IF(N101=0,"",IF(O101&gt;0,"Completamos datos, claves o motivo. ","")&amp;IF(P101&gt;0,"Cotejamos precios e importe. ","")&amp;IF(Q101&gt;0,"Aclaramos el cero. ","")&amp;IF(R101&gt;0,"Comprobamos el texto. ","")&amp;IF(S101&gt;0,"Revisamos decimales visibles. ","")&amp;IF(T101&gt;0,"Confirmamos la unidad.","")),"Hay una entrada con error. Corregimos el dato antes de cerrar la comprobación.")</f>
      </c>
      <c r="N101" s="29" t="n">
        <f>IF(COUNTA('DATOS'!B101:O101)&gt;0,1,0)</f>
        <v>0</v>
      </c>
      <c r="O101" s="29">
        <f>IFERROR(IF(N101=0,"",IF(OR(NOT(AND(LEN(TRIM('DATOS'!B101&amp;""))&gt;0,TRIM('DATOS'!B101&amp;"")&lt;&gt;"Pendiente",TRIM('DATOS'!B101&amp;"")&lt;&gt;"Por confirmar",TRIM('DATOS'!B101&amp;"")&lt;&gt;"No consta",TRIM('DATOS'!B101&amp;"")&lt;&gt;"Desconocido",TRIM('DATOS'!B101&amp;"")&lt;&gt;"Sin confirmar",TRIM('DATOS'!B101&amp;"")&lt;&gt;"Por decidir",TRIM('DATOS'!B101&amp;"")&lt;&gt;"Por comprobar")),NOT(AND(LEN(TRIM('DATOS'!C101&amp;""))&gt;0,TRIM('DATOS'!C101&amp;"")&lt;&gt;"Pendiente",TRIM('DATOS'!C101&amp;"")&lt;&gt;"Por confirmar",TRIM('DATOS'!C101&amp;"")&lt;&gt;"No consta",TRIM('DATOS'!C101&amp;"")&lt;&gt;"Desconocido",TRIM('DATOS'!C101&amp;"")&lt;&gt;"Sin confirmar",TRIM('DATOS'!C101&amp;"")&lt;&gt;"Por decidir",TRIM('DATOS'!C101&amp;"")&lt;&gt;"Por comprobar")),NOT(AND(LEN(TRIM('DATOS'!D101&amp;""))&gt;0,TRIM('DATOS'!D101&amp;"")&lt;&gt;"Pendiente",TRIM('DATOS'!D101&amp;"")&lt;&gt;"Por confirmar",TRIM('DATOS'!D101&amp;"")&lt;&gt;"No consta",TRIM('DATOS'!D101&amp;"")&lt;&gt;"Desconocido",TRIM('DATOS'!D101&amp;"")&lt;&gt;"Sin confirmar",TRIM('DATOS'!D101&amp;"")&lt;&gt;"Por decidir",TRIM('DATOS'!D101&amp;"")&lt;&gt;"Por comprobar")),NOT(AND(LEN(TRIM('DATOS'!E101&amp;""))&gt;0,TRIM('DATOS'!E101&amp;"")&lt;&gt;"Pendiente",TRIM('DATOS'!E101&amp;"")&lt;&gt;"Por confirmar",TRIM('DATOS'!E101&amp;"")&lt;&gt;"No consta",TRIM('DATOS'!E101&amp;"")&lt;&gt;"Desconocido",TRIM('DATOS'!E101&amp;"")&lt;&gt;"Sin confirmar",TRIM('DATOS'!E101&amp;"")&lt;&gt;"Por decidir",TRIM('DATOS'!E101&amp;"")&lt;&gt;"Por comprobar")),NOT(AND(LEN(TRIM('DATOS'!F101&amp;""))&gt;0,TRIM('DATOS'!F101&amp;"")&lt;&gt;"Pendiente",TRIM('DATOS'!F101&amp;"")&lt;&gt;"Por confirmar",TRIM('DATOS'!F101&amp;"")&lt;&gt;"No consta",TRIM('DATOS'!F101&amp;"")&lt;&gt;"Desconocido",TRIM('DATOS'!F101&amp;"")&lt;&gt;"Sin confirmar",TRIM('DATOS'!F101&amp;"")&lt;&gt;"Por decidir",TRIM('DATOS'!F101&amp;"")&lt;&gt;"Por comprobar")),NOT(AND(LEN(TRIM('DATOS'!N101&amp;""))&gt;0,TRIM('DATOS'!N101&amp;"")&lt;&gt;"Pendiente",TRIM('DATOS'!N101&amp;"")&lt;&gt;"Por confirmar",TRIM('DATOS'!N101&amp;"")&lt;&gt;"No consta",TRIM('DATOS'!N101&amp;"")&lt;&gt;"Desconocido",TRIM('DATOS'!N101&amp;"")&lt;&gt;"Sin confirmar",TRIM('DATOS'!N101&amp;"")&lt;&gt;"Por decidir",TRIM('DATOS'!N101&amp;"")&lt;&gt;"Por comprobar")),NOT(Y101=1),W101&lt;&gt;1,X101&gt;1,NOT(OR(LEN(TRIM('DATOS'!K101&amp;""))=0,'DATOS'!K101="Sin valorar",'DATOS'!K101="Sin coste documentado",'DATOS'!K101="Incluido en otra partida",'DATOS'!K101="Por confirmar")),NOT(OR(LEN(TRIM('DATOS'!M101&amp;""))=0,'DATOS'!M101="Sí",'DATOS'!M101="No",'DATOS'!M101="Por confirmar")),NOT(OR(LEN(TRIM('DATOS'!O101&amp;""))=0,'DATOS'!O101="Comparamos",'DATOS'!O101="No existe",'DATOS'!O101="Por confirmar"))),2,IF(AND(OR('DATOS'!G101&lt;0,'DATOS'!H101&lt;0,'DATOS'!J101&lt;0),NOT(AND(LEN(TRIM('DATOS'!L101&amp;""))&gt;0,TRIM('DATOS'!L101&amp;"")&lt;&gt;"Pendiente",TRIM('DATOS'!L101&amp;"")&lt;&gt;"Por confirmar",TRIM('DATOS'!L101&amp;"")&lt;&gt;"No consta",TRIM('DATOS'!L101&amp;"")&lt;&gt;"Desconocido",TRIM('DATOS'!L101&amp;"")&lt;&gt;"Sin confirmar",TRIM('DATOS'!L101&amp;"")&lt;&gt;"Por decidir",TRIM('DATOS'!L101&amp;"")&lt;&gt;"Por comprobar"))),1,0))),2)</f>
      </c>
      <c r="P101" s="29">
        <f>IFERROR(IF(N101=0,"",IF(NOT(Y101=1),1,IF('REFERENCIAS'!$Q$8&lt;&gt;1,2,IF(ABS('DATOS'!J101-ROUND('DATOS'!G101*'DATOS'!H101,'REFERENCIAS'!$K$8))&gt;0.00000001,2,IF('DATOS'!O101="No existe",IF(LEN(TRIM('DATOS'!I101&amp;""))=0,0,2),IF('DATOS'!O101="Comparamos",IF(LEN(TRIM('DATOS'!I101&amp;""))=0,1,IF(ISNUMBER('DATOS'!I101),IF(ABS('DATOS'!H101-'DATOS'!I101)&gt;0.00000001,2,0),2)),1)))))),2)</f>
      </c>
      <c r="Q101" s="29">
        <f>IFERROR(IF(N101=0,"",IF(NOT(Y101=1),1,IF('DATOS'!K101="Sin valorar",2,IF('DATOS'!G101=0,1,IF(OR('DATOS'!H101=0,'DATOS'!J101=0),IF(AND(OR('DATOS'!K101="Sin coste documentado",'DATOS'!K101="Incluido en otra partida"),AND(LEN(TRIM('DATOS'!L101&amp;""))&gt;0,TRIM('DATOS'!L101&amp;"")&lt;&gt;"Pendiente",TRIM('DATOS'!L101&amp;"")&lt;&gt;"Por confirmar",TRIM('DATOS'!L101&amp;"")&lt;&gt;"No consta",TRIM('DATOS'!L101&amp;"")&lt;&gt;"Desconocido",TRIM('DATOS'!L101&amp;"")&lt;&gt;"Sin confirmar",TRIM('DATOS'!L101&amp;"")&lt;&gt;"Por decidir",TRIM('DATOS'!L101&amp;"")&lt;&gt;"Por comprobar")),0,1),0))))),2)</f>
      </c>
      <c r="R101" s="29">
        <f>IFERROR(IF(N101=0,"",IF(OR(NOT(AND(LEN(TRIM('DATOS'!D101&amp;""))&gt;0,TRIM('DATOS'!D101&amp;"")&lt;&gt;"Pendiente",TRIM('DATOS'!D101&amp;"")&lt;&gt;"Por confirmar",TRIM('DATOS'!D101&amp;"")&lt;&gt;"No consta",TRIM('DATOS'!D101&amp;"")&lt;&gt;"Desconocido",TRIM('DATOS'!D101&amp;"")&lt;&gt;"Sin confirmar",TRIM('DATOS'!D101&amp;"")&lt;&gt;"Por decidir",TRIM('DATOS'!D101&amp;"")&lt;&gt;"Por comprobar")),NOT(AND(LEN(TRIM('DATOS'!E101&amp;""))&gt;0,TRIM('DATOS'!E101&amp;"")&lt;&gt;"Pendiente",TRIM('DATOS'!E101&amp;"")&lt;&gt;"Por confirmar",TRIM('DATOS'!E101&amp;"")&lt;&gt;"No consta",TRIM('DATOS'!E101&amp;"")&lt;&gt;"Desconocido",TRIM('DATOS'!E101&amp;"")&lt;&gt;"Sin confirmar",TRIM('DATOS'!E101&amp;"")&lt;&gt;"Por decidir",TRIM('DATOS'!E101&amp;"")&lt;&gt;"Por comprobar"))),2,IF('DATOS'!M101="No",2,IF('DATOS'!M101="Sí",0,IF(OR('DATOS'!D101&lt;&gt;'DATOS'!E101,LEN('DATOS'!E101)&gt;300,RIGHT(TRIM('DATOS'!E101),3)="...",RIGHT(TRIM('DATOS'!E101),1)="…"),1,0))))),2)</f>
      </c>
      <c r="S101" s="29">
        <f>IFERROR(IF(N101=0,"",IF('REFERENCIAS'!$Q$8&lt;&gt;1,2,IF(NOT(Y101=1),1,IF(OR(ABS('DATOS'!G101-ROUND('DATOS'!G101,'REFERENCIAS'!$E$8))&gt;0.00000001,ABS('DATOS'!H101-ROUND('DATOS'!H101,'REFERENCIAS'!$H$8))&gt;0.00000001,ABS('DATOS'!J101-ROUND('DATOS'!J101,'REFERENCIAS'!$K$8))&gt;0.00000001,IF(ISNUMBER('DATOS'!I101),ABS('DATOS'!I101-ROUND('DATOS'!I101,'REFERENCIAS'!$H$8))&gt;0.00000001,FALSE)),1,0)))),2)</f>
      </c>
      <c r="T101" s="29">
        <f>IFERROR(IF(N101=0,"",IF(NOT(AND(LEN(TRIM('DATOS'!F101&amp;""))&gt;0,TRIM('DATOS'!F101&amp;"")&lt;&gt;"Pendiente",TRIM('DATOS'!F101&amp;"")&lt;&gt;"Por confirmar",TRIM('DATOS'!F101&amp;"")&lt;&gt;"No consta",TRIM('DATOS'!F101&amp;"")&lt;&gt;"Desconocido",TRIM('DATOS'!F101&amp;"")&lt;&gt;"Sin confirmar",TRIM('DATOS'!F101&amp;"")&lt;&gt;"Por decidir",TRIM('DATOS'!F101&amp;"")&lt;&gt;"Por comprobar")),2,IF(COUNTIFS('REFERENCIAS'!$T$15:$T$34,"ID:"&amp;SUBSTITUTE(SUBSTITUTE(SUBSTITUTE(SUBSTITUTE(UPPER(TRIM('DATOS'!F101&amp;"")),"!","!E"),"*","!A"),"?","!B"),"~","!C"),'REFERENCIAS'!$H$15:$H$34,"&lt;&gt;")&gt;0,0,1))),2)</f>
      </c>
      <c r="U101" s="29" t="str">
        <f>'DATOS'!R101</f>
        <v>ID:</v>
      </c>
      <c r="V101" s="29" t="str">
        <f>'DATOS'!S101</f>
        <v>ID:</v>
      </c>
      <c r="W101" s="29" t="n">
        <f>IF(N101=0,0,COUNTIFS('REFERENCIAS'!$R$15:$R$64,U101))</f>
        <v>0</v>
      </c>
      <c r="X101" s="29" t="n">
        <f>IF(N101=0,0,COUNTIFS('DATOS'!$R$10:$R$509,U101,'DATOS'!$S$10:$S$509,V101))</f>
        <v>0</v>
      </c>
      <c r="Y101" s="29" t="n">
        <f>IF(AND(ISNUMBER('DATOS'!G101),ISNUMBER('DATOS'!H101),ISNUMBER('DATOS'!J101)),1,0)</f>
        <v>0</v>
      </c>
    </row>
    <row r="102" ht="64" customHeight="1">
      <c r="B102" s="26">
        <f>IF(N102=1,93,"")</f>
      </c>
      <c r="C102" s="26">
        <f>IF(AND(N102=1,LEN(TRIM('DATOS'!B102&amp;""))&gt;0),'DATOS'!B102,"")</f>
      </c>
      <c r="D102" s="26">
        <f>IF(AND(N102=1,LEN(TRIM('DATOS'!C102&amp;""))&gt;0),'DATOS'!C102,"")</f>
      </c>
      <c r="E102" s="26">
        <f>IF(NOT(ISNUMBER(P102)),"",IF(P102=2,"ROJO",IF(P102=1,"ÁMBAR","VERDE")))</f>
      </c>
      <c r="F102" s="26">
        <f>IF(NOT(ISNUMBER(Q102)),"",IF(Q102=2,"ROJO",IF(Q102=1,"ÁMBAR","VERDE")))</f>
      </c>
      <c r="G102" s="26">
        <f>IF(NOT(ISNUMBER(R102)),"",IF(R102=2,"ROJO",IF(R102=1,"ÁMBAR","VERDE")))</f>
      </c>
      <c r="H102" s="26">
        <f>IF(NOT(ISNUMBER(S102)),"",IF(S102=2,"ROJO",IF(S102=1,"ÁMBAR","VERDE")))</f>
      </c>
      <c r="I102" s="26">
        <f>IF(NOT(ISNUMBER(T102)),"",IF(T102=2,"ROJO",IF(T102=1,"ÁMBAR","VERDE")))</f>
      </c>
      <c r="J102" s="26">
        <f>IF(NOT(ISNUMBER(O102)),"",IF(O102=2,"ROJO",IF(O102=1,"ÁMBAR","VERDE")))</f>
      </c>
      <c r="K102" s="26">
        <f>IFERROR(IF(AND(N102=1,LEN(TRIM('DATOS'!N102&amp;""))&gt;0),'DATOS'!N102,""),"Hay una entrada con error. Corregimos el dato antes de cerrar la comprobación.")</f>
      </c>
      <c r="L102" s="26">
        <f>IFERROR(IF(N102=0,"",IF(O102&gt;0,"Completamos datos, claves o motivo. ","")&amp;IF(P102&gt;0,"Cotejamos precios e importe. ","")&amp;IF(Q102&gt;0,"Aclaramos el cero. ","")&amp;IF(R102&gt;0,"Comprobamos el texto. ","")&amp;IF(S102&gt;0,"Revisamos decimales visibles. ","")&amp;IF(T102&gt;0,"Confirmamos la unidad.","")),"Hay una entrada con error. Corregimos el dato antes de cerrar la comprobación.")</f>
      </c>
      <c r="N102" s="29" t="n">
        <f>IF(COUNTA('DATOS'!B102:O102)&gt;0,1,0)</f>
        <v>0</v>
      </c>
      <c r="O102" s="29">
        <f>IFERROR(IF(N102=0,"",IF(OR(NOT(AND(LEN(TRIM('DATOS'!B102&amp;""))&gt;0,TRIM('DATOS'!B102&amp;"")&lt;&gt;"Pendiente",TRIM('DATOS'!B102&amp;"")&lt;&gt;"Por confirmar",TRIM('DATOS'!B102&amp;"")&lt;&gt;"No consta",TRIM('DATOS'!B102&amp;"")&lt;&gt;"Desconocido",TRIM('DATOS'!B102&amp;"")&lt;&gt;"Sin confirmar",TRIM('DATOS'!B102&amp;"")&lt;&gt;"Por decidir",TRIM('DATOS'!B102&amp;"")&lt;&gt;"Por comprobar")),NOT(AND(LEN(TRIM('DATOS'!C102&amp;""))&gt;0,TRIM('DATOS'!C102&amp;"")&lt;&gt;"Pendiente",TRIM('DATOS'!C102&amp;"")&lt;&gt;"Por confirmar",TRIM('DATOS'!C102&amp;"")&lt;&gt;"No consta",TRIM('DATOS'!C102&amp;"")&lt;&gt;"Desconocido",TRIM('DATOS'!C102&amp;"")&lt;&gt;"Sin confirmar",TRIM('DATOS'!C102&amp;"")&lt;&gt;"Por decidir",TRIM('DATOS'!C102&amp;"")&lt;&gt;"Por comprobar")),NOT(AND(LEN(TRIM('DATOS'!D102&amp;""))&gt;0,TRIM('DATOS'!D102&amp;"")&lt;&gt;"Pendiente",TRIM('DATOS'!D102&amp;"")&lt;&gt;"Por confirmar",TRIM('DATOS'!D102&amp;"")&lt;&gt;"No consta",TRIM('DATOS'!D102&amp;"")&lt;&gt;"Desconocido",TRIM('DATOS'!D102&amp;"")&lt;&gt;"Sin confirmar",TRIM('DATOS'!D102&amp;"")&lt;&gt;"Por decidir",TRIM('DATOS'!D102&amp;"")&lt;&gt;"Por comprobar")),NOT(AND(LEN(TRIM('DATOS'!E102&amp;""))&gt;0,TRIM('DATOS'!E102&amp;"")&lt;&gt;"Pendiente",TRIM('DATOS'!E102&amp;"")&lt;&gt;"Por confirmar",TRIM('DATOS'!E102&amp;"")&lt;&gt;"No consta",TRIM('DATOS'!E102&amp;"")&lt;&gt;"Desconocido",TRIM('DATOS'!E102&amp;"")&lt;&gt;"Sin confirmar",TRIM('DATOS'!E102&amp;"")&lt;&gt;"Por decidir",TRIM('DATOS'!E102&amp;"")&lt;&gt;"Por comprobar")),NOT(AND(LEN(TRIM('DATOS'!F102&amp;""))&gt;0,TRIM('DATOS'!F102&amp;"")&lt;&gt;"Pendiente",TRIM('DATOS'!F102&amp;"")&lt;&gt;"Por confirmar",TRIM('DATOS'!F102&amp;"")&lt;&gt;"No consta",TRIM('DATOS'!F102&amp;"")&lt;&gt;"Desconocido",TRIM('DATOS'!F102&amp;"")&lt;&gt;"Sin confirmar",TRIM('DATOS'!F102&amp;"")&lt;&gt;"Por decidir",TRIM('DATOS'!F102&amp;"")&lt;&gt;"Por comprobar")),NOT(AND(LEN(TRIM('DATOS'!N102&amp;""))&gt;0,TRIM('DATOS'!N102&amp;"")&lt;&gt;"Pendiente",TRIM('DATOS'!N102&amp;"")&lt;&gt;"Por confirmar",TRIM('DATOS'!N102&amp;"")&lt;&gt;"No consta",TRIM('DATOS'!N102&amp;"")&lt;&gt;"Desconocido",TRIM('DATOS'!N102&amp;"")&lt;&gt;"Sin confirmar",TRIM('DATOS'!N102&amp;"")&lt;&gt;"Por decidir",TRIM('DATOS'!N102&amp;"")&lt;&gt;"Por comprobar")),NOT(Y102=1),W102&lt;&gt;1,X102&gt;1,NOT(OR(LEN(TRIM('DATOS'!K102&amp;""))=0,'DATOS'!K102="Sin valorar",'DATOS'!K102="Sin coste documentado",'DATOS'!K102="Incluido en otra partida",'DATOS'!K102="Por confirmar")),NOT(OR(LEN(TRIM('DATOS'!M102&amp;""))=0,'DATOS'!M102="Sí",'DATOS'!M102="No",'DATOS'!M102="Por confirmar")),NOT(OR(LEN(TRIM('DATOS'!O102&amp;""))=0,'DATOS'!O102="Comparamos",'DATOS'!O102="No existe",'DATOS'!O102="Por confirmar"))),2,IF(AND(OR('DATOS'!G102&lt;0,'DATOS'!H102&lt;0,'DATOS'!J102&lt;0),NOT(AND(LEN(TRIM('DATOS'!L102&amp;""))&gt;0,TRIM('DATOS'!L102&amp;"")&lt;&gt;"Pendiente",TRIM('DATOS'!L102&amp;"")&lt;&gt;"Por confirmar",TRIM('DATOS'!L102&amp;"")&lt;&gt;"No consta",TRIM('DATOS'!L102&amp;"")&lt;&gt;"Desconocido",TRIM('DATOS'!L102&amp;"")&lt;&gt;"Sin confirmar",TRIM('DATOS'!L102&amp;"")&lt;&gt;"Por decidir",TRIM('DATOS'!L102&amp;"")&lt;&gt;"Por comprobar"))),1,0))),2)</f>
      </c>
      <c r="P102" s="29">
        <f>IFERROR(IF(N102=0,"",IF(NOT(Y102=1),1,IF('REFERENCIAS'!$Q$8&lt;&gt;1,2,IF(ABS('DATOS'!J102-ROUND('DATOS'!G102*'DATOS'!H102,'REFERENCIAS'!$K$8))&gt;0.00000001,2,IF('DATOS'!O102="No existe",IF(LEN(TRIM('DATOS'!I102&amp;""))=0,0,2),IF('DATOS'!O102="Comparamos",IF(LEN(TRIM('DATOS'!I102&amp;""))=0,1,IF(ISNUMBER('DATOS'!I102),IF(ABS('DATOS'!H102-'DATOS'!I102)&gt;0.00000001,2,0),2)),1)))))),2)</f>
      </c>
      <c r="Q102" s="29">
        <f>IFERROR(IF(N102=0,"",IF(NOT(Y102=1),1,IF('DATOS'!K102="Sin valorar",2,IF('DATOS'!G102=0,1,IF(OR('DATOS'!H102=0,'DATOS'!J102=0),IF(AND(OR('DATOS'!K102="Sin coste documentado",'DATOS'!K102="Incluido en otra partida"),AND(LEN(TRIM('DATOS'!L102&amp;""))&gt;0,TRIM('DATOS'!L102&amp;"")&lt;&gt;"Pendiente",TRIM('DATOS'!L102&amp;"")&lt;&gt;"Por confirmar",TRIM('DATOS'!L102&amp;"")&lt;&gt;"No consta",TRIM('DATOS'!L102&amp;"")&lt;&gt;"Desconocido",TRIM('DATOS'!L102&amp;"")&lt;&gt;"Sin confirmar",TRIM('DATOS'!L102&amp;"")&lt;&gt;"Por decidir",TRIM('DATOS'!L102&amp;"")&lt;&gt;"Por comprobar")),0,1),0))))),2)</f>
      </c>
      <c r="R102" s="29">
        <f>IFERROR(IF(N102=0,"",IF(OR(NOT(AND(LEN(TRIM('DATOS'!D102&amp;""))&gt;0,TRIM('DATOS'!D102&amp;"")&lt;&gt;"Pendiente",TRIM('DATOS'!D102&amp;"")&lt;&gt;"Por confirmar",TRIM('DATOS'!D102&amp;"")&lt;&gt;"No consta",TRIM('DATOS'!D102&amp;"")&lt;&gt;"Desconocido",TRIM('DATOS'!D102&amp;"")&lt;&gt;"Sin confirmar",TRIM('DATOS'!D102&amp;"")&lt;&gt;"Por decidir",TRIM('DATOS'!D102&amp;"")&lt;&gt;"Por comprobar")),NOT(AND(LEN(TRIM('DATOS'!E102&amp;""))&gt;0,TRIM('DATOS'!E102&amp;"")&lt;&gt;"Pendiente",TRIM('DATOS'!E102&amp;"")&lt;&gt;"Por confirmar",TRIM('DATOS'!E102&amp;"")&lt;&gt;"No consta",TRIM('DATOS'!E102&amp;"")&lt;&gt;"Desconocido",TRIM('DATOS'!E102&amp;"")&lt;&gt;"Sin confirmar",TRIM('DATOS'!E102&amp;"")&lt;&gt;"Por decidir",TRIM('DATOS'!E102&amp;"")&lt;&gt;"Por comprobar"))),2,IF('DATOS'!M102="No",2,IF('DATOS'!M102="Sí",0,IF(OR('DATOS'!D102&lt;&gt;'DATOS'!E102,LEN('DATOS'!E102)&gt;300,RIGHT(TRIM('DATOS'!E102),3)="...",RIGHT(TRIM('DATOS'!E102),1)="…"),1,0))))),2)</f>
      </c>
      <c r="S102" s="29">
        <f>IFERROR(IF(N102=0,"",IF('REFERENCIAS'!$Q$8&lt;&gt;1,2,IF(NOT(Y102=1),1,IF(OR(ABS('DATOS'!G102-ROUND('DATOS'!G102,'REFERENCIAS'!$E$8))&gt;0.00000001,ABS('DATOS'!H102-ROUND('DATOS'!H102,'REFERENCIAS'!$H$8))&gt;0.00000001,ABS('DATOS'!J102-ROUND('DATOS'!J102,'REFERENCIAS'!$K$8))&gt;0.00000001,IF(ISNUMBER('DATOS'!I102),ABS('DATOS'!I102-ROUND('DATOS'!I102,'REFERENCIAS'!$H$8))&gt;0.00000001,FALSE)),1,0)))),2)</f>
      </c>
      <c r="T102" s="29">
        <f>IFERROR(IF(N102=0,"",IF(NOT(AND(LEN(TRIM('DATOS'!F102&amp;""))&gt;0,TRIM('DATOS'!F102&amp;"")&lt;&gt;"Pendiente",TRIM('DATOS'!F102&amp;"")&lt;&gt;"Por confirmar",TRIM('DATOS'!F102&amp;"")&lt;&gt;"No consta",TRIM('DATOS'!F102&amp;"")&lt;&gt;"Desconocido",TRIM('DATOS'!F102&amp;"")&lt;&gt;"Sin confirmar",TRIM('DATOS'!F102&amp;"")&lt;&gt;"Por decidir",TRIM('DATOS'!F102&amp;"")&lt;&gt;"Por comprobar")),2,IF(COUNTIFS('REFERENCIAS'!$T$15:$T$34,"ID:"&amp;SUBSTITUTE(SUBSTITUTE(SUBSTITUTE(SUBSTITUTE(UPPER(TRIM('DATOS'!F102&amp;"")),"!","!E"),"*","!A"),"?","!B"),"~","!C"),'REFERENCIAS'!$H$15:$H$34,"&lt;&gt;")&gt;0,0,1))),2)</f>
      </c>
      <c r="U102" s="29" t="str">
        <f>'DATOS'!R102</f>
        <v>ID:</v>
      </c>
      <c r="V102" s="29" t="str">
        <f>'DATOS'!S102</f>
        <v>ID:</v>
      </c>
      <c r="W102" s="29" t="n">
        <f>IF(N102=0,0,COUNTIFS('REFERENCIAS'!$R$15:$R$64,U102))</f>
        <v>0</v>
      </c>
      <c r="X102" s="29" t="n">
        <f>IF(N102=0,0,COUNTIFS('DATOS'!$R$10:$R$509,U102,'DATOS'!$S$10:$S$509,V102))</f>
        <v>0</v>
      </c>
      <c r="Y102" s="29" t="n">
        <f>IF(AND(ISNUMBER('DATOS'!G102),ISNUMBER('DATOS'!H102),ISNUMBER('DATOS'!J102)),1,0)</f>
        <v>0</v>
      </c>
    </row>
    <row r="103" ht="64" customHeight="1">
      <c r="B103" s="26">
        <f>IF(N103=1,94,"")</f>
      </c>
      <c r="C103" s="26">
        <f>IF(AND(N103=1,LEN(TRIM('DATOS'!B103&amp;""))&gt;0),'DATOS'!B103,"")</f>
      </c>
      <c r="D103" s="26">
        <f>IF(AND(N103=1,LEN(TRIM('DATOS'!C103&amp;""))&gt;0),'DATOS'!C103,"")</f>
      </c>
      <c r="E103" s="26">
        <f>IF(NOT(ISNUMBER(P103)),"",IF(P103=2,"ROJO",IF(P103=1,"ÁMBAR","VERDE")))</f>
      </c>
      <c r="F103" s="26">
        <f>IF(NOT(ISNUMBER(Q103)),"",IF(Q103=2,"ROJO",IF(Q103=1,"ÁMBAR","VERDE")))</f>
      </c>
      <c r="G103" s="26">
        <f>IF(NOT(ISNUMBER(R103)),"",IF(R103=2,"ROJO",IF(R103=1,"ÁMBAR","VERDE")))</f>
      </c>
      <c r="H103" s="26">
        <f>IF(NOT(ISNUMBER(S103)),"",IF(S103=2,"ROJO",IF(S103=1,"ÁMBAR","VERDE")))</f>
      </c>
      <c r="I103" s="26">
        <f>IF(NOT(ISNUMBER(T103)),"",IF(T103=2,"ROJO",IF(T103=1,"ÁMBAR","VERDE")))</f>
      </c>
      <c r="J103" s="26">
        <f>IF(NOT(ISNUMBER(O103)),"",IF(O103=2,"ROJO",IF(O103=1,"ÁMBAR","VERDE")))</f>
      </c>
      <c r="K103" s="26">
        <f>IFERROR(IF(AND(N103=1,LEN(TRIM('DATOS'!N103&amp;""))&gt;0),'DATOS'!N103,""),"Hay una entrada con error. Corregimos el dato antes de cerrar la comprobación.")</f>
      </c>
      <c r="L103" s="26">
        <f>IFERROR(IF(N103=0,"",IF(O103&gt;0,"Completamos datos, claves o motivo. ","")&amp;IF(P103&gt;0,"Cotejamos precios e importe. ","")&amp;IF(Q103&gt;0,"Aclaramos el cero. ","")&amp;IF(R103&gt;0,"Comprobamos el texto. ","")&amp;IF(S103&gt;0,"Revisamos decimales visibles. ","")&amp;IF(T103&gt;0,"Confirmamos la unidad.","")),"Hay una entrada con error. Corregimos el dato antes de cerrar la comprobación.")</f>
      </c>
      <c r="N103" s="29" t="n">
        <f>IF(COUNTA('DATOS'!B103:O103)&gt;0,1,0)</f>
        <v>0</v>
      </c>
      <c r="O103" s="29">
        <f>IFERROR(IF(N103=0,"",IF(OR(NOT(AND(LEN(TRIM('DATOS'!B103&amp;""))&gt;0,TRIM('DATOS'!B103&amp;"")&lt;&gt;"Pendiente",TRIM('DATOS'!B103&amp;"")&lt;&gt;"Por confirmar",TRIM('DATOS'!B103&amp;"")&lt;&gt;"No consta",TRIM('DATOS'!B103&amp;"")&lt;&gt;"Desconocido",TRIM('DATOS'!B103&amp;"")&lt;&gt;"Sin confirmar",TRIM('DATOS'!B103&amp;"")&lt;&gt;"Por decidir",TRIM('DATOS'!B103&amp;"")&lt;&gt;"Por comprobar")),NOT(AND(LEN(TRIM('DATOS'!C103&amp;""))&gt;0,TRIM('DATOS'!C103&amp;"")&lt;&gt;"Pendiente",TRIM('DATOS'!C103&amp;"")&lt;&gt;"Por confirmar",TRIM('DATOS'!C103&amp;"")&lt;&gt;"No consta",TRIM('DATOS'!C103&amp;"")&lt;&gt;"Desconocido",TRIM('DATOS'!C103&amp;"")&lt;&gt;"Sin confirmar",TRIM('DATOS'!C103&amp;"")&lt;&gt;"Por decidir",TRIM('DATOS'!C103&amp;"")&lt;&gt;"Por comprobar")),NOT(AND(LEN(TRIM('DATOS'!D103&amp;""))&gt;0,TRIM('DATOS'!D103&amp;"")&lt;&gt;"Pendiente",TRIM('DATOS'!D103&amp;"")&lt;&gt;"Por confirmar",TRIM('DATOS'!D103&amp;"")&lt;&gt;"No consta",TRIM('DATOS'!D103&amp;"")&lt;&gt;"Desconocido",TRIM('DATOS'!D103&amp;"")&lt;&gt;"Sin confirmar",TRIM('DATOS'!D103&amp;"")&lt;&gt;"Por decidir",TRIM('DATOS'!D103&amp;"")&lt;&gt;"Por comprobar")),NOT(AND(LEN(TRIM('DATOS'!E103&amp;""))&gt;0,TRIM('DATOS'!E103&amp;"")&lt;&gt;"Pendiente",TRIM('DATOS'!E103&amp;"")&lt;&gt;"Por confirmar",TRIM('DATOS'!E103&amp;"")&lt;&gt;"No consta",TRIM('DATOS'!E103&amp;"")&lt;&gt;"Desconocido",TRIM('DATOS'!E103&amp;"")&lt;&gt;"Sin confirmar",TRIM('DATOS'!E103&amp;"")&lt;&gt;"Por decidir",TRIM('DATOS'!E103&amp;"")&lt;&gt;"Por comprobar")),NOT(AND(LEN(TRIM('DATOS'!F103&amp;""))&gt;0,TRIM('DATOS'!F103&amp;"")&lt;&gt;"Pendiente",TRIM('DATOS'!F103&amp;"")&lt;&gt;"Por confirmar",TRIM('DATOS'!F103&amp;"")&lt;&gt;"No consta",TRIM('DATOS'!F103&amp;"")&lt;&gt;"Desconocido",TRIM('DATOS'!F103&amp;"")&lt;&gt;"Sin confirmar",TRIM('DATOS'!F103&amp;"")&lt;&gt;"Por decidir",TRIM('DATOS'!F103&amp;"")&lt;&gt;"Por comprobar")),NOT(AND(LEN(TRIM('DATOS'!N103&amp;""))&gt;0,TRIM('DATOS'!N103&amp;"")&lt;&gt;"Pendiente",TRIM('DATOS'!N103&amp;"")&lt;&gt;"Por confirmar",TRIM('DATOS'!N103&amp;"")&lt;&gt;"No consta",TRIM('DATOS'!N103&amp;"")&lt;&gt;"Desconocido",TRIM('DATOS'!N103&amp;"")&lt;&gt;"Sin confirmar",TRIM('DATOS'!N103&amp;"")&lt;&gt;"Por decidir",TRIM('DATOS'!N103&amp;"")&lt;&gt;"Por comprobar")),NOT(Y103=1),W103&lt;&gt;1,X103&gt;1,NOT(OR(LEN(TRIM('DATOS'!K103&amp;""))=0,'DATOS'!K103="Sin valorar",'DATOS'!K103="Sin coste documentado",'DATOS'!K103="Incluido en otra partida",'DATOS'!K103="Por confirmar")),NOT(OR(LEN(TRIM('DATOS'!M103&amp;""))=0,'DATOS'!M103="Sí",'DATOS'!M103="No",'DATOS'!M103="Por confirmar")),NOT(OR(LEN(TRIM('DATOS'!O103&amp;""))=0,'DATOS'!O103="Comparamos",'DATOS'!O103="No existe",'DATOS'!O103="Por confirmar"))),2,IF(AND(OR('DATOS'!G103&lt;0,'DATOS'!H103&lt;0,'DATOS'!J103&lt;0),NOT(AND(LEN(TRIM('DATOS'!L103&amp;""))&gt;0,TRIM('DATOS'!L103&amp;"")&lt;&gt;"Pendiente",TRIM('DATOS'!L103&amp;"")&lt;&gt;"Por confirmar",TRIM('DATOS'!L103&amp;"")&lt;&gt;"No consta",TRIM('DATOS'!L103&amp;"")&lt;&gt;"Desconocido",TRIM('DATOS'!L103&amp;"")&lt;&gt;"Sin confirmar",TRIM('DATOS'!L103&amp;"")&lt;&gt;"Por decidir",TRIM('DATOS'!L103&amp;"")&lt;&gt;"Por comprobar"))),1,0))),2)</f>
      </c>
      <c r="P103" s="29">
        <f>IFERROR(IF(N103=0,"",IF(NOT(Y103=1),1,IF('REFERENCIAS'!$Q$8&lt;&gt;1,2,IF(ABS('DATOS'!J103-ROUND('DATOS'!G103*'DATOS'!H103,'REFERENCIAS'!$K$8))&gt;0.00000001,2,IF('DATOS'!O103="No existe",IF(LEN(TRIM('DATOS'!I103&amp;""))=0,0,2),IF('DATOS'!O103="Comparamos",IF(LEN(TRIM('DATOS'!I103&amp;""))=0,1,IF(ISNUMBER('DATOS'!I103),IF(ABS('DATOS'!H103-'DATOS'!I103)&gt;0.00000001,2,0),2)),1)))))),2)</f>
      </c>
      <c r="Q103" s="29">
        <f>IFERROR(IF(N103=0,"",IF(NOT(Y103=1),1,IF('DATOS'!K103="Sin valorar",2,IF('DATOS'!G103=0,1,IF(OR('DATOS'!H103=0,'DATOS'!J103=0),IF(AND(OR('DATOS'!K103="Sin coste documentado",'DATOS'!K103="Incluido en otra partida"),AND(LEN(TRIM('DATOS'!L103&amp;""))&gt;0,TRIM('DATOS'!L103&amp;"")&lt;&gt;"Pendiente",TRIM('DATOS'!L103&amp;"")&lt;&gt;"Por confirmar",TRIM('DATOS'!L103&amp;"")&lt;&gt;"No consta",TRIM('DATOS'!L103&amp;"")&lt;&gt;"Desconocido",TRIM('DATOS'!L103&amp;"")&lt;&gt;"Sin confirmar",TRIM('DATOS'!L103&amp;"")&lt;&gt;"Por decidir",TRIM('DATOS'!L103&amp;"")&lt;&gt;"Por comprobar")),0,1),0))))),2)</f>
      </c>
      <c r="R103" s="29">
        <f>IFERROR(IF(N103=0,"",IF(OR(NOT(AND(LEN(TRIM('DATOS'!D103&amp;""))&gt;0,TRIM('DATOS'!D103&amp;"")&lt;&gt;"Pendiente",TRIM('DATOS'!D103&amp;"")&lt;&gt;"Por confirmar",TRIM('DATOS'!D103&amp;"")&lt;&gt;"No consta",TRIM('DATOS'!D103&amp;"")&lt;&gt;"Desconocido",TRIM('DATOS'!D103&amp;"")&lt;&gt;"Sin confirmar",TRIM('DATOS'!D103&amp;"")&lt;&gt;"Por decidir",TRIM('DATOS'!D103&amp;"")&lt;&gt;"Por comprobar")),NOT(AND(LEN(TRIM('DATOS'!E103&amp;""))&gt;0,TRIM('DATOS'!E103&amp;"")&lt;&gt;"Pendiente",TRIM('DATOS'!E103&amp;"")&lt;&gt;"Por confirmar",TRIM('DATOS'!E103&amp;"")&lt;&gt;"No consta",TRIM('DATOS'!E103&amp;"")&lt;&gt;"Desconocido",TRIM('DATOS'!E103&amp;"")&lt;&gt;"Sin confirmar",TRIM('DATOS'!E103&amp;"")&lt;&gt;"Por decidir",TRIM('DATOS'!E103&amp;"")&lt;&gt;"Por comprobar"))),2,IF('DATOS'!M103="No",2,IF('DATOS'!M103="Sí",0,IF(OR('DATOS'!D103&lt;&gt;'DATOS'!E103,LEN('DATOS'!E103)&gt;300,RIGHT(TRIM('DATOS'!E103),3)="...",RIGHT(TRIM('DATOS'!E103),1)="…"),1,0))))),2)</f>
      </c>
      <c r="S103" s="29">
        <f>IFERROR(IF(N103=0,"",IF('REFERENCIAS'!$Q$8&lt;&gt;1,2,IF(NOT(Y103=1),1,IF(OR(ABS('DATOS'!G103-ROUND('DATOS'!G103,'REFERENCIAS'!$E$8))&gt;0.00000001,ABS('DATOS'!H103-ROUND('DATOS'!H103,'REFERENCIAS'!$H$8))&gt;0.00000001,ABS('DATOS'!J103-ROUND('DATOS'!J103,'REFERENCIAS'!$K$8))&gt;0.00000001,IF(ISNUMBER('DATOS'!I103),ABS('DATOS'!I103-ROUND('DATOS'!I103,'REFERENCIAS'!$H$8))&gt;0.00000001,FALSE)),1,0)))),2)</f>
      </c>
      <c r="T103" s="29">
        <f>IFERROR(IF(N103=0,"",IF(NOT(AND(LEN(TRIM('DATOS'!F103&amp;""))&gt;0,TRIM('DATOS'!F103&amp;"")&lt;&gt;"Pendiente",TRIM('DATOS'!F103&amp;"")&lt;&gt;"Por confirmar",TRIM('DATOS'!F103&amp;"")&lt;&gt;"No consta",TRIM('DATOS'!F103&amp;"")&lt;&gt;"Desconocido",TRIM('DATOS'!F103&amp;"")&lt;&gt;"Sin confirmar",TRIM('DATOS'!F103&amp;"")&lt;&gt;"Por decidir",TRIM('DATOS'!F103&amp;"")&lt;&gt;"Por comprobar")),2,IF(COUNTIFS('REFERENCIAS'!$T$15:$T$34,"ID:"&amp;SUBSTITUTE(SUBSTITUTE(SUBSTITUTE(SUBSTITUTE(UPPER(TRIM('DATOS'!F103&amp;"")),"!","!E"),"*","!A"),"?","!B"),"~","!C"),'REFERENCIAS'!$H$15:$H$34,"&lt;&gt;")&gt;0,0,1))),2)</f>
      </c>
      <c r="U103" s="29" t="str">
        <f>'DATOS'!R103</f>
        <v>ID:</v>
      </c>
      <c r="V103" s="29" t="str">
        <f>'DATOS'!S103</f>
        <v>ID:</v>
      </c>
      <c r="W103" s="29" t="n">
        <f>IF(N103=0,0,COUNTIFS('REFERENCIAS'!$R$15:$R$64,U103))</f>
        <v>0</v>
      </c>
      <c r="X103" s="29" t="n">
        <f>IF(N103=0,0,COUNTIFS('DATOS'!$R$10:$R$509,U103,'DATOS'!$S$10:$S$509,V103))</f>
        <v>0</v>
      </c>
      <c r="Y103" s="29" t="n">
        <f>IF(AND(ISNUMBER('DATOS'!G103),ISNUMBER('DATOS'!H103),ISNUMBER('DATOS'!J103)),1,0)</f>
        <v>0</v>
      </c>
    </row>
    <row r="104" ht="64" customHeight="1">
      <c r="B104" s="26">
        <f>IF(N104=1,95,"")</f>
      </c>
      <c r="C104" s="26">
        <f>IF(AND(N104=1,LEN(TRIM('DATOS'!B104&amp;""))&gt;0),'DATOS'!B104,"")</f>
      </c>
      <c r="D104" s="26">
        <f>IF(AND(N104=1,LEN(TRIM('DATOS'!C104&amp;""))&gt;0),'DATOS'!C104,"")</f>
      </c>
      <c r="E104" s="26">
        <f>IF(NOT(ISNUMBER(P104)),"",IF(P104=2,"ROJO",IF(P104=1,"ÁMBAR","VERDE")))</f>
      </c>
      <c r="F104" s="26">
        <f>IF(NOT(ISNUMBER(Q104)),"",IF(Q104=2,"ROJO",IF(Q104=1,"ÁMBAR","VERDE")))</f>
      </c>
      <c r="G104" s="26">
        <f>IF(NOT(ISNUMBER(R104)),"",IF(R104=2,"ROJO",IF(R104=1,"ÁMBAR","VERDE")))</f>
      </c>
      <c r="H104" s="26">
        <f>IF(NOT(ISNUMBER(S104)),"",IF(S104=2,"ROJO",IF(S104=1,"ÁMBAR","VERDE")))</f>
      </c>
      <c r="I104" s="26">
        <f>IF(NOT(ISNUMBER(T104)),"",IF(T104=2,"ROJO",IF(T104=1,"ÁMBAR","VERDE")))</f>
      </c>
      <c r="J104" s="26">
        <f>IF(NOT(ISNUMBER(O104)),"",IF(O104=2,"ROJO",IF(O104=1,"ÁMBAR","VERDE")))</f>
      </c>
      <c r="K104" s="26">
        <f>IFERROR(IF(AND(N104=1,LEN(TRIM('DATOS'!N104&amp;""))&gt;0),'DATOS'!N104,""),"Hay una entrada con error. Corregimos el dato antes de cerrar la comprobación.")</f>
      </c>
      <c r="L104" s="26">
        <f>IFERROR(IF(N104=0,"",IF(O104&gt;0,"Completamos datos, claves o motivo. ","")&amp;IF(P104&gt;0,"Cotejamos precios e importe. ","")&amp;IF(Q104&gt;0,"Aclaramos el cero. ","")&amp;IF(R104&gt;0,"Comprobamos el texto. ","")&amp;IF(S104&gt;0,"Revisamos decimales visibles. ","")&amp;IF(T104&gt;0,"Confirmamos la unidad.","")),"Hay una entrada con error. Corregimos el dato antes de cerrar la comprobación.")</f>
      </c>
      <c r="N104" s="29" t="n">
        <f>IF(COUNTA('DATOS'!B104:O104)&gt;0,1,0)</f>
        <v>0</v>
      </c>
      <c r="O104" s="29">
        <f>IFERROR(IF(N104=0,"",IF(OR(NOT(AND(LEN(TRIM('DATOS'!B104&amp;""))&gt;0,TRIM('DATOS'!B104&amp;"")&lt;&gt;"Pendiente",TRIM('DATOS'!B104&amp;"")&lt;&gt;"Por confirmar",TRIM('DATOS'!B104&amp;"")&lt;&gt;"No consta",TRIM('DATOS'!B104&amp;"")&lt;&gt;"Desconocido",TRIM('DATOS'!B104&amp;"")&lt;&gt;"Sin confirmar",TRIM('DATOS'!B104&amp;"")&lt;&gt;"Por decidir",TRIM('DATOS'!B104&amp;"")&lt;&gt;"Por comprobar")),NOT(AND(LEN(TRIM('DATOS'!C104&amp;""))&gt;0,TRIM('DATOS'!C104&amp;"")&lt;&gt;"Pendiente",TRIM('DATOS'!C104&amp;"")&lt;&gt;"Por confirmar",TRIM('DATOS'!C104&amp;"")&lt;&gt;"No consta",TRIM('DATOS'!C104&amp;"")&lt;&gt;"Desconocido",TRIM('DATOS'!C104&amp;"")&lt;&gt;"Sin confirmar",TRIM('DATOS'!C104&amp;"")&lt;&gt;"Por decidir",TRIM('DATOS'!C104&amp;"")&lt;&gt;"Por comprobar")),NOT(AND(LEN(TRIM('DATOS'!D104&amp;""))&gt;0,TRIM('DATOS'!D104&amp;"")&lt;&gt;"Pendiente",TRIM('DATOS'!D104&amp;"")&lt;&gt;"Por confirmar",TRIM('DATOS'!D104&amp;"")&lt;&gt;"No consta",TRIM('DATOS'!D104&amp;"")&lt;&gt;"Desconocido",TRIM('DATOS'!D104&amp;"")&lt;&gt;"Sin confirmar",TRIM('DATOS'!D104&amp;"")&lt;&gt;"Por decidir",TRIM('DATOS'!D104&amp;"")&lt;&gt;"Por comprobar")),NOT(AND(LEN(TRIM('DATOS'!E104&amp;""))&gt;0,TRIM('DATOS'!E104&amp;"")&lt;&gt;"Pendiente",TRIM('DATOS'!E104&amp;"")&lt;&gt;"Por confirmar",TRIM('DATOS'!E104&amp;"")&lt;&gt;"No consta",TRIM('DATOS'!E104&amp;"")&lt;&gt;"Desconocido",TRIM('DATOS'!E104&amp;"")&lt;&gt;"Sin confirmar",TRIM('DATOS'!E104&amp;"")&lt;&gt;"Por decidir",TRIM('DATOS'!E104&amp;"")&lt;&gt;"Por comprobar")),NOT(AND(LEN(TRIM('DATOS'!F104&amp;""))&gt;0,TRIM('DATOS'!F104&amp;"")&lt;&gt;"Pendiente",TRIM('DATOS'!F104&amp;"")&lt;&gt;"Por confirmar",TRIM('DATOS'!F104&amp;"")&lt;&gt;"No consta",TRIM('DATOS'!F104&amp;"")&lt;&gt;"Desconocido",TRIM('DATOS'!F104&amp;"")&lt;&gt;"Sin confirmar",TRIM('DATOS'!F104&amp;"")&lt;&gt;"Por decidir",TRIM('DATOS'!F104&amp;"")&lt;&gt;"Por comprobar")),NOT(AND(LEN(TRIM('DATOS'!N104&amp;""))&gt;0,TRIM('DATOS'!N104&amp;"")&lt;&gt;"Pendiente",TRIM('DATOS'!N104&amp;"")&lt;&gt;"Por confirmar",TRIM('DATOS'!N104&amp;"")&lt;&gt;"No consta",TRIM('DATOS'!N104&amp;"")&lt;&gt;"Desconocido",TRIM('DATOS'!N104&amp;"")&lt;&gt;"Sin confirmar",TRIM('DATOS'!N104&amp;"")&lt;&gt;"Por decidir",TRIM('DATOS'!N104&amp;"")&lt;&gt;"Por comprobar")),NOT(Y104=1),W104&lt;&gt;1,X104&gt;1,NOT(OR(LEN(TRIM('DATOS'!K104&amp;""))=0,'DATOS'!K104="Sin valorar",'DATOS'!K104="Sin coste documentado",'DATOS'!K104="Incluido en otra partida",'DATOS'!K104="Por confirmar")),NOT(OR(LEN(TRIM('DATOS'!M104&amp;""))=0,'DATOS'!M104="Sí",'DATOS'!M104="No",'DATOS'!M104="Por confirmar")),NOT(OR(LEN(TRIM('DATOS'!O104&amp;""))=0,'DATOS'!O104="Comparamos",'DATOS'!O104="No existe",'DATOS'!O104="Por confirmar"))),2,IF(AND(OR('DATOS'!G104&lt;0,'DATOS'!H104&lt;0,'DATOS'!J104&lt;0),NOT(AND(LEN(TRIM('DATOS'!L104&amp;""))&gt;0,TRIM('DATOS'!L104&amp;"")&lt;&gt;"Pendiente",TRIM('DATOS'!L104&amp;"")&lt;&gt;"Por confirmar",TRIM('DATOS'!L104&amp;"")&lt;&gt;"No consta",TRIM('DATOS'!L104&amp;"")&lt;&gt;"Desconocido",TRIM('DATOS'!L104&amp;"")&lt;&gt;"Sin confirmar",TRIM('DATOS'!L104&amp;"")&lt;&gt;"Por decidir",TRIM('DATOS'!L104&amp;"")&lt;&gt;"Por comprobar"))),1,0))),2)</f>
      </c>
      <c r="P104" s="29">
        <f>IFERROR(IF(N104=0,"",IF(NOT(Y104=1),1,IF('REFERENCIAS'!$Q$8&lt;&gt;1,2,IF(ABS('DATOS'!J104-ROUND('DATOS'!G104*'DATOS'!H104,'REFERENCIAS'!$K$8))&gt;0.00000001,2,IF('DATOS'!O104="No existe",IF(LEN(TRIM('DATOS'!I104&amp;""))=0,0,2),IF('DATOS'!O104="Comparamos",IF(LEN(TRIM('DATOS'!I104&amp;""))=0,1,IF(ISNUMBER('DATOS'!I104),IF(ABS('DATOS'!H104-'DATOS'!I104)&gt;0.00000001,2,0),2)),1)))))),2)</f>
      </c>
      <c r="Q104" s="29">
        <f>IFERROR(IF(N104=0,"",IF(NOT(Y104=1),1,IF('DATOS'!K104="Sin valorar",2,IF('DATOS'!G104=0,1,IF(OR('DATOS'!H104=0,'DATOS'!J104=0),IF(AND(OR('DATOS'!K104="Sin coste documentado",'DATOS'!K104="Incluido en otra partida"),AND(LEN(TRIM('DATOS'!L104&amp;""))&gt;0,TRIM('DATOS'!L104&amp;"")&lt;&gt;"Pendiente",TRIM('DATOS'!L104&amp;"")&lt;&gt;"Por confirmar",TRIM('DATOS'!L104&amp;"")&lt;&gt;"No consta",TRIM('DATOS'!L104&amp;"")&lt;&gt;"Desconocido",TRIM('DATOS'!L104&amp;"")&lt;&gt;"Sin confirmar",TRIM('DATOS'!L104&amp;"")&lt;&gt;"Por decidir",TRIM('DATOS'!L104&amp;"")&lt;&gt;"Por comprobar")),0,1),0))))),2)</f>
      </c>
      <c r="R104" s="29">
        <f>IFERROR(IF(N104=0,"",IF(OR(NOT(AND(LEN(TRIM('DATOS'!D104&amp;""))&gt;0,TRIM('DATOS'!D104&amp;"")&lt;&gt;"Pendiente",TRIM('DATOS'!D104&amp;"")&lt;&gt;"Por confirmar",TRIM('DATOS'!D104&amp;"")&lt;&gt;"No consta",TRIM('DATOS'!D104&amp;"")&lt;&gt;"Desconocido",TRIM('DATOS'!D104&amp;"")&lt;&gt;"Sin confirmar",TRIM('DATOS'!D104&amp;"")&lt;&gt;"Por decidir",TRIM('DATOS'!D104&amp;"")&lt;&gt;"Por comprobar")),NOT(AND(LEN(TRIM('DATOS'!E104&amp;""))&gt;0,TRIM('DATOS'!E104&amp;"")&lt;&gt;"Pendiente",TRIM('DATOS'!E104&amp;"")&lt;&gt;"Por confirmar",TRIM('DATOS'!E104&amp;"")&lt;&gt;"No consta",TRIM('DATOS'!E104&amp;"")&lt;&gt;"Desconocido",TRIM('DATOS'!E104&amp;"")&lt;&gt;"Sin confirmar",TRIM('DATOS'!E104&amp;"")&lt;&gt;"Por decidir",TRIM('DATOS'!E104&amp;"")&lt;&gt;"Por comprobar"))),2,IF('DATOS'!M104="No",2,IF('DATOS'!M104="Sí",0,IF(OR('DATOS'!D104&lt;&gt;'DATOS'!E104,LEN('DATOS'!E104)&gt;300,RIGHT(TRIM('DATOS'!E104),3)="...",RIGHT(TRIM('DATOS'!E104),1)="…"),1,0))))),2)</f>
      </c>
      <c r="S104" s="29">
        <f>IFERROR(IF(N104=0,"",IF('REFERENCIAS'!$Q$8&lt;&gt;1,2,IF(NOT(Y104=1),1,IF(OR(ABS('DATOS'!G104-ROUND('DATOS'!G104,'REFERENCIAS'!$E$8))&gt;0.00000001,ABS('DATOS'!H104-ROUND('DATOS'!H104,'REFERENCIAS'!$H$8))&gt;0.00000001,ABS('DATOS'!J104-ROUND('DATOS'!J104,'REFERENCIAS'!$K$8))&gt;0.00000001,IF(ISNUMBER('DATOS'!I104),ABS('DATOS'!I104-ROUND('DATOS'!I104,'REFERENCIAS'!$H$8))&gt;0.00000001,FALSE)),1,0)))),2)</f>
      </c>
      <c r="T104" s="29">
        <f>IFERROR(IF(N104=0,"",IF(NOT(AND(LEN(TRIM('DATOS'!F104&amp;""))&gt;0,TRIM('DATOS'!F104&amp;"")&lt;&gt;"Pendiente",TRIM('DATOS'!F104&amp;"")&lt;&gt;"Por confirmar",TRIM('DATOS'!F104&amp;"")&lt;&gt;"No consta",TRIM('DATOS'!F104&amp;"")&lt;&gt;"Desconocido",TRIM('DATOS'!F104&amp;"")&lt;&gt;"Sin confirmar",TRIM('DATOS'!F104&amp;"")&lt;&gt;"Por decidir",TRIM('DATOS'!F104&amp;"")&lt;&gt;"Por comprobar")),2,IF(COUNTIFS('REFERENCIAS'!$T$15:$T$34,"ID:"&amp;SUBSTITUTE(SUBSTITUTE(SUBSTITUTE(SUBSTITUTE(UPPER(TRIM('DATOS'!F104&amp;"")),"!","!E"),"*","!A"),"?","!B"),"~","!C"),'REFERENCIAS'!$H$15:$H$34,"&lt;&gt;")&gt;0,0,1))),2)</f>
      </c>
      <c r="U104" s="29" t="str">
        <f>'DATOS'!R104</f>
        <v>ID:</v>
      </c>
      <c r="V104" s="29" t="str">
        <f>'DATOS'!S104</f>
        <v>ID:</v>
      </c>
      <c r="W104" s="29" t="n">
        <f>IF(N104=0,0,COUNTIFS('REFERENCIAS'!$R$15:$R$64,U104))</f>
        <v>0</v>
      </c>
      <c r="X104" s="29" t="n">
        <f>IF(N104=0,0,COUNTIFS('DATOS'!$R$10:$R$509,U104,'DATOS'!$S$10:$S$509,V104))</f>
        <v>0</v>
      </c>
      <c r="Y104" s="29" t="n">
        <f>IF(AND(ISNUMBER('DATOS'!G104),ISNUMBER('DATOS'!H104),ISNUMBER('DATOS'!J104)),1,0)</f>
        <v>0</v>
      </c>
    </row>
    <row r="105" ht="64" customHeight="1">
      <c r="B105" s="26">
        <f>IF(N105=1,96,"")</f>
      </c>
      <c r="C105" s="26">
        <f>IF(AND(N105=1,LEN(TRIM('DATOS'!B105&amp;""))&gt;0),'DATOS'!B105,"")</f>
      </c>
      <c r="D105" s="26">
        <f>IF(AND(N105=1,LEN(TRIM('DATOS'!C105&amp;""))&gt;0),'DATOS'!C105,"")</f>
      </c>
      <c r="E105" s="26">
        <f>IF(NOT(ISNUMBER(P105)),"",IF(P105=2,"ROJO",IF(P105=1,"ÁMBAR","VERDE")))</f>
      </c>
      <c r="F105" s="26">
        <f>IF(NOT(ISNUMBER(Q105)),"",IF(Q105=2,"ROJO",IF(Q105=1,"ÁMBAR","VERDE")))</f>
      </c>
      <c r="G105" s="26">
        <f>IF(NOT(ISNUMBER(R105)),"",IF(R105=2,"ROJO",IF(R105=1,"ÁMBAR","VERDE")))</f>
      </c>
      <c r="H105" s="26">
        <f>IF(NOT(ISNUMBER(S105)),"",IF(S105=2,"ROJO",IF(S105=1,"ÁMBAR","VERDE")))</f>
      </c>
      <c r="I105" s="26">
        <f>IF(NOT(ISNUMBER(T105)),"",IF(T105=2,"ROJO",IF(T105=1,"ÁMBAR","VERDE")))</f>
      </c>
      <c r="J105" s="26">
        <f>IF(NOT(ISNUMBER(O105)),"",IF(O105=2,"ROJO",IF(O105=1,"ÁMBAR","VERDE")))</f>
      </c>
      <c r="K105" s="26">
        <f>IFERROR(IF(AND(N105=1,LEN(TRIM('DATOS'!N105&amp;""))&gt;0),'DATOS'!N105,""),"Hay una entrada con error. Corregimos el dato antes de cerrar la comprobación.")</f>
      </c>
      <c r="L105" s="26">
        <f>IFERROR(IF(N105=0,"",IF(O105&gt;0,"Completamos datos, claves o motivo. ","")&amp;IF(P105&gt;0,"Cotejamos precios e importe. ","")&amp;IF(Q105&gt;0,"Aclaramos el cero. ","")&amp;IF(R105&gt;0,"Comprobamos el texto. ","")&amp;IF(S105&gt;0,"Revisamos decimales visibles. ","")&amp;IF(T105&gt;0,"Confirmamos la unidad.","")),"Hay una entrada con error. Corregimos el dato antes de cerrar la comprobación.")</f>
      </c>
      <c r="N105" s="29" t="n">
        <f>IF(COUNTA('DATOS'!B105:O105)&gt;0,1,0)</f>
        <v>0</v>
      </c>
      <c r="O105" s="29">
        <f>IFERROR(IF(N105=0,"",IF(OR(NOT(AND(LEN(TRIM('DATOS'!B105&amp;""))&gt;0,TRIM('DATOS'!B105&amp;"")&lt;&gt;"Pendiente",TRIM('DATOS'!B105&amp;"")&lt;&gt;"Por confirmar",TRIM('DATOS'!B105&amp;"")&lt;&gt;"No consta",TRIM('DATOS'!B105&amp;"")&lt;&gt;"Desconocido",TRIM('DATOS'!B105&amp;"")&lt;&gt;"Sin confirmar",TRIM('DATOS'!B105&amp;"")&lt;&gt;"Por decidir",TRIM('DATOS'!B105&amp;"")&lt;&gt;"Por comprobar")),NOT(AND(LEN(TRIM('DATOS'!C105&amp;""))&gt;0,TRIM('DATOS'!C105&amp;"")&lt;&gt;"Pendiente",TRIM('DATOS'!C105&amp;"")&lt;&gt;"Por confirmar",TRIM('DATOS'!C105&amp;"")&lt;&gt;"No consta",TRIM('DATOS'!C105&amp;"")&lt;&gt;"Desconocido",TRIM('DATOS'!C105&amp;"")&lt;&gt;"Sin confirmar",TRIM('DATOS'!C105&amp;"")&lt;&gt;"Por decidir",TRIM('DATOS'!C105&amp;"")&lt;&gt;"Por comprobar")),NOT(AND(LEN(TRIM('DATOS'!D105&amp;""))&gt;0,TRIM('DATOS'!D105&amp;"")&lt;&gt;"Pendiente",TRIM('DATOS'!D105&amp;"")&lt;&gt;"Por confirmar",TRIM('DATOS'!D105&amp;"")&lt;&gt;"No consta",TRIM('DATOS'!D105&amp;"")&lt;&gt;"Desconocido",TRIM('DATOS'!D105&amp;"")&lt;&gt;"Sin confirmar",TRIM('DATOS'!D105&amp;"")&lt;&gt;"Por decidir",TRIM('DATOS'!D105&amp;"")&lt;&gt;"Por comprobar")),NOT(AND(LEN(TRIM('DATOS'!E105&amp;""))&gt;0,TRIM('DATOS'!E105&amp;"")&lt;&gt;"Pendiente",TRIM('DATOS'!E105&amp;"")&lt;&gt;"Por confirmar",TRIM('DATOS'!E105&amp;"")&lt;&gt;"No consta",TRIM('DATOS'!E105&amp;"")&lt;&gt;"Desconocido",TRIM('DATOS'!E105&amp;"")&lt;&gt;"Sin confirmar",TRIM('DATOS'!E105&amp;"")&lt;&gt;"Por decidir",TRIM('DATOS'!E105&amp;"")&lt;&gt;"Por comprobar")),NOT(AND(LEN(TRIM('DATOS'!F105&amp;""))&gt;0,TRIM('DATOS'!F105&amp;"")&lt;&gt;"Pendiente",TRIM('DATOS'!F105&amp;"")&lt;&gt;"Por confirmar",TRIM('DATOS'!F105&amp;"")&lt;&gt;"No consta",TRIM('DATOS'!F105&amp;"")&lt;&gt;"Desconocido",TRIM('DATOS'!F105&amp;"")&lt;&gt;"Sin confirmar",TRIM('DATOS'!F105&amp;"")&lt;&gt;"Por decidir",TRIM('DATOS'!F105&amp;"")&lt;&gt;"Por comprobar")),NOT(AND(LEN(TRIM('DATOS'!N105&amp;""))&gt;0,TRIM('DATOS'!N105&amp;"")&lt;&gt;"Pendiente",TRIM('DATOS'!N105&amp;"")&lt;&gt;"Por confirmar",TRIM('DATOS'!N105&amp;"")&lt;&gt;"No consta",TRIM('DATOS'!N105&amp;"")&lt;&gt;"Desconocido",TRIM('DATOS'!N105&amp;"")&lt;&gt;"Sin confirmar",TRIM('DATOS'!N105&amp;"")&lt;&gt;"Por decidir",TRIM('DATOS'!N105&amp;"")&lt;&gt;"Por comprobar")),NOT(Y105=1),W105&lt;&gt;1,X105&gt;1,NOT(OR(LEN(TRIM('DATOS'!K105&amp;""))=0,'DATOS'!K105="Sin valorar",'DATOS'!K105="Sin coste documentado",'DATOS'!K105="Incluido en otra partida",'DATOS'!K105="Por confirmar")),NOT(OR(LEN(TRIM('DATOS'!M105&amp;""))=0,'DATOS'!M105="Sí",'DATOS'!M105="No",'DATOS'!M105="Por confirmar")),NOT(OR(LEN(TRIM('DATOS'!O105&amp;""))=0,'DATOS'!O105="Comparamos",'DATOS'!O105="No existe",'DATOS'!O105="Por confirmar"))),2,IF(AND(OR('DATOS'!G105&lt;0,'DATOS'!H105&lt;0,'DATOS'!J105&lt;0),NOT(AND(LEN(TRIM('DATOS'!L105&amp;""))&gt;0,TRIM('DATOS'!L105&amp;"")&lt;&gt;"Pendiente",TRIM('DATOS'!L105&amp;"")&lt;&gt;"Por confirmar",TRIM('DATOS'!L105&amp;"")&lt;&gt;"No consta",TRIM('DATOS'!L105&amp;"")&lt;&gt;"Desconocido",TRIM('DATOS'!L105&amp;"")&lt;&gt;"Sin confirmar",TRIM('DATOS'!L105&amp;"")&lt;&gt;"Por decidir",TRIM('DATOS'!L105&amp;"")&lt;&gt;"Por comprobar"))),1,0))),2)</f>
      </c>
      <c r="P105" s="29">
        <f>IFERROR(IF(N105=0,"",IF(NOT(Y105=1),1,IF('REFERENCIAS'!$Q$8&lt;&gt;1,2,IF(ABS('DATOS'!J105-ROUND('DATOS'!G105*'DATOS'!H105,'REFERENCIAS'!$K$8))&gt;0.00000001,2,IF('DATOS'!O105="No existe",IF(LEN(TRIM('DATOS'!I105&amp;""))=0,0,2),IF('DATOS'!O105="Comparamos",IF(LEN(TRIM('DATOS'!I105&amp;""))=0,1,IF(ISNUMBER('DATOS'!I105),IF(ABS('DATOS'!H105-'DATOS'!I105)&gt;0.00000001,2,0),2)),1)))))),2)</f>
      </c>
      <c r="Q105" s="29">
        <f>IFERROR(IF(N105=0,"",IF(NOT(Y105=1),1,IF('DATOS'!K105="Sin valorar",2,IF('DATOS'!G105=0,1,IF(OR('DATOS'!H105=0,'DATOS'!J105=0),IF(AND(OR('DATOS'!K105="Sin coste documentado",'DATOS'!K105="Incluido en otra partida"),AND(LEN(TRIM('DATOS'!L105&amp;""))&gt;0,TRIM('DATOS'!L105&amp;"")&lt;&gt;"Pendiente",TRIM('DATOS'!L105&amp;"")&lt;&gt;"Por confirmar",TRIM('DATOS'!L105&amp;"")&lt;&gt;"No consta",TRIM('DATOS'!L105&amp;"")&lt;&gt;"Desconocido",TRIM('DATOS'!L105&amp;"")&lt;&gt;"Sin confirmar",TRIM('DATOS'!L105&amp;"")&lt;&gt;"Por decidir",TRIM('DATOS'!L105&amp;"")&lt;&gt;"Por comprobar")),0,1),0))))),2)</f>
      </c>
      <c r="R105" s="29">
        <f>IFERROR(IF(N105=0,"",IF(OR(NOT(AND(LEN(TRIM('DATOS'!D105&amp;""))&gt;0,TRIM('DATOS'!D105&amp;"")&lt;&gt;"Pendiente",TRIM('DATOS'!D105&amp;"")&lt;&gt;"Por confirmar",TRIM('DATOS'!D105&amp;"")&lt;&gt;"No consta",TRIM('DATOS'!D105&amp;"")&lt;&gt;"Desconocido",TRIM('DATOS'!D105&amp;"")&lt;&gt;"Sin confirmar",TRIM('DATOS'!D105&amp;"")&lt;&gt;"Por decidir",TRIM('DATOS'!D105&amp;"")&lt;&gt;"Por comprobar")),NOT(AND(LEN(TRIM('DATOS'!E105&amp;""))&gt;0,TRIM('DATOS'!E105&amp;"")&lt;&gt;"Pendiente",TRIM('DATOS'!E105&amp;"")&lt;&gt;"Por confirmar",TRIM('DATOS'!E105&amp;"")&lt;&gt;"No consta",TRIM('DATOS'!E105&amp;"")&lt;&gt;"Desconocido",TRIM('DATOS'!E105&amp;"")&lt;&gt;"Sin confirmar",TRIM('DATOS'!E105&amp;"")&lt;&gt;"Por decidir",TRIM('DATOS'!E105&amp;"")&lt;&gt;"Por comprobar"))),2,IF('DATOS'!M105="No",2,IF('DATOS'!M105="Sí",0,IF(OR('DATOS'!D105&lt;&gt;'DATOS'!E105,LEN('DATOS'!E105)&gt;300,RIGHT(TRIM('DATOS'!E105),3)="...",RIGHT(TRIM('DATOS'!E105),1)="…"),1,0))))),2)</f>
      </c>
      <c r="S105" s="29">
        <f>IFERROR(IF(N105=0,"",IF('REFERENCIAS'!$Q$8&lt;&gt;1,2,IF(NOT(Y105=1),1,IF(OR(ABS('DATOS'!G105-ROUND('DATOS'!G105,'REFERENCIAS'!$E$8))&gt;0.00000001,ABS('DATOS'!H105-ROUND('DATOS'!H105,'REFERENCIAS'!$H$8))&gt;0.00000001,ABS('DATOS'!J105-ROUND('DATOS'!J105,'REFERENCIAS'!$K$8))&gt;0.00000001,IF(ISNUMBER('DATOS'!I105),ABS('DATOS'!I105-ROUND('DATOS'!I105,'REFERENCIAS'!$H$8))&gt;0.00000001,FALSE)),1,0)))),2)</f>
      </c>
      <c r="T105" s="29">
        <f>IFERROR(IF(N105=0,"",IF(NOT(AND(LEN(TRIM('DATOS'!F105&amp;""))&gt;0,TRIM('DATOS'!F105&amp;"")&lt;&gt;"Pendiente",TRIM('DATOS'!F105&amp;"")&lt;&gt;"Por confirmar",TRIM('DATOS'!F105&amp;"")&lt;&gt;"No consta",TRIM('DATOS'!F105&amp;"")&lt;&gt;"Desconocido",TRIM('DATOS'!F105&amp;"")&lt;&gt;"Sin confirmar",TRIM('DATOS'!F105&amp;"")&lt;&gt;"Por decidir",TRIM('DATOS'!F105&amp;"")&lt;&gt;"Por comprobar")),2,IF(COUNTIFS('REFERENCIAS'!$T$15:$T$34,"ID:"&amp;SUBSTITUTE(SUBSTITUTE(SUBSTITUTE(SUBSTITUTE(UPPER(TRIM('DATOS'!F105&amp;"")),"!","!E"),"*","!A"),"?","!B"),"~","!C"),'REFERENCIAS'!$H$15:$H$34,"&lt;&gt;")&gt;0,0,1))),2)</f>
      </c>
      <c r="U105" s="29" t="str">
        <f>'DATOS'!R105</f>
        <v>ID:</v>
      </c>
      <c r="V105" s="29" t="str">
        <f>'DATOS'!S105</f>
        <v>ID:</v>
      </c>
      <c r="W105" s="29" t="n">
        <f>IF(N105=0,0,COUNTIFS('REFERENCIAS'!$R$15:$R$64,U105))</f>
        <v>0</v>
      </c>
      <c r="X105" s="29" t="n">
        <f>IF(N105=0,0,COUNTIFS('DATOS'!$R$10:$R$509,U105,'DATOS'!$S$10:$S$509,V105))</f>
        <v>0</v>
      </c>
      <c r="Y105" s="29" t="n">
        <f>IF(AND(ISNUMBER('DATOS'!G105),ISNUMBER('DATOS'!H105),ISNUMBER('DATOS'!J105)),1,0)</f>
        <v>0</v>
      </c>
    </row>
    <row r="106" ht="64" customHeight="1">
      <c r="B106" s="26">
        <f>IF(N106=1,97,"")</f>
      </c>
      <c r="C106" s="26">
        <f>IF(AND(N106=1,LEN(TRIM('DATOS'!B106&amp;""))&gt;0),'DATOS'!B106,"")</f>
      </c>
      <c r="D106" s="26">
        <f>IF(AND(N106=1,LEN(TRIM('DATOS'!C106&amp;""))&gt;0),'DATOS'!C106,"")</f>
      </c>
      <c r="E106" s="26">
        <f>IF(NOT(ISNUMBER(P106)),"",IF(P106=2,"ROJO",IF(P106=1,"ÁMBAR","VERDE")))</f>
      </c>
      <c r="F106" s="26">
        <f>IF(NOT(ISNUMBER(Q106)),"",IF(Q106=2,"ROJO",IF(Q106=1,"ÁMBAR","VERDE")))</f>
      </c>
      <c r="G106" s="26">
        <f>IF(NOT(ISNUMBER(R106)),"",IF(R106=2,"ROJO",IF(R106=1,"ÁMBAR","VERDE")))</f>
      </c>
      <c r="H106" s="26">
        <f>IF(NOT(ISNUMBER(S106)),"",IF(S106=2,"ROJO",IF(S106=1,"ÁMBAR","VERDE")))</f>
      </c>
      <c r="I106" s="26">
        <f>IF(NOT(ISNUMBER(T106)),"",IF(T106=2,"ROJO",IF(T106=1,"ÁMBAR","VERDE")))</f>
      </c>
      <c r="J106" s="26">
        <f>IF(NOT(ISNUMBER(O106)),"",IF(O106=2,"ROJO",IF(O106=1,"ÁMBAR","VERDE")))</f>
      </c>
      <c r="K106" s="26">
        <f>IFERROR(IF(AND(N106=1,LEN(TRIM('DATOS'!N106&amp;""))&gt;0),'DATOS'!N106,""),"Hay una entrada con error. Corregimos el dato antes de cerrar la comprobación.")</f>
      </c>
      <c r="L106" s="26">
        <f>IFERROR(IF(N106=0,"",IF(O106&gt;0,"Completamos datos, claves o motivo. ","")&amp;IF(P106&gt;0,"Cotejamos precios e importe. ","")&amp;IF(Q106&gt;0,"Aclaramos el cero. ","")&amp;IF(R106&gt;0,"Comprobamos el texto. ","")&amp;IF(S106&gt;0,"Revisamos decimales visibles. ","")&amp;IF(T106&gt;0,"Confirmamos la unidad.","")),"Hay una entrada con error. Corregimos el dato antes de cerrar la comprobación.")</f>
      </c>
      <c r="N106" s="29" t="n">
        <f>IF(COUNTA('DATOS'!B106:O106)&gt;0,1,0)</f>
        <v>0</v>
      </c>
      <c r="O106" s="29">
        <f>IFERROR(IF(N106=0,"",IF(OR(NOT(AND(LEN(TRIM('DATOS'!B106&amp;""))&gt;0,TRIM('DATOS'!B106&amp;"")&lt;&gt;"Pendiente",TRIM('DATOS'!B106&amp;"")&lt;&gt;"Por confirmar",TRIM('DATOS'!B106&amp;"")&lt;&gt;"No consta",TRIM('DATOS'!B106&amp;"")&lt;&gt;"Desconocido",TRIM('DATOS'!B106&amp;"")&lt;&gt;"Sin confirmar",TRIM('DATOS'!B106&amp;"")&lt;&gt;"Por decidir",TRIM('DATOS'!B106&amp;"")&lt;&gt;"Por comprobar")),NOT(AND(LEN(TRIM('DATOS'!C106&amp;""))&gt;0,TRIM('DATOS'!C106&amp;"")&lt;&gt;"Pendiente",TRIM('DATOS'!C106&amp;"")&lt;&gt;"Por confirmar",TRIM('DATOS'!C106&amp;"")&lt;&gt;"No consta",TRIM('DATOS'!C106&amp;"")&lt;&gt;"Desconocido",TRIM('DATOS'!C106&amp;"")&lt;&gt;"Sin confirmar",TRIM('DATOS'!C106&amp;"")&lt;&gt;"Por decidir",TRIM('DATOS'!C106&amp;"")&lt;&gt;"Por comprobar")),NOT(AND(LEN(TRIM('DATOS'!D106&amp;""))&gt;0,TRIM('DATOS'!D106&amp;"")&lt;&gt;"Pendiente",TRIM('DATOS'!D106&amp;"")&lt;&gt;"Por confirmar",TRIM('DATOS'!D106&amp;"")&lt;&gt;"No consta",TRIM('DATOS'!D106&amp;"")&lt;&gt;"Desconocido",TRIM('DATOS'!D106&amp;"")&lt;&gt;"Sin confirmar",TRIM('DATOS'!D106&amp;"")&lt;&gt;"Por decidir",TRIM('DATOS'!D106&amp;"")&lt;&gt;"Por comprobar")),NOT(AND(LEN(TRIM('DATOS'!E106&amp;""))&gt;0,TRIM('DATOS'!E106&amp;"")&lt;&gt;"Pendiente",TRIM('DATOS'!E106&amp;"")&lt;&gt;"Por confirmar",TRIM('DATOS'!E106&amp;"")&lt;&gt;"No consta",TRIM('DATOS'!E106&amp;"")&lt;&gt;"Desconocido",TRIM('DATOS'!E106&amp;"")&lt;&gt;"Sin confirmar",TRIM('DATOS'!E106&amp;"")&lt;&gt;"Por decidir",TRIM('DATOS'!E106&amp;"")&lt;&gt;"Por comprobar")),NOT(AND(LEN(TRIM('DATOS'!F106&amp;""))&gt;0,TRIM('DATOS'!F106&amp;"")&lt;&gt;"Pendiente",TRIM('DATOS'!F106&amp;"")&lt;&gt;"Por confirmar",TRIM('DATOS'!F106&amp;"")&lt;&gt;"No consta",TRIM('DATOS'!F106&amp;"")&lt;&gt;"Desconocido",TRIM('DATOS'!F106&amp;"")&lt;&gt;"Sin confirmar",TRIM('DATOS'!F106&amp;"")&lt;&gt;"Por decidir",TRIM('DATOS'!F106&amp;"")&lt;&gt;"Por comprobar")),NOT(AND(LEN(TRIM('DATOS'!N106&amp;""))&gt;0,TRIM('DATOS'!N106&amp;"")&lt;&gt;"Pendiente",TRIM('DATOS'!N106&amp;"")&lt;&gt;"Por confirmar",TRIM('DATOS'!N106&amp;"")&lt;&gt;"No consta",TRIM('DATOS'!N106&amp;"")&lt;&gt;"Desconocido",TRIM('DATOS'!N106&amp;"")&lt;&gt;"Sin confirmar",TRIM('DATOS'!N106&amp;"")&lt;&gt;"Por decidir",TRIM('DATOS'!N106&amp;"")&lt;&gt;"Por comprobar")),NOT(Y106=1),W106&lt;&gt;1,X106&gt;1,NOT(OR(LEN(TRIM('DATOS'!K106&amp;""))=0,'DATOS'!K106="Sin valorar",'DATOS'!K106="Sin coste documentado",'DATOS'!K106="Incluido en otra partida",'DATOS'!K106="Por confirmar")),NOT(OR(LEN(TRIM('DATOS'!M106&amp;""))=0,'DATOS'!M106="Sí",'DATOS'!M106="No",'DATOS'!M106="Por confirmar")),NOT(OR(LEN(TRIM('DATOS'!O106&amp;""))=0,'DATOS'!O106="Comparamos",'DATOS'!O106="No existe",'DATOS'!O106="Por confirmar"))),2,IF(AND(OR('DATOS'!G106&lt;0,'DATOS'!H106&lt;0,'DATOS'!J106&lt;0),NOT(AND(LEN(TRIM('DATOS'!L106&amp;""))&gt;0,TRIM('DATOS'!L106&amp;"")&lt;&gt;"Pendiente",TRIM('DATOS'!L106&amp;"")&lt;&gt;"Por confirmar",TRIM('DATOS'!L106&amp;"")&lt;&gt;"No consta",TRIM('DATOS'!L106&amp;"")&lt;&gt;"Desconocido",TRIM('DATOS'!L106&amp;"")&lt;&gt;"Sin confirmar",TRIM('DATOS'!L106&amp;"")&lt;&gt;"Por decidir",TRIM('DATOS'!L106&amp;"")&lt;&gt;"Por comprobar"))),1,0))),2)</f>
      </c>
      <c r="P106" s="29">
        <f>IFERROR(IF(N106=0,"",IF(NOT(Y106=1),1,IF('REFERENCIAS'!$Q$8&lt;&gt;1,2,IF(ABS('DATOS'!J106-ROUND('DATOS'!G106*'DATOS'!H106,'REFERENCIAS'!$K$8))&gt;0.00000001,2,IF('DATOS'!O106="No existe",IF(LEN(TRIM('DATOS'!I106&amp;""))=0,0,2),IF('DATOS'!O106="Comparamos",IF(LEN(TRIM('DATOS'!I106&amp;""))=0,1,IF(ISNUMBER('DATOS'!I106),IF(ABS('DATOS'!H106-'DATOS'!I106)&gt;0.00000001,2,0),2)),1)))))),2)</f>
      </c>
      <c r="Q106" s="29">
        <f>IFERROR(IF(N106=0,"",IF(NOT(Y106=1),1,IF('DATOS'!K106="Sin valorar",2,IF('DATOS'!G106=0,1,IF(OR('DATOS'!H106=0,'DATOS'!J106=0),IF(AND(OR('DATOS'!K106="Sin coste documentado",'DATOS'!K106="Incluido en otra partida"),AND(LEN(TRIM('DATOS'!L106&amp;""))&gt;0,TRIM('DATOS'!L106&amp;"")&lt;&gt;"Pendiente",TRIM('DATOS'!L106&amp;"")&lt;&gt;"Por confirmar",TRIM('DATOS'!L106&amp;"")&lt;&gt;"No consta",TRIM('DATOS'!L106&amp;"")&lt;&gt;"Desconocido",TRIM('DATOS'!L106&amp;"")&lt;&gt;"Sin confirmar",TRIM('DATOS'!L106&amp;"")&lt;&gt;"Por decidir",TRIM('DATOS'!L106&amp;"")&lt;&gt;"Por comprobar")),0,1),0))))),2)</f>
      </c>
      <c r="R106" s="29">
        <f>IFERROR(IF(N106=0,"",IF(OR(NOT(AND(LEN(TRIM('DATOS'!D106&amp;""))&gt;0,TRIM('DATOS'!D106&amp;"")&lt;&gt;"Pendiente",TRIM('DATOS'!D106&amp;"")&lt;&gt;"Por confirmar",TRIM('DATOS'!D106&amp;"")&lt;&gt;"No consta",TRIM('DATOS'!D106&amp;"")&lt;&gt;"Desconocido",TRIM('DATOS'!D106&amp;"")&lt;&gt;"Sin confirmar",TRIM('DATOS'!D106&amp;"")&lt;&gt;"Por decidir",TRIM('DATOS'!D106&amp;"")&lt;&gt;"Por comprobar")),NOT(AND(LEN(TRIM('DATOS'!E106&amp;""))&gt;0,TRIM('DATOS'!E106&amp;"")&lt;&gt;"Pendiente",TRIM('DATOS'!E106&amp;"")&lt;&gt;"Por confirmar",TRIM('DATOS'!E106&amp;"")&lt;&gt;"No consta",TRIM('DATOS'!E106&amp;"")&lt;&gt;"Desconocido",TRIM('DATOS'!E106&amp;"")&lt;&gt;"Sin confirmar",TRIM('DATOS'!E106&amp;"")&lt;&gt;"Por decidir",TRIM('DATOS'!E106&amp;"")&lt;&gt;"Por comprobar"))),2,IF('DATOS'!M106="No",2,IF('DATOS'!M106="Sí",0,IF(OR('DATOS'!D106&lt;&gt;'DATOS'!E106,LEN('DATOS'!E106)&gt;300,RIGHT(TRIM('DATOS'!E106),3)="...",RIGHT(TRIM('DATOS'!E106),1)="…"),1,0))))),2)</f>
      </c>
      <c r="S106" s="29">
        <f>IFERROR(IF(N106=0,"",IF('REFERENCIAS'!$Q$8&lt;&gt;1,2,IF(NOT(Y106=1),1,IF(OR(ABS('DATOS'!G106-ROUND('DATOS'!G106,'REFERENCIAS'!$E$8))&gt;0.00000001,ABS('DATOS'!H106-ROUND('DATOS'!H106,'REFERENCIAS'!$H$8))&gt;0.00000001,ABS('DATOS'!J106-ROUND('DATOS'!J106,'REFERENCIAS'!$K$8))&gt;0.00000001,IF(ISNUMBER('DATOS'!I106),ABS('DATOS'!I106-ROUND('DATOS'!I106,'REFERENCIAS'!$H$8))&gt;0.00000001,FALSE)),1,0)))),2)</f>
      </c>
      <c r="T106" s="29">
        <f>IFERROR(IF(N106=0,"",IF(NOT(AND(LEN(TRIM('DATOS'!F106&amp;""))&gt;0,TRIM('DATOS'!F106&amp;"")&lt;&gt;"Pendiente",TRIM('DATOS'!F106&amp;"")&lt;&gt;"Por confirmar",TRIM('DATOS'!F106&amp;"")&lt;&gt;"No consta",TRIM('DATOS'!F106&amp;"")&lt;&gt;"Desconocido",TRIM('DATOS'!F106&amp;"")&lt;&gt;"Sin confirmar",TRIM('DATOS'!F106&amp;"")&lt;&gt;"Por decidir",TRIM('DATOS'!F106&amp;"")&lt;&gt;"Por comprobar")),2,IF(COUNTIFS('REFERENCIAS'!$T$15:$T$34,"ID:"&amp;SUBSTITUTE(SUBSTITUTE(SUBSTITUTE(SUBSTITUTE(UPPER(TRIM('DATOS'!F106&amp;"")),"!","!E"),"*","!A"),"?","!B"),"~","!C"),'REFERENCIAS'!$H$15:$H$34,"&lt;&gt;")&gt;0,0,1))),2)</f>
      </c>
      <c r="U106" s="29" t="str">
        <f>'DATOS'!R106</f>
        <v>ID:</v>
      </c>
      <c r="V106" s="29" t="str">
        <f>'DATOS'!S106</f>
        <v>ID:</v>
      </c>
      <c r="W106" s="29" t="n">
        <f>IF(N106=0,0,COUNTIFS('REFERENCIAS'!$R$15:$R$64,U106))</f>
        <v>0</v>
      </c>
      <c r="X106" s="29" t="n">
        <f>IF(N106=0,0,COUNTIFS('DATOS'!$R$10:$R$509,U106,'DATOS'!$S$10:$S$509,V106))</f>
        <v>0</v>
      </c>
      <c r="Y106" s="29" t="n">
        <f>IF(AND(ISNUMBER('DATOS'!G106),ISNUMBER('DATOS'!H106),ISNUMBER('DATOS'!J106)),1,0)</f>
        <v>0</v>
      </c>
    </row>
    <row r="107" ht="64" customHeight="1">
      <c r="B107" s="26">
        <f>IF(N107=1,98,"")</f>
      </c>
      <c r="C107" s="26">
        <f>IF(AND(N107=1,LEN(TRIM('DATOS'!B107&amp;""))&gt;0),'DATOS'!B107,"")</f>
      </c>
      <c r="D107" s="26">
        <f>IF(AND(N107=1,LEN(TRIM('DATOS'!C107&amp;""))&gt;0),'DATOS'!C107,"")</f>
      </c>
      <c r="E107" s="26">
        <f>IF(NOT(ISNUMBER(P107)),"",IF(P107=2,"ROJO",IF(P107=1,"ÁMBAR","VERDE")))</f>
      </c>
      <c r="F107" s="26">
        <f>IF(NOT(ISNUMBER(Q107)),"",IF(Q107=2,"ROJO",IF(Q107=1,"ÁMBAR","VERDE")))</f>
      </c>
      <c r="G107" s="26">
        <f>IF(NOT(ISNUMBER(R107)),"",IF(R107=2,"ROJO",IF(R107=1,"ÁMBAR","VERDE")))</f>
      </c>
      <c r="H107" s="26">
        <f>IF(NOT(ISNUMBER(S107)),"",IF(S107=2,"ROJO",IF(S107=1,"ÁMBAR","VERDE")))</f>
      </c>
      <c r="I107" s="26">
        <f>IF(NOT(ISNUMBER(T107)),"",IF(T107=2,"ROJO",IF(T107=1,"ÁMBAR","VERDE")))</f>
      </c>
      <c r="J107" s="26">
        <f>IF(NOT(ISNUMBER(O107)),"",IF(O107=2,"ROJO",IF(O107=1,"ÁMBAR","VERDE")))</f>
      </c>
      <c r="K107" s="26">
        <f>IFERROR(IF(AND(N107=1,LEN(TRIM('DATOS'!N107&amp;""))&gt;0),'DATOS'!N107,""),"Hay una entrada con error. Corregimos el dato antes de cerrar la comprobación.")</f>
      </c>
      <c r="L107" s="26">
        <f>IFERROR(IF(N107=0,"",IF(O107&gt;0,"Completamos datos, claves o motivo. ","")&amp;IF(P107&gt;0,"Cotejamos precios e importe. ","")&amp;IF(Q107&gt;0,"Aclaramos el cero. ","")&amp;IF(R107&gt;0,"Comprobamos el texto. ","")&amp;IF(S107&gt;0,"Revisamos decimales visibles. ","")&amp;IF(T107&gt;0,"Confirmamos la unidad.","")),"Hay una entrada con error. Corregimos el dato antes de cerrar la comprobación.")</f>
      </c>
      <c r="N107" s="29" t="n">
        <f>IF(COUNTA('DATOS'!B107:O107)&gt;0,1,0)</f>
        <v>0</v>
      </c>
      <c r="O107" s="29">
        <f>IFERROR(IF(N107=0,"",IF(OR(NOT(AND(LEN(TRIM('DATOS'!B107&amp;""))&gt;0,TRIM('DATOS'!B107&amp;"")&lt;&gt;"Pendiente",TRIM('DATOS'!B107&amp;"")&lt;&gt;"Por confirmar",TRIM('DATOS'!B107&amp;"")&lt;&gt;"No consta",TRIM('DATOS'!B107&amp;"")&lt;&gt;"Desconocido",TRIM('DATOS'!B107&amp;"")&lt;&gt;"Sin confirmar",TRIM('DATOS'!B107&amp;"")&lt;&gt;"Por decidir",TRIM('DATOS'!B107&amp;"")&lt;&gt;"Por comprobar")),NOT(AND(LEN(TRIM('DATOS'!C107&amp;""))&gt;0,TRIM('DATOS'!C107&amp;"")&lt;&gt;"Pendiente",TRIM('DATOS'!C107&amp;"")&lt;&gt;"Por confirmar",TRIM('DATOS'!C107&amp;"")&lt;&gt;"No consta",TRIM('DATOS'!C107&amp;"")&lt;&gt;"Desconocido",TRIM('DATOS'!C107&amp;"")&lt;&gt;"Sin confirmar",TRIM('DATOS'!C107&amp;"")&lt;&gt;"Por decidir",TRIM('DATOS'!C107&amp;"")&lt;&gt;"Por comprobar")),NOT(AND(LEN(TRIM('DATOS'!D107&amp;""))&gt;0,TRIM('DATOS'!D107&amp;"")&lt;&gt;"Pendiente",TRIM('DATOS'!D107&amp;"")&lt;&gt;"Por confirmar",TRIM('DATOS'!D107&amp;"")&lt;&gt;"No consta",TRIM('DATOS'!D107&amp;"")&lt;&gt;"Desconocido",TRIM('DATOS'!D107&amp;"")&lt;&gt;"Sin confirmar",TRIM('DATOS'!D107&amp;"")&lt;&gt;"Por decidir",TRIM('DATOS'!D107&amp;"")&lt;&gt;"Por comprobar")),NOT(AND(LEN(TRIM('DATOS'!E107&amp;""))&gt;0,TRIM('DATOS'!E107&amp;"")&lt;&gt;"Pendiente",TRIM('DATOS'!E107&amp;"")&lt;&gt;"Por confirmar",TRIM('DATOS'!E107&amp;"")&lt;&gt;"No consta",TRIM('DATOS'!E107&amp;"")&lt;&gt;"Desconocido",TRIM('DATOS'!E107&amp;"")&lt;&gt;"Sin confirmar",TRIM('DATOS'!E107&amp;"")&lt;&gt;"Por decidir",TRIM('DATOS'!E107&amp;"")&lt;&gt;"Por comprobar")),NOT(AND(LEN(TRIM('DATOS'!F107&amp;""))&gt;0,TRIM('DATOS'!F107&amp;"")&lt;&gt;"Pendiente",TRIM('DATOS'!F107&amp;"")&lt;&gt;"Por confirmar",TRIM('DATOS'!F107&amp;"")&lt;&gt;"No consta",TRIM('DATOS'!F107&amp;"")&lt;&gt;"Desconocido",TRIM('DATOS'!F107&amp;"")&lt;&gt;"Sin confirmar",TRIM('DATOS'!F107&amp;"")&lt;&gt;"Por decidir",TRIM('DATOS'!F107&amp;"")&lt;&gt;"Por comprobar")),NOT(AND(LEN(TRIM('DATOS'!N107&amp;""))&gt;0,TRIM('DATOS'!N107&amp;"")&lt;&gt;"Pendiente",TRIM('DATOS'!N107&amp;"")&lt;&gt;"Por confirmar",TRIM('DATOS'!N107&amp;"")&lt;&gt;"No consta",TRIM('DATOS'!N107&amp;"")&lt;&gt;"Desconocido",TRIM('DATOS'!N107&amp;"")&lt;&gt;"Sin confirmar",TRIM('DATOS'!N107&amp;"")&lt;&gt;"Por decidir",TRIM('DATOS'!N107&amp;"")&lt;&gt;"Por comprobar")),NOT(Y107=1),W107&lt;&gt;1,X107&gt;1,NOT(OR(LEN(TRIM('DATOS'!K107&amp;""))=0,'DATOS'!K107="Sin valorar",'DATOS'!K107="Sin coste documentado",'DATOS'!K107="Incluido en otra partida",'DATOS'!K107="Por confirmar")),NOT(OR(LEN(TRIM('DATOS'!M107&amp;""))=0,'DATOS'!M107="Sí",'DATOS'!M107="No",'DATOS'!M107="Por confirmar")),NOT(OR(LEN(TRIM('DATOS'!O107&amp;""))=0,'DATOS'!O107="Comparamos",'DATOS'!O107="No existe",'DATOS'!O107="Por confirmar"))),2,IF(AND(OR('DATOS'!G107&lt;0,'DATOS'!H107&lt;0,'DATOS'!J107&lt;0),NOT(AND(LEN(TRIM('DATOS'!L107&amp;""))&gt;0,TRIM('DATOS'!L107&amp;"")&lt;&gt;"Pendiente",TRIM('DATOS'!L107&amp;"")&lt;&gt;"Por confirmar",TRIM('DATOS'!L107&amp;"")&lt;&gt;"No consta",TRIM('DATOS'!L107&amp;"")&lt;&gt;"Desconocido",TRIM('DATOS'!L107&amp;"")&lt;&gt;"Sin confirmar",TRIM('DATOS'!L107&amp;"")&lt;&gt;"Por decidir",TRIM('DATOS'!L107&amp;"")&lt;&gt;"Por comprobar"))),1,0))),2)</f>
      </c>
      <c r="P107" s="29">
        <f>IFERROR(IF(N107=0,"",IF(NOT(Y107=1),1,IF('REFERENCIAS'!$Q$8&lt;&gt;1,2,IF(ABS('DATOS'!J107-ROUND('DATOS'!G107*'DATOS'!H107,'REFERENCIAS'!$K$8))&gt;0.00000001,2,IF('DATOS'!O107="No existe",IF(LEN(TRIM('DATOS'!I107&amp;""))=0,0,2),IF('DATOS'!O107="Comparamos",IF(LEN(TRIM('DATOS'!I107&amp;""))=0,1,IF(ISNUMBER('DATOS'!I107),IF(ABS('DATOS'!H107-'DATOS'!I107)&gt;0.00000001,2,0),2)),1)))))),2)</f>
      </c>
      <c r="Q107" s="29">
        <f>IFERROR(IF(N107=0,"",IF(NOT(Y107=1),1,IF('DATOS'!K107="Sin valorar",2,IF('DATOS'!G107=0,1,IF(OR('DATOS'!H107=0,'DATOS'!J107=0),IF(AND(OR('DATOS'!K107="Sin coste documentado",'DATOS'!K107="Incluido en otra partida"),AND(LEN(TRIM('DATOS'!L107&amp;""))&gt;0,TRIM('DATOS'!L107&amp;"")&lt;&gt;"Pendiente",TRIM('DATOS'!L107&amp;"")&lt;&gt;"Por confirmar",TRIM('DATOS'!L107&amp;"")&lt;&gt;"No consta",TRIM('DATOS'!L107&amp;"")&lt;&gt;"Desconocido",TRIM('DATOS'!L107&amp;"")&lt;&gt;"Sin confirmar",TRIM('DATOS'!L107&amp;"")&lt;&gt;"Por decidir",TRIM('DATOS'!L107&amp;"")&lt;&gt;"Por comprobar")),0,1),0))))),2)</f>
      </c>
      <c r="R107" s="29">
        <f>IFERROR(IF(N107=0,"",IF(OR(NOT(AND(LEN(TRIM('DATOS'!D107&amp;""))&gt;0,TRIM('DATOS'!D107&amp;"")&lt;&gt;"Pendiente",TRIM('DATOS'!D107&amp;"")&lt;&gt;"Por confirmar",TRIM('DATOS'!D107&amp;"")&lt;&gt;"No consta",TRIM('DATOS'!D107&amp;"")&lt;&gt;"Desconocido",TRIM('DATOS'!D107&amp;"")&lt;&gt;"Sin confirmar",TRIM('DATOS'!D107&amp;"")&lt;&gt;"Por decidir",TRIM('DATOS'!D107&amp;"")&lt;&gt;"Por comprobar")),NOT(AND(LEN(TRIM('DATOS'!E107&amp;""))&gt;0,TRIM('DATOS'!E107&amp;"")&lt;&gt;"Pendiente",TRIM('DATOS'!E107&amp;"")&lt;&gt;"Por confirmar",TRIM('DATOS'!E107&amp;"")&lt;&gt;"No consta",TRIM('DATOS'!E107&amp;"")&lt;&gt;"Desconocido",TRIM('DATOS'!E107&amp;"")&lt;&gt;"Sin confirmar",TRIM('DATOS'!E107&amp;"")&lt;&gt;"Por decidir",TRIM('DATOS'!E107&amp;"")&lt;&gt;"Por comprobar"))),2,IF('DATOS'!M107="No",2,IF('DATOS'!M107="Sí",0,IF(OR('DATOS'!D107&lt;&gt;'DATOS'!E107,LEN('DATOS'!E107)&gt;300,RIGHT(TRIM('DATOS'!E107),3)="...",RIGHT(TRIM('DATOS'!E107),1)="…"),1,0))))),2)</f>
      </c>
      <c r="S107" s="29">
        <f>IFERROR(IF(N107=0,"",IF('REFERENCIAS'!$Q$8&lt;&gt;1,2,IF(NOT(Y107=1),1,IF(OR(ABS('DATOS'!G107-ROUND('DATOS'!G107,'REFERENCIAS'!$E$8))&gt;0.00000001,ABS('DATOS'!H107-ROUND('DATOS'!H107,'REFERENCIAS'!$H$8))&gt;0.00000001,ABS('DATOS'!J107-ROUND('DATOS'!J107,'REFERENCIAS'!$K$8))&gt;0.00000001,IF(ISNUMBER('DATOS'!I107),ABS('DATOS'!I107-ROUND('DATOS'!I107,'REFERENCIAS'!$H$8))&gt;0.00000001,FALSE)),1,0)))),2)</f>
      </c>
      <c r="T107" s="29">
        <f>IFERROR(IF(N107=0,"",IF(NOT(AND(LEN(TRIM('DATOS'!F107&amp;""))&gt;0,TRIM('DATOS'!F107&amp;"")&lt;&gt;"Pendiente",TRIM('DATOS'!F107&amp;"")&lt;&gt;"Por confirmar",TRIM('DATOS'!F107&amp;"")&lt;&gt;"No consta",TRIM('DATOS'!F107&amp;"")&lt;&gt;"Desconocido",TRIM('DATOS'!F107&amp;"")&lt;&gt;"Sin confirmar",TRIM('DATOS'!F107&amp;"")&lt;&gt;"Por decidir",TRIM('DATOS'!F107&amp;"")&lt;&gt;"Por comprobar")),2,IF(COUNTIFS('REFERENCIAS'!$T$15:$T$34,"ID:"&amp;SUBSTITUTE(SUBSTITUTE(SUBSTITUTE(SUBSTITUTE(UPPER(TRIM('DATOS'!F107&amp;"")),"!","!E"),"*","!A"),"?","!B"),"~","!C"),'REFERENCIAS'!$H$15:$H$34,"&lt;&gt;")&gt;0,0,1))),2)</f>
      </c>
      <c r="U107" s="29" t="str">
        <f>'DATOS'!R107</f>
        <v>ID:</v>
      </c>
      <c r="V107" s="29" t="str">
        <f>'DATOS'!S107</f>
        <v>ID:</v>
      </c>
      <c r="W107" s="29" t="n">
        <f>IF(N107=0,0,COUNTIFS('REFERENCIAS'!$R$15:$R$64,U107))</f>
        <v>0</v>
      </c>
      <c r="X107" s="29" t="n">
        <f>IF(N107=0,0,COUNTIFS('DATOS'!$R$10:$R$509,U107,'DATOS'!$S$10:$S$509,V107))</f>
        <v>0</v>
      </c>
      <c r="Y107" s="29" t="n">
        <f>IF(AND(ISNUMBER('DATOS'!G107),ISNUMBER('DATOS'!H107),ISNUMBER('DATOS'!J107)),1,0)</f>
        <v>0</v>
      </c>
    </row>
    <row r="108" ht="64" customHeight="1">
      <c r="B108" s="26">
        <f>IF(N108=1,99,"")</f>
      </c>
      <c r="C108" s="26">
        <f>IF(AND(N108=1,LEN(TRIM('DATOS'!B108&amp;""))&gt;0),'DATOS'!B108,"")</f>
      </c>
      <c r="D108" s="26">
        <f>IF(AND(N108=1,LEN(TRIM('DATOS'!C108&amp;""))&gt;0),'DATOS'!C108,"")</f>
      </c>
      <c r="E108" s="26">
        <f>IF(NOT(ISNUMBER(P108)),"",IF(P108=2,"ROJO",IF(P108=1,"ÁMBAR","VERDE")))</f>
      </c>
      <c r="F108" s="26">
        <f>IF(NOT(ISNUMBER(Q108)),"",IF(Q108=2,"ROJO",IF(Q108=1,"ÁMBAR","VERDE")))</f>
      </c>
      <c r="G108" s="26">
        <f>IF(NOT(ISNUMBER(R108)),"",IF(R108=2,"ROJO",IF(R108=1,"ÁMBAR","VERDE")))</f>
      </c>
      <c r="H108" s="26">
        <f>IF(NOT(ISNUMBER(S108)),"",IF(S108=2,"ROJO",IF(S108=1,"ÁMBAR","VERDE")))</f>
      </c>
      <c r="I108" s="26">
        <f>IF(NOT(ISNUMBER(T108)),"",IF(T108=2,"ROJO",IF(T108=1,"ÁMBAR","VERDE")))</f>
      </c>
      <c r="J108" s="26">
        <f>IF(NOT(ISNUMBER(O108)),"",IF(O108=2,"ROJO",IF(O108=1,"ÁMBAR","VERDE")))</f>
      </c>
      <c r="K108" s="26">
        <f>IFERROR(IF(AND(N108=1,LEN(TRIM('DATOS'!N108&amp;""))&gt;0),'DATOS'!N108,""),"Hay una entrada con error. Corregimos el dato antes de cerrar la comprobación.")</f>
      </c>
      <c r="L108" s="26">
        <f>IFERROR(IF(N108=0,"",IF(O108&gt;0,"Completamos datos, claves o motivo. ","")&amp;IF(P108&gt;0,"Cotejamos precios e importe. ","")&amp;IF(Q108&gt;0,"Aclaramos el cero. ","")&amp;IF(R108&gt;0,"Comprobamos el texto. ","")&amp;IF(S108&gt;0,"Revisamos decimales visibles. ","")&amp;IF(T108&gt;0,"Confirmamos la unidad.","")),"Hay una entrada con error. Corregimos el dato antes de cerrar la comprobación.")</f>
      </c>
      <c r="N108" s="29" t="n">
        <f>IF(COUNTA('DATOS'!B108:O108)&gt;0,1,0)</f>
        <v>0</v>
      </c>
      <c r="O108" s="29">
        <f>IFERROR(IF(N108=0,"",IF(OR(NOT(AND(LEN(TRIM('DATOS'!B108&amp;""))&gt;0,TRIM('DATOS'!B108&amp;"")&lt;&gt;"Pendiente",TRIM('DATOS'!B108&amp;"")&lt;&gt;"Por confirmar",TRIM('DATOS'!B108&amp;"")&lt;&gt;"No consta",TRIM('DATOS'!B108&amp;"")&lt;&gt;"Desconocido",TRIM('DATOS'!B108&amp;"")&lt;&gt;"Sin confirmar",TRIM('DATOS'!B108&amp;"")&lt;&gt;"Por decidir",TRIM('DATOS'!B108&amp;"")&lt;&gt;"Por comprobar")),NOT(AND(LEN(TRIM('DATOS'!C108&amp;""))&gt;0,TRIM('DATOS'!C108&amp;"")&lt;&gt;"Pendiente",TRIM('DATOS'!C108&amp;"")&lt;&gt;"Por confirmar",TRIM('DATOS'!C108&amp;"")&lt;&gt;"No consta",TRIM('DATOS'!C108&amp;"")&lt;&gt;"Desconocido",TRIM('DATOS'!C108&amp;"")&lt;&gt;"Sin confirmar",TRIM('DATOS'!C108&amp;"")&lt;&gt;"Por decidir",TRIM('DATOS'!C108&amp;"")&lt;&gt;"Por comprobar")),NOT(AND(LEN(TRIM('DATOS'!D108&amp;""))&gt;0,TRIM('DATOS'!D108&amp;"")&lt;&gt;"Pendiente",TRIM('DATOS'!D108&amp;"")&lt;&gt;"Por confirmar",TRIM('DATOS'!D108&amp;"")&lt;&gt;"No consta",TRIM('DATOS'!D108&amp;"")&lt;&gt;"Desconocido",TRIM('DATOS'!D108&amp;"")&lt;&gt;"Sin confirmar",TRIM('DATOS'!D108&amp;"")&lt;&gt;"Por decidir",TRIM('DATOS'!D108&amp;"")&lt;&gt;"Por comprobar")),NOT(AND(LEN(TRIM('DATOS'!E108&amp;""))&gt;0,TRIM('DATOS'!E108&amp;"")&lt;&gt;"Pendiente",TRIM('DATOS'!E108&amp;"")&lt;&gt;"Por confirmar",TRIM('DATOS'!E108&amp;"")&lt;&gt;"No consta",TRIM('DATOS'!E108&amp;"")&lt;&gt;"Desconocido",TRIM('DATOS'!E108&amp;"")&lt;&gt;"Sin confirmar",TRIM('DATOS'!E108&amp;"")&lt;&gt;"Por decidir",TRIM('DATOS'!E108&amp;"")&lt;&gt;"Por comprobar")),NOT(AND(LEN(TRIM('DATOS'!F108&amp;""))&gt;0,TRIM('DATOS'!F108&amp;"")&lt;&gt;"Pendiente",TRIM('DATOS'!F108&amp;"")&lt;&gt;"Por confirmar",TRIM('DATOS'!F108&amp;"")&lt;&gt;"No consta",TRIM('DATOS'!F108&amp;"")&lt;&gt;"Desconocido",TRIM('DATOS'!F108&amp;"")&lt;&gt;"Sin confirmar",TRIM('DATOS'!F108&amp;"")&lt;&gt;"Por decidir",TRIM('DATOS'!F108&amp;"")&lt;&gt;"Por comprobar")),NOT(AND(LEN(TRIM('DATOS'!N108&amp;""))&gt;0,TRIM('DATOS'!N108&amp;"")&lt;&gt;"Pendiente",TRIM('DATOS'!N108&amp;"")&lt;&gt;"Por confirmar",TRIM('DATOS'!N108&amp;"")&lt;&gt;"No consta",TRIM('DATOS'!N108&amp;"")&lt;&gt;"Desconocido",TRIM('DATOS'!N108&amp;"")&lt;&gt;"Sin confirmar",TRIM('DATOS'!N108&amp;"")&lt;&gt;"Por decidir",TRIM('DATOS'!N108&amp;"")&lt;&gt;"Por comprobar")),NOT(Y108=1),W108&lt;&gt;1,X108&gt;1,NOT(OR(LEN(TRIM('DATOS'!K108&amp;""))=0,'DATOS'!K108="Sin valorar",'DATOS'!K108="Sin coste documentado",'DATOS'!K108="Incluido en otra partida",'DATOS'!K108="Por confirmar")),NOT(OR(LEN(TRIM('DATOS'!M108&amp;""))=0,'DATOS'!M108="Sí",'DATOS'!M108="No",'DATOS'!M108="Por confirmar")),NOT(OR(LEN(TRIM('DATOS'!O108&amp;""))=0,'DATOS'!O108="Comparamos",'DATOS'!O108="No existe",'DATOS'!O108="Por confirmar"))),2,IF(AND(OR('DATOS'!G108&lt;0,'DATOS'!H108&lt;0,'DATOS'!J108&lt;0),NOT(AND(LEN(TRIM('DATOS'!L108&amp;""))&gt;0,TRIM('DATOS'!L108&amp;"")&lt;&gt;"Pendiente",TRIM('DATOS'!L108&amp;"")&lt;&gt;"Por confirmar",TRIM('DATOS'!L108&amp;"")&lt;&gt;"No consta",TRIM('DATOS'!L108&amp;"")&lt;&gt;"Desconocido",TRIM('DATOS'!L108&amp;"")&lt;&gt;"Sin confirmar",TRIM('DATOS'!L108&amp;"")&lt;&gt;"Por decidir",TRIM('DATOS'!L108&amp;"")&lt;&gt;"Por comprobar"))),1,0))),2)</f>
      </c>
      <c r="P108" s="29">
        <f>IFERROR(IF(N108=0,"",IF(NOT(Y108=1),1,IF('REFERENCIAS'!$Q$8&lt;&gt;1,2,IF(ABS('DATOS'!J108-ROUND('DATOS'!G108*'DATOS'!H108,'REFERENCIAS'!$K$8))&gt;0.00000001,2,IF('DATOS'!O108="No existe",IF(LEN(TRIM('DATOS'!I108&amp;""))=0,0,2),IF('DATOS'!O108="Comparamos",IF(LEN(TRIM('DATOS'!I108&amp;""))=0,1,IF(ISNUMBER('DATOS'!I108),IF(ABS('DATOS'!H108-'DATOS'!I108)&gt;0.00000001,2,0),2)),1)))))),2)</f>
      </c>
      <c r="Q108" s="29">
        <f>IFERROR(IF(N108=0,"",IF(NOT(Y108=1),1,IF('DATOS'!K108="Sin valorar",2,IF('DATOS'!G108=0,1,IF(OR('DATOS'!H108=0,'DATOS'!J108=0),IF(AND(OR('DATOS'!K108="Sin coste documentado",'DATOS'!K108="Incluido en otra partida"),AND(LEN(TRIM('DATOS'!L108&amp;""))&gt;0,TRIM('DATOS'!L108&amp;"")&lt;&gt;"Pendiente",TRIM('DATOS'!L108&amp;"")&lt;&gt;"Por confirmar",TRIM('DATOS'!L108&amp;"")&lt;&gt;"No consta",TRIM('DATOS'!L108&amp;"")&lt;&gt;"Desconocido",TRIM('DATOS'!L108&amp;"")&lt;&gt;"Sin confirmar",TRIM('DATOS'!L108&amp;"")&lt;&gt;"Por decidir",TRIM('DATOS'!L108&amp;"")&lt;&gt;"Por comprobar")),0,1),0))))),2)</f>
      </c>
      <c r="R108" s="29">
        <f>IFERROR(IF(N108=0,"",IF(OR(NOT(AND(LEN(TRIM('DATOS'!D108&amp;""))&gt;0,TRIM('DATOS'!D108&amp;"")&lt;&gt;"Pendiente",TRIM('DATOS'!D108&amp;"")&lt;&gt;"Por confirmar",TRIM('DATOS'!D108&amp;"")&lt;&gt;"No consta",TRIM('DATOS'!D108&amp;"")&lt;&gt;"Desconocido",TRIM('DATOS'!D108&amp;"")&lt;&gt;"Sin confirmar",TRIM('DATOS'!D108&amp;"")&lt;&gt;"Por decidir",TRIM('DATOS'!D108&amp;"")&lt;&gt;"Por comprobar")),NOT(AND(LEN(TRIM('DATOS'!E108&amp;""))&gt;0,TRIM('DATOS'!E108&amp;"")&lt;&gt;"Pendiente",TRIM('DATOS'!E108&amp;"")&lt;&gt;"Por confirmar",TRIM('DATOS'!E108&amp;"")&lt;&gt;"No consta",TRIM('DATOS'!E108&amp;"")&lt;&gt;"Desconocido",TRIM('DATOS'!E108&amp;"")&lt;&gt;"Sin confirmar",TRIM('DATOS'!E108&amp;"")&lt;&gt;"Por decidir",TRIM('DATOS'!E108&amp;"")&lt;&gt;"Por comprobar"))),2,IF('DATOS'!M108="No",2,IF('DATOS'!M108="Sí",0,IF(OR('DATOS'!D108&lt;&gt;'DATOS'!E108,LEN('DATOS'!E108)&gt;300,RIGHT(TRIM('DATOS'!E108),3)="...",RIGHT(TRIM('DATOS'!E108),1)="…"),1,0))))),2)</f>
      </c>
      <c r="S108" s="29">
        <f>IFERROR(IF(N108=0,"",IF('REFERENCIAS'!$Q$8&lt;&gt;1,2,IF(NOT(Y108=1),1,IF(OR(ABS('DATOS'!G108-ROUND('DATOS'!G108,'REFERENCIAS'!$E$8))&gt;0.00000001,ABS('DATOS'!H108-ROUND('DATOS'!H108,'REFERENCIAS'!$H$8))&gt;0.00000001,ABS('DATOS'!J108-ROUND('DATOS'!J108,'REFERENCIAS'!$K$8))&gt;0.00000001,IF(ISNUMBER('DATOS'!I108),ABS('DATOS'!I108-ROUND('DATOS'!I108,'REFERENCIAS'!$H$8))&gt;0.00000001,FALSE)),1,0)))),2)</f>
      </c>
      <c r="T108" s="29">
        <f>IFERROR(IF(N108=0,"",IF(NOT(AND(LEN(TRIM('DATOS'!F108&amp;""))&gt;0,TRIM('DATOS'!F108&amp;"")&lt;&gt;"Pendiente",TRIM('DATOS'!F108&amp;"")&lt;&gt;"Por confirmar",TRIM('DATOS'!F108&amp;"")&lt;&gt;"No consta",TRIM('DATOS'!F108&amp;"")&lt;&gt;"Desconocido",TRIM('DATOS'!F108&amp;"")&lt;&gt;"Sin confirmar",TRIM('DATOS'!F108&amp;"")&lt;&gt;"Por decidir",TRIM('DATOS'!F108&amp;"")&lt;&gt;"Por comprobar")),2,IF(COUNTIFS('REFERENCIAS'!$T$15:$T$34,"ID:"&amp;SUBSTITUTE(SUBSTITUTE(SUBSTITUTE(SUBSTITUTE(UPPER(TRIM('DATOS'!F108&amp;"")),"!","!E"),"*","!A"),"?","!B"),"~","!C"),'REFERENCIAS'!$H$15:$H$34,"&lt;&gt;")&gt;0,0,1))),2)</f>
      </c>
      <c r="U108" s="29" t="str">
        <f>'DATOS'!R108</f>
        <v>ID:</v>
      </c>
      <c r="V108" s="29" t="str">
        <f>'DATOS'!S108</f>
        <v>ID:</v>
      </c>
      <c r="W108" s="29" t="n">
        <f>IF(N108=0,0,COUNTIFS('REFERENCIAS'!$R$15:$R$64,U108))</f>
        <v>0</v>
      </c>
      <c r="X108" s="29" t="n">
        <f>IF(N108=0,0,COUNTIFS('DATOS'!$R$10:$R$509,U108,'DATOS'!$S$10:$S$509,V108))</f>
        <v>0</v>
      </c>
      <c r="Y108" s="29" t="n">
        <f>IF(AND(ISNUMBER('DATOS'!G108),ISNUMBER('DATOS'!H108),ISNUMBER('DATOS'!J108)),1,0)</f>
        <v>0</v>
      </c>
    </row>
    <row r="109" ht="64" customHeight="1">
      <c r="B109" s="26">
        <f>IF(N109=1,100,"")</f>
      </c>
      <c r="C109" s="26">
        <f>IF(AND(N109=1,LEN(TRIM('DATOS'!B109&amp;""))&gt;0),'DATOS'!B109,"")</f>
      </c>
      <c r="D109" s="26">
        <f>IF(AND(N109=1,LEN(TRIM('DATOS'!C109&amp;""))&gt;0),'DATOS'!C109,"")</f>
      </c>
      <c r="E109" s="26">
        <f>IF(NOT(ISNUMBER(P109)),"",IF(P109=2,"ROJO",IF(P109=1,"ÁMBAR","VERDE")))</f>
      </c>
      <c r="F109" s="26">
        <f>IF(NOT(ISNUMBER(Q109)),"",IF(Q109=2,"ROJO",IF(Q109=1,"ÁMBAR","VERDE")))</f>
      </c>
      <c r="G109" s="26">
        <f>IF(NOT(ISNUMBER(R109)),"",IF(R109=2,"ROJO",IF(R109=1,"ÁMBAR","VERDE")))</f>
      </c>
      <c r="H109" s="26">
        <f>IF(NOT(ISNUMBER(S109)),"",IF(S109=2,"ROJO",IF(S109=1,"ÁMBAR","VERDE")))</f>
      </c>
      <c r="I109" s="26">
        <f>IF(NOT(ISNUMBER(T109)),"",IF(T109=2,"ROJO",IF(T109=1,"ÁMBAR","VERDE")))</f>
      </c>
      <c r="J109" s="26">
        <f>IF(NOT(ISNUMBER(O109)),"",IF(O109=2,"ROJO",IF(O109=1,"ÁMBAR","VERDE")))</f>
      </c>
      <c r="K109" s="26">
        <f>IFERROR(IF(AND(N109=1,LEN(TRIM('DATOS'!N109&amp;""))&gt;0),'DATOS'!N109,""),"Hay una entrada con error. Corregimos el dato antes de cerrar la comprobación.")</f>
      </c>
      <c r="L109" s="26">
        <f>IFERROR(IF(N109=0,"",IF(O109&gt;0,"Completamos datos, claves o motivo. ","")&amp;IF(P109&gt;0,"Cotejamos precios e importe. ","")&amp;IF(Q109&gt;0,"Aclaramos el cero. ","")&amp;IF(R109&gt;0,"Comprobamos el texto. ","")&amp;IF(S109&gt;0,"Revisamos decimales visibles. ","")&amp;IF(T109&gt;0,"Confirmamos la unidad.","")),"Hay una entrada con error. Corregimos el dato antes de cerrar la comprobación.")</f>
      </c>
      <c r="N109" s="29" t="n">
        <f>IF(COUNTA('DATOS'!B109:O109)&gt;0,1,0)</f>
        <v>0</v>
      </c>
      <c r="O109" s="29">
        <f>IFERROR(IF(N109=0,"",IF(OR(NOT(AND(LEN(TRIM('DATOS'!B109&amp;""))&gt;0,TRIM('DATOS'!B109&amp;"")&lt;&gt;"Pendiente",TRIM('DATOS'!B109&amp;"")&lt;&gt;"Por confirmar",TRIM('DATOS'!B109&amp;"")&lt;&gt;"No consta",TRIM('DATOS'!B109&amp;"")&lt;&gt;"Desconocido",TRIM('DATOS'!B109&amp;"")&lt;&gt;"Sin confirmar",TRIM('DATOS'!B109&amp;"")&lt;&gt;"Por decidir",TRIM('DATOS'!B109&amp;"")&lt;&gt;"Por comprobar")),NOT(AND(LEN(TRIM('DATOS'!C109&amp;""))&gt;0,TRIM('DATOS'!C109&amp;"")&lt;&gt;"Pendiente",TRIM('DATOS'!C109&amp;"")&lt;&gt;"Por confirmar",TRIM('DATOS'!C109&amp;"")&lt;&gt;"No consta",TRIM('DATOS'!C109&amp;"")&lt;&gt;"Desconocido",TRIM('DATOS'!C109&amp;"")&lt;&gt;"Sin confirmar",TRIM('DATOS'!C109&amp;"")&lt;&gt;"Por decidir",TRIM('DATOS'!C109&amp;"")&lt;&gt;"Por comprobar")),NOT(AND(LEN(TRIM('DATOS'!D109&amp;""))&gt;0,TRIM('DATOS'!D109&amp;"")&lt;&gt;"Pendiente",TRIM('DATOS'!D109&amp;"")&lt;&gt;"Por confirmar",TRIM('DATOS'!D109&amp;"")&lt;&gt;"No consta",TRIM('DATOS'!D109&amp;"")&lt;&gt;"Desconocido",TRIM('DATOS'!D109&amp;"")&lt;&gt;"Sin confirmar",TRIM('DATOS'!D109&amp;"")&lt;&gt;"Por decidir",TRIM('DATOS'!D109&amp;"")&lt;&gt;"Por comprobar")),NOT(AND(LEN(TRIM('DATOS'!E109&amp;""))&gt;0,TRIM('DATOS'!E109&amp;"")&lt;&gt;"Pendiente",TRIM('DATOS'!E109&amp;"")&lt;&gt;"Por confirmar",TRIM('DATOS'!E109&amp;"")&lt;&gt;"No consta",TRIM('DATOS'!E109&amp;"")&lt;&gt;"Desconocido",TRIM('DATOS'!E109&amp;"")&lt;&gt;"Sin confirmar",TRIM('DATOS'!E109&amp;"")&lt;&gt;"Por decidir",TRIM('DATOS'!E109&amp;"")&lt;&gt;"Por comprobar")),NOT(AND(LEN(TRIM('DATOS'!F109&amp;""))&gt;0,TRIM('DATOS'!F109&amp;"")&lt;&gt;"Pendiente",TRIM('DATOS'!F109&amp;"")&lt;&gt;"Por confirmar",TRIM('DATOS'!F109&amp;"")&lt;&gt;"No consta",TRIM('DATOS'!F109&amp;"")&lt;&gt;"Desconocido",TRIM('DATOS'!F109&amp;"")&lt;&gt;"Sin confirmar",TRIM('DATOS'!F109&amp;"")&lt;&gt;"Por decidir",TRIM('DATOS'!F109&amp;"")&lt;&gt;"Por comprobar")),NOT(AND(LEN(TRIM('DATOS'!N109&amp;""))&gt;0,TRIM('DATOS'!N109&amp;"")&lt;&gt;"Pendiente",TRIM('DATOS'!N109&amp;"")&lt;&gt;"Por confirmar",TRIM('DATOS'!N109&amp;"")&lt;&gt;"No consta",TRIM('DATOS'!N109&amp;"")&lt;&gt;"Desconocido",TRIM('DATOS'!N109&amp;"")&lt;&gt;"Sin confirmar",TRIM('DATOS'!N109&amp;"")&lt;&gt;"Por decidir",TRIM('DATOS'!N109&amp;"")&lt;&gt;"Por comprobar")),NOT(Y109=1),W109&lt;&gt;1,X109&gt;1,NOT(OR(LEN(TRIM('DATOS'!K109&amp;""))=0,'DATOS'!K109="Sin valorar",'DATOS'!K109="Sin coste documentado",'DATOS'!K109="Incluido en otra partida",'DATOS'!K109="Por confirmar")),NOT(OR(LEN(TRIM('DATOS'!M109&amp;""))=0,'DATOS'!M109="Sí",'DATOS'!M109="No",'DATOS'!M109="Por confirmar")),NOT(OR(LEN(TRIM('DATOS'!O109&amp;""))=0,'DATOS'!O109="Comparamos",'DATOS'!O109="No existe",'DATOS'!O109="Por confirmar"))),2,IF(AND(OR('DATOS'!G109&lt;0,'DATOS'!H109&lt;0,'DATOS'!J109&lt;0),NOT(AND(LEN(TRIM('DATOS'!L109&amp;""))&gt;0,TRIM('DATOS'!L109&amp;"")&lt;&gt;"Pendiente",TRIM('DATOS'!L109&amp;"")&lt;&gt;"Por confirmar",TRIM('DATOS'!L109&amp;"")&lt;&gt;"No consta",TRIM('DATOS'!L109&amp;"")&lt;&gt;"Desconocido",TRIM('DATOS'!L109&amp;"")&lt;&gt;"Sin confirmar",TRIM('DATOS'!L109&amp;"")&lt;&gt;"Por decidir",TRIM('DATOS'!L109&amp;"")&lt;&gt;"Por comprobar"))),1,0))),2)</f>
      </c>
      <c r="P109" s="29">
        <f>IFERROR(IF(N109=0,"",IF(NOT(Y109=1),1,IF('REFERENCIAS'!$Q$8&lt;&gt;1,2,IF(ABS('DATOS'!J109-ROUND('DATOS'!G109*'DATOS'!H109,'REFERENCIAS'!$K$8))&gt;0.00000001,2,IF('DATOS'!O109="No existe",IF(LEN(TRIM('DATOS'!I109&amp;""))=0,0,2),IF('DATOS'!O109="Comparamos",IF(LEN(TRIM('DATOS'!I109&amp;""))=0,1,IF(ISNUMBER('DATOS'!I109),IF(ABS('DATOS'!H109-'DATOS'!I109)&gt;0.00000001,2,0),2)),1)))))),2)</f>
      </c>
      <c r="Q109" s="29">
        <f>IFERROR(IF(N109=0,"",IF(NOT(Y109=1),1,IF('DATOS'!K109="Sin valorar",2,IF('DATOS'!G109=0,1,IF(OR('DATOS'!H109=0,'DATOS'!J109=0),IF(AND(OR('DATOS'!K109="Sin coste documentado",'DATOS'!K109="Incluido en otra partida"),AND(LEN(TRIM('DATOS'!L109&amp;""))&gt;0,TRIM('DATOS'!L109&amp;"")&lt;&gt;"Pendiente",TRIM('DATOS'!L109&amp;"")&lt;&gt;"Por confirmar",TRIM('DATOS'!L109&amp;"")&lt;&gt;"No consta",TRIM('DATOS'!L109&amp;"")&lt;&gt;"Desconocido",TRIM('DATOS'!L109&amp;"")&lt;&gt;"Sin confirmar",TRIM('DATOS'!L109&amp;"")&lt;&gt;"Por decidir",TRIM('DATOS'!L109&amp;"")&lt;&gt;"Por comprobar")),0,1),0))))),2)</f>
      </c>
      <c r="R109" s="29">
        <f>IFERROR(IF(N109=0,"",IF(OR(NOT(AND(LEN(TRIM('DATOS'!D109&amp;""))&gt;0,TRIM('DATOS'!D109&amp;"")&lt;&gt;"Pendiente",TRIM('DATOS'!D109&amp;"")&lt;&gt;"Por confirmar",TRIM('DATOS'!D109&amp;"")&lt;&gt;"No consta",TRIM('DATOS'!D109&amp;"")&lt;&gt;"Desconocido",TRIM('DATOS'!D109&amp;"")&lt;&gt;"Sin confirmar",TRIM('DATOS'!D109&amp;"")&lt;&gt;"Por decidir",TRIM('DATOS'!D109&amp;"")&lt;&gt;"Por comprobar")),NOT(AND(LEN(TRIM('DATOS'!E109&amp;""))&gt;0,TRIM('DATOS'!E109&amp;"")&lt;&gt;"Pendiente",TRIM('DATOS'!E109&amp;"")&lt;&gt;"Por confirmar",TRIM('DATOS'!E109&amp;"")&lt;&gt;"No consta",TRIM('DATOS'!E109&amp;"")&lt;&gt;"Desconocido",TRIM('DATOS'!E109&amp;"")&lt;&gt;"Sin confirmar",TRIM('DATOS'!E109&amp;"")&lt;&gt;"Por decidir",TRIM('DATOS'!E109&amp;"")&lt;&gt;"Por comprobar"))),2,IF('DATOS'!M109="No",2,IF('DATOS'!M109="Sí",0,IF(OR('DATOS'!D109&lt;&gt;'DATOS'!E109,LEN('DATOS'!E109)&gt;300,RIGHT(TRIM('DATOS'!E109),3)="...",RIGHT(TRIM('DATOS'!E109),1)="…"),1,0))))),2)</f>
      </c>
      <c r="S109" s="29">
        <f>IFERROR(IF(N109=0,"",IF('REFERENCIAS'!$Q$8&lt;&gt;1,2,IF(NOT(Y109=1),1,IF(OR(ABS('DATOS'!G109-ROUND('DATOS'!G109,'REFERENCIAS'!$E$8))&gt;0.00000001,ABS('DATOS'!H109-ROUND('DATOS'!H109,'REFERENCIAS'!$H$8))&gt;0.00000001,ABS('DATOS'!J109-ROUND('DATOS'!J109,'REFERENCIAS'!$K$8))&gt;0.00000001,IF(ISNUMBER('DATOS'!I109),ABS('DATOS'!I109-ROUND('DATOS'!I109,'REFERENCIAS'!$H$8))&gt;0.00000001,FALSE)),1,0)))),2)</f>
      </c>
      <c r="T109" s="29">
        <f>IFERROR(IF(N109=0,"",IF(NOT(AND(LEN(TRIM('DATOS'!F109&amp;""))&gt;0,TRIM('DATOS'!F109&amp;"")&lt;&gt;"Pendiente",TRIM('DATOS'!F109&amp;"")&lt;&gt;"Por confirmar",TRIM('DATOS'!F109&amp;"")&lt;&gt;"No consta",TRIM('DATOS'!F109&amp;"")&lt;&gt;"Desconocido",TRIM('DATOS'!F109&amp;"")&lt;&gt;"Sin confirmar",TRIM('DATOS'!F109&amp;"")&lt;&gt;"Por decidir",TRIM('DATOS'!F109&amp;"")&lt;&gt;"Por comprobar")),2,IF(COUNTIFS('REFERENCIAS'!$T$15:$T$34,"ID:"&amp;SUBSTITUTE(SUBSTITUTE(SUBSTITUTE(SUBSTITUTE(UPPER(TRIM('DATOS'!F109&amp;"")),"!","!E"),"*","!A"),"?","!B"),"~","!C"),'REFERENCIAS'!$H$15:$H$34,"&lt;&gt;")&gt;0,0,1))),2)</f>
      </c>
      <c r="U109" s="29" t="str">
        <f>'DATOS'!R109</f>
        <v>ID:</v>
      </c>
      <c r="V109" s="29" t="str">
        <f>'DATOS'!S109</f>
        <v>ID:</v>
      </c>
      <c r="W109" s="29" t="n">
        <f>IF(N109=0,0,COUNTIFS('REFERENCIAS'!$R$15:$R$64,U109))</f>
        <v>0</v>
      </c>
      <c r="X109" s="29" t="n">
        <f>IF(N109=0,0,COUNTIFS('DATOS'!$R$10:$R$509,U109,'DATOS'!$S$10:$S$509,V109))</f>
        <v>0</v>
      </c>
      <c r="Y109" s="29" t="n">
        <f>IF(AND(ISNUMBER('DATOS'!G109),ISNUMBER('DATOS'!H109),ISNUMBER('DATOS'!J109)),1,0)</f>
        <v>0</v>
      </c>
    </row>
    <row r="110" ht="64" customHeight="1">
      <c r="B110" s="26">
        <f>IF(N110=1,101,"")</f>
      </c>
      <c r="C110" s="26">
        <f>IF(AND(N110=1,LEN(TRIM('DATOS'!B110&amp;""))&gt;0),'DATOS'!B110,"")</f>
      </c>
      <c r="D110" s="26">
        <f>IF(AND(N110=1,LEN(TRIM('DATOS'!C110&amp;""))&gt;0),'DATOS'!C110,"")</f>
      </c>
      <c r="E110" s="26">
        <f>IF(NOT(ISNUMBER(P110)),"",IF(P110=2,"ROJO",IF(P110=1,"ÁMBAR","VERDE")))</f>
      </c>
      <c r="F110" s="26">
        <f>IF(NOT(ISNUMBER(Q110)),"",IF(Q110=2,"ROJO",IF(Q110=1,"ÁMBAR","VERDE")))</f>
      </c>
      <c r="G110" s="26">
        <f>IF(NOT(ISNUMBER(R110)),"",IF(R110=2,"ROJO",IF(R110=1,"ÁMBAR","VERDE")))</f>
      </c>
      <c r="H110" s="26">
        <f>IF(NOT(ISNUMBER(S110)),"",IF(S110=2,"ROJO",IF(S110=1,"ÁMBAR","VERDE")))</f>
      </c>
      <c r="I110" s="26">
        <f>IF(NOT(ISNUMBER(T110)),"",IF(T110=2,"ROJO",IF(T110=1,"ÁMBAR","VERDE")))</f>
      </c>
      <c r="J110" s="26">
        <f>IF(NOT(ISNUMBER(O110)),"",IF(O110=2,"ROJO",IF(O110=1,"ÁMBAR","VERDE")))</f>
      </c>
      <c r="K110" s="26">
        <f>IFERROR(IF(AND(N110=1,LEN(TRIM('DATOS'!N110&amp;""))&gt;0),'DATOS'!N110,""),"Hay una entrada con error. Corregimos el dato antes de cerrar la comprobación.")</f>
      </c>
      <c r="L110" s="26">
        <f>IFERROR(IF(N110=0,"",IF(O110&gt;0,"Completamos datos, claves o motivo. ","")&amp;IF(P110&gt;0,"Cotejamos precios e importe. ","")&amp;IF(Q110&gt;0,"Aclaramos el cero. ","")&amp;IF(R110&gt;0,"Comprobamos el texto. ","")&amp;IF(S110&gt;0,"Revisamos decimales visibles. ","")&amp;IF(T110&gt;0,"Confirmamos la unidad.","")),"Hay una entrada con error. Corregimos el dato antes de cerrar la comprobación.")</f>
      </c>
      <c r="N110" s="29" t="n">
        <f>IF(COUNTA('DATOS'!B110:O110)&gt;0,1,0)</f>
        <v>0</v>
      </c>
      <c r="O110" s="29">
        <f>IFERROR(IF(N110=0,"",IF(OR(NOT(AND(LEN(TRIM('DATOS'!B110&amp;""))&gt;0,TRIM('DATOS'!B110&amp;"")&lt;&gt;"Pendiente",TRIM('DATOS'!B110&amp;"")&lt;&gt;"Por confirmar",TRIM('DATOS'!B110&amp;"")&lt;&gt;"No consta",TRIM('DATOS'!B110&amp;"")&lt;&gt;"Desconocido",TRIM('DATOS'!B110&amp;"")&lt;&gt;"Sin confirmar",TRIM('DATOS'!B110&amp;"")&lt;&gt;"Por decidir",TRIM('DATOS'!B110&amp;"")&lt;&gt;"Por comprobar")),NOT(AND(LEN(TRIM('DATOS'!C110&amp;""))&gt;0,TRIM('DATOS'!C110&amp;"")&lt;&gt;"Pendiente",TRIM('DATOS'!C110&amp;"")&lt;&gt;"Por confirmar",TRIM('DATOS'!C110&amp;"")&lt;&gt;"No consta",TRIM('DATOS'!C110&amp;"")&lt;&gt;"Desconocido",TRIM('DATOS'!C110&amp;"")&lt;&gt;"Sin confirmar",TRIM('DATOS'!C110&amp;"")&lt;&gt;"Por decidir",TRIM('DATOS'!C110&amp;"")&lt;&gt;"Por comprobar")),NOT(AND(LEN(TRIM('DATOS'!D110&amp;""))&gt;0,TRIM('DATOS'!D110&amp;"")&lt;&gt;"Pendiente",TRIM('DATOS'!D110&amp;"")&lt;&gt;"Por confirmar",TRIM('DATOS'!D110&amp;"")&lt;&gt;"No consta",TRIM('DATOS'!D110&amp;"")&lt;&gt;"Desconocido",TRIM('DATOS'!D110&amp;"")&lt;&gt;"Sin confirmar",TRIM('DATOS'!D110&amp;"")&lt;&gt;"Por decidir",TRIM('DATOS'!D110&amp;"")&lt;&gt;"Por comprobar")),NOT(AND(LEN(TRIM('DATOS'!E110&amp;""))&gt;0,TRIM('DATOS'!E110&amp;"")&lt;&gt;"Pendiente",TRIM('DATOS'!E110&amp;"")&lt;&gt;"Por confirmar",TRIM('DATOS'!E110&amp;"")&lt;&gt;"No consta",TRIM('DATOS'!E110&amp;"")&lt;&gt;"Desconocido",TRIM('DATOS'!E110&amp;"")&lt;&gt;"Sin confirmar",TRIM('DATOS'!E110&amp;"")&lt;&gt;"Por decidir",TRIM('DATOS'!E110&amp;"")&lt;&gt;"Por comprobar")),NOT(AND(LEN(TRIM('DATOS'!F110&amp;""))&gt;0,TRIM('DATOS'!F110&amp;"")&lt;&gt;"Pendiente",TRIM('DATOS'!F110&amp;"")&lt;&gt;"Por confirmar",TRIM('DATOS'!F110&amp;"")&lt;&gt;"No consta",TRIM('DATOS'!F110&amp;"")&lt;&gt;"Desconocido",TRIM('DATOS'!F110&amp;"")&lt;&gt;"Sin confirmar",TRIM('DATOS'!F110&amp;"")&lt;&gt;"Por decidir",TRIM('DATOS'!F110&amp;"")&lt;&gt;"Por comprobar")),NOT(AND(LEN(TRIM('DATOS'!N110&amp;""))&gt;0,TRIM('DATOS'!N110&amp;"")&lt;&gt;"Pendiente",TRIM('DATOS'!N110&amp;"")&lt;&gt;"Por confirmar",TRIM('DATOS'!N110&amp;"")&lt;&gt;"No consta",TRIM('DATOS'!N110&amp;"")&lt;&gt;"Desconocido",TRIM('DATOS'!N110&amp;"")&lt;&gt;"Sin confirmar",TRIM('DATOS'!N110&amp;"")&lt;&gt;"Por decidir",TRIM('DATOS'!N110&amp;"")&lt;&gt;"Por comprobar")),NOT(Y110=1),W110&lt;&gt;1,X110&gt;1,NOT(OR(LEN(TRIM('DATOS'!K110&amp;""))=0,'DATOS'!K110="Sin valorar",'DATOS'!K110="Sin coste documentado",'DATOS'!K110="Incluido en otra partida",'DATOS'!K110="Por confirmar")),NOT(OR(LEN(TRIM('DATOS'!M110&amp;""))=0,'DATOS'!M110="Sí",'DATOS'!M110="No",'DATOS'!M110="Por confirmar")),NOT(OR(LEN(TRIM('DATOS'!O110&amp;""))=0,'DATOS'!O110="Comparamos",'DATOS'!O110="No existe",'DATOS'!O110="Por confirmar"))),2,IF(AND(OR('DATOS'!G110&lt;0,'DATOS'!H110&lt;0,'DATOS'!J110&lt;0),NOT(AND(LEN(TRIM('DATOS'!L110&amp;""))&gt;0,TRIM('DATOS'!L110&amp;"")&lt;&gt;"Pendiente",TRIM('DATOS'!L110&amp;"")&lt;&gt;"Por confirmar",TRIM('DATOS'!L110&amp;"")&lt;&gt;"No consta",TRIM('DATOS'!L110&amp;"")&lt;&gt;"Desconocido",TRIM('DATOS'!L110&amp;"")&lt;&gt;"Sin confirmar",TRIM('DATOS'!L110&amp;"")&lt;&gt;"Por decidir",TRIM('DATOS'!L110&amp;"")&lt;&gt;"Por comprobar"))),1,0))),2)</f>
      </c>
      <c r="P110" s="29">
        <f>IFERROR(IF(N110=0,"",IF(NOT(Y110=1),1,IF('REFERENCIAS'!$Q$8&lt;&gt;1,2,IF(ABS('DATOS'!J110-ROUND('DATOS'!G110*'DATOS'!H110,'REFERENCIAS'!$K$8))&gt;0.00000001,2,IF('DATOS'!O110="No existe",IF(LEN(TRIM('DATOS'!I110&amp;""))=0,0,2),IF('DATOS'!O110="Comparamos",IF(LEN(TRIM('DATOS'!I110&amp;""))=0,1,IF(ISNUMBER('DATOS'!I110),IF(ABS('DATOS'!H110-'DATOS'!I110)&gt;0.00000001,2,0),2)),1)))))),2)</f>
      </c>
      <c r="Q110" s="29">
        <f>IFERROR(IF(N110=0,"",IF(NOT(Y110=1),1,IF('DATOS'!K110="Sin valorar",2,IF('DATOS'!G110=0,1,IF(OR('DATOS'!H110=0,'DATOS'!J110=0),IF(AND(OR('DATOS'!K110="Sin coste documentado",'DATOS'!K110="Incluido en otra partida"),AND(LEN(TRIM('DATOS'!L110&amp;""))&gt;0,TRIM('DATOS'!L110&amp;"")&lt;&gt;"Pendiente",TRIM('DATOS'!L110&amp;"")&lt;&gt;"Por confirmar",TRIM('DATOS'!L110&amp;"")&lt;&gt;"No consta",TRIM('DATOS'!L110&amp;"")&lt;&gt;"Desconocido",TRIM('DATOS'!L110&amp;"")&lt;&gt;"Sin confirmar",TRIM('DATOS'!L110&amp;"")&lt;&gt;"Por decidir",TRIM('DATOS'!L110&amp;"")&lt;&gt;"Por comprobar")),0,1),0))))),2)</f>
      </c>
      <c r="R110" s="29">
        <f>IFERROR(IF(N110=0,"",IF(OR(NOT(AND(LEN(TRIM('DATOS'!D110&amp;""))&gt;0,TRIM('DATOS'!D110&amp;"")&lt;&gt;"Pendiente",TRIM('DATOS'!D110&amp;"")&lt;&gt;"Por confirmar",TRIM('DATOS'!D110&amp;"")&lt;&gt;"No consta",TRIM('DATOS'!D110&amp;"")&lt;&gt;"Desconocido",TRIM('DATOS'!D110&amp;"")&lt;&gt;"Sin confirmar",TRIM('DATOS'!D110&amp;"")&lt;&gt;"Por decidir",TRIM('DATOS'!D110&amp;"")&lt;&gt;"Por comprobar")),NOT(AND(LEN(TRIM('DATOS'!E110&amp;""))&gt;0,TRIM('DATOS'!E110&amp;"")&lt;&gt;"Pendiente",TRIM('DATOS'!E110&amp;"")&lt;&gt;"Por confirmar",TRIM('DATOS'!E110&amp;"")&lt;&gt;"No consta",TRIM('DATOS'!E110&amp;"")&lt;&gt;"Desconocido",TRIM('DATOS'!E110&amp;"")&lt;&gt;"Sin confirmar",TRIM('DATOS'!E110&amp;"")&lt;&gt;"Por decidir",TRIM('DATOS'!E110&amp;"")&lt;&gt;"Por comprobar"))),2,IF('DATOS'!M110="No",2,IF('DATOS'!M110="Sí",0,IF(OR('DATOS'!D110&lt;&gt;'DATOS'!E110,LEN('DATOS'!E110)&gt;300,RIGHT(TRIM('DATOS'!E110),3)="...",RIGHT(TRIM('DATOS'!E110),1)="…"),1,0))))),2)</f>
      </c>
      <c r="S110" s="29">
        <f>IFERROR(IF(N110=0,"",IF('REFERENCIAS'!$Q$8&lt;&gt;1,2,IF(NOT(Y110=1),1,IF(OR(ABS('DATOS'!G110-ROUND('DATOS'!G110,'REFERENCIAS'!$E$8))&gt;0.00000001,ABS('DATOS'!H110-ROUND('DATOS'!H110,'REFERENCIAS'!$H$8))&gt;0.00000001,ABS('DATOS'!J110-ROUND('DATOS'!J110,'REFERENCIAS'!$K$8))&gt;0.00000001,IF(ISNUMBER('DATOS'!I110),ABS('DATOS'!I110-ROUND('DATOS'!I110,'REFERENCIAS'!$H$8))&gt;0.00000001,FALSE)),1,0)))),2)</f>
      </c>
      <c r="T110" s="29">
        <f>IFERROR(IF(N110=0,"",IF(NOT(AND(LEN(TRIM('DATOS'!F110&amp;""))&gt;0,TRIM('DATOS'!F110&amp;"")&lt;&gt;"Pendiente",TRIM('DATOS'!F110&amp;"")&lt;&gt;"Por confirmar",TRIM('DATOS'!F110&amp;"")&lt;&gt;"No consta",TRIM('DATOS'!F110&amp;"")&lt;&gt;"Desconocido",TRIM('DATOS'!F110&amp;"")&lt;&gt;"Sin confirmar",TRIM('DATOS'!F110&amp;"")&lt;&gt;"Por decidir",TRIM('DATOS'!F110&amp;"")&lt;&gt;"Por comprobar")),2,IF(COUNTIFS('REFERENCIAS'!$T$15:$T$34,"ID:"&amp;SUBSTITUTE(SUBSTITUTE(SUBSTITUTE(SUBSTITUTE(UPPER(TRIM('DATOS'!F110&amp;"")),"!","!E"),"*","!A"),"?","!B"),"~","!C"),'REFERENCIAS'!$H$15:$H$34,"&lt;&gt;")&gt;0,0,1))),2)</f>
      </c>
      <c r="U110" s="29" t="str">
        <f>'DATOS'!R110</f>
        <v>ID:</v>
      </c>
      <c r="V110" s="29" t="str">
        <f>'DATOS'!S110</f>
        <v>ID:</v>
      </c>
      <c r="W110" s="29" t="n">
        <f>IF(N110=0,0,COUNTIFS('REFERENCIAS'!$R$15:$R$64,U110))</f>
        <v>0</v>
      </c>
      <c r="X110" s="29" t="n">
        <f>IF(N110=0,0,COUNTIFS('DATOS'!$R$10:$R$509,U110,'DATOS'!$S$10:$S$509,V110))</f>
        <v>0</v>
      </c>
      <c r="Y110" s="29" t="n">
        <f>IF(AND(ISNUMBER('DATOS'!G110),ISNUMBER('DATOS'!H110),ISNUMBER('DATOS'!J110)),1,0)</f>
        <v>0</v>
      </c>
    </row>
    <row r="111" ht="64" customHeight="1">
      <c r="B111" s="26">
        <f>IF(N111=1,102,"")</f>
      </c>
      <c r="C111" s="26">
        <f>IF(AND(N111=1,LEN(TRIM('DATOS'!B111&amp;""))&gt;0),'DATOS'!B111,"")</f>
      </c>
      <c r="D111" s="26">
        <f>IF(AND(N111=1,LEN(TRIM('DATOS'!C111&amp;""))&gt;0),'DATOS'!C111,"")</f>
      </c>
      <c r="E111" s="26">
        <f>IF(NOT(ISNUMBER(P111)),"",IF(P111=2,"ROJO",IF(P111=1,"ÁMBAR","VERDE")))</f>
      </c>
      <c r="F111" s="26">
        <f>IF(NOT(ISNUMBER(Q111)),"",IF(Q111=2,"ROJO",IF(Q111=1,"ÁMBAR","VERDE")))</f>
      </c>
      <c r="G111" s="26">
        <f>IF(NOT(ISNUMBER(R111)),"",IF(R111=2,"ROJO",IF(R111=1,"ÁMBAR","VERDE")))</f>
      </c>
      <c r="H111" s="26">
        <f>IF(NOT(ISNUMBER(S111)),"",IF(S111=2,"ROJO",IF(S111=1,"ÁMBAR","VERDE")))</f>
      </c>
      <c r="I111" s="26">
        <f>IF(NOT(ISNUMBER(T111)),"",IF(T111=2,"ROJO",IF(T111=1,"ÁMBAR","VERDE")))</f>
      </c>
      <c r="J111" s="26">
        <f>IF(NOT(ISNUMBER(O111)),"",IF(O111=2,"ROJO",IF(O111=1,"ÁMBAR","VERDE")))</f>
      </c>
      <c r="K111" s="26">
        <f>IFERROR(IF(AND(N111=1,LEN(TRIM('DATOS'!N111&amp;""))&gt;0),'DATOS'!N111,""),"Hay una entrada con error. Corregimos el dato antes de cerrar la comprobación.")</f>
      </c>
      <c r="L111" s="26">
        <f>IFERROR(IF(N111=0,"",IF(O111&gt;0,"Completamos datos, claves o motivo. ","")&amp;IF(P111&gt;0,"Cotejamos precios e importe. ","")&amp;IF(Q111&gt;0,"Aclaramos el cero. ","")&amp;IF(R111&gt;0,"Comprobamos el texto. ","")&amp;IF(S111&gt;0,"Revisamos decimales visibles. ","")&amp;IF(T111&gt;0,"Confirmamos la unidad.","")),"Hay una entrada con error. Corregimos el dato antes de cerrar la comprobación.")</f>
      </c>
      <c r="N111" s="29" t="n">
        <f>IF(COUNTA('DATOS'!B111:O111)&gt;0,1,0)</f>
        <v>0</v>
      </c>
      <c r="O111" s="29">
        <f>IFERROR(IF(N111=0,"",IF(OR(NOT(AND(LEN(TRIM('DATOS'!B111&amp;""))&gt;0,TRIM('DATOS'!B111&amp;"")&lt;&gt;"Pendiente",TRIM('DATOS'!B111&amp;"")&lt;&gt;"Por confirmar",TRIM('DATOS'!B111&amp;"")&lt;&gt;"No consta",TRIM('DATOS'!B111&amp;"")&lt;&gt;"Desconocido",TRIM('DATOS'!B111&amp;"")&lt;&gt;"Sin confirmar",TRIM('DATOS'!B111&amp;"")&lt;&gt;"Por decidir",TRIM('DATOS'!B111&amp;"")&lt;&gt;"Por comprobar")),NOT(AND(LEN(TRIM('DATOS'!C111&amp;""))&gt;0,TRIM('DATOS'!C111&amp;"")&lt;&gt;"Pendiente",TRIM('DATOS'!C111&amp;"")&lt;&gt;"Por confirmar",TRIM('DATOS'!C111&amp;"")&lt;&gt;"No consta",TRIM('DATOS'!C111&amp;"")&lt;&gt;"Desconocido",TRIM('DATOS'!C111&amp;"")&lt;&gt;"Sin confirmar",TRIM('DATOS'!C111&amp;"")&lt;&gt;"Por decidir",TRIM('DATOS'!C111&amp;"")&lt;&gt;"Por comprobar")),NOT(AND(LEN(TRIM('DATOS'!D111&amp;""))&gt;0,TRIM('DATOS'!D111&amp;"")&lt;&gt;"Pendiente",TRIM('DATOS'!D111&amp;"")&lt;&gt;"Por confirmar",TRIM('DATOS'!D111&amp;"")&lt;&gt;"No consta",TRIM('DATOS'!D111&amp;"")&lt;&gt;"Desconocido",TRIM('DATOS'!D111&amp;"")&lt;&gt;"Sin confirmar",TRIM('DATOS'!D111&amp;"")&lt;&gt;"Por decidir",TRIM('DATOS'!D111&amp;"")&lt;&gt;"Por comprobar")),NOT(AND(LEN(TRIM('DATOS'!E111&amp;""))&gt;0,TRIM('DATOS'!E111&amp;"")&lt;&gt;"Pendiente",TRIM('DATOS'!E111&amp;"")&lt;&gt;"Por confirmar",TRIM('DATOS'!E111&amp;"")&lt;&gt;"No consta",TRIM('DATOS'!E111&amp;"")&lt;&gt;"Desconocido",TRIM('DATOS'!E111&amp;"")&lt;&gt;"Sin confirmar",TRIM('DATOS'!E111&amp;"")&lt;&gt;"Por decidir",TRIM('DATOS'!E111&amp;"")&lt;&gt;"Por comprobar")),NOT(AND(LEN(TRIM('DATOS'!F111&amp;""))&gt;0,TRIM('DATOS'!F111&amp;"")&lt;&gt;"Pendiente",TRIM('DATOS'!F111&amp;"")&lt;&gt;"Por confirmar",TRIM('DATOS'!F111&amp;"")&lt;&gt;"No consta",TRIM('DATOS'!F111&amp;"")&lt;&gt;"Desconocido",TRIM('DATOS'!F111&amp;"")&lt;&gt;"Sin confirmar",TRIM('DATOS'!F111&amp;"")&lt;&gt;"Por decidir",TRIM('DATOS'!F111&amp;"")&lt;&gt;"Por comprobar")),NOT(AND(LEN(TRIM('DATOS'!N111&amp;""))&gt;0,TRIM('DATOS'!N111&amp;"")&lt;&gt;"Pendiente",TRIM('DATOS'!N111&amp;"")&lt;&gt;"Por confirmar",TRIM('DATOS'!N111&amp;"")&lt;&gt;"No consta",TRIM('DATOS'!N111&amp;"")&lt;&gt;"Desconocido",TRIM('DATOS'!N111&amp;"")&lt;&gt;"Sin confirmar",TRIM('DATOS'!N111&amp;"")&lt;&gt;"Por decidir",TRIM('DATOS'!N111&amp;"")&lt;&gt;"Por comprobar")),NOT(Y111=1),W111&lt;&gt;1,X111&gt;1,NOT(OR(LEN(TRIM('DATOS'!K111&amp;""))=0,'DATOS'!K111="Sin valorar",'DATOS'!K111="Sin coste documentado",'DATOS'!K111="Incluido en otra partida",'DATOS'!K111="Por confirmar")),NOT(OR(LEN(TRIM('DATOS'!M111&amp;""))=0,'DATOS'!M111="Sí",'DATOS'!M111="No",'DATOS'!M111="Por confirmar")),NOT(OR(LEN(TRIM('DATOS'!O111&amp;""))=0,'DATOS'!O111="Comparamos",'DATOS'!O111="No existe",'DATOS'!O111="Por confirmar"))),2,IF(AND(OR('DATOS'!G111&lt;0,'DATOS'!H111&lt;0,'DATOS'!J111&lt;0),NOT(AND(LEN(TRIM('DATOS'!L111&amp;""))&gt;0,TRIM('DATOS'!L111&amp;"")&lt;&gt;"Pendiente",TRIM('DATOS'!L111&amp;"")&lt;&gt;"Por confirmar",TRIM('DATOS'!L111&amp;"")&lt;&gt;"No consta",TRIM('DATOS'!L111&amp;"")&lt;&gt;"Desconocido",TRIM('DATOS'!L111&amp;"")&lt;&gt;"Sin confirmar",TRIM('DATOS'!L111&amp;"")&lt;&gt;"Por decidir",TRIM('DATOS'!L111&amp;"")&lt;&gt;"Por comprobar"))),1,0))),2)</f>
      </c>
      <c r="P111" s="29">
        <f>IFERROR(IF(N111=0,"",IF(NOT(Y111=1),1,IF('REFERENCIAS'!$Q$8&lt;&gt;1,2,IF(ABS('DATOS'!J111-ROUND('DATOS'!G111*'DATOS'!H111,'REFERENCIAS'!$K$8))&gt;0.00000001,2,IF('DATOS'!O111="No existe",IF(LEN(TRIM('DATOS'!I111&amp;""))=0,0,2),IF('DATOS'!O111="Comparamos",IF(LEN(TRIM('DATOS'!I111&amp;""))=0,1,IF(ISNUMBER('DATOS'!I111),IF(ABS('DATOS'!H111-'DATOS'!I111)&gt;0.00000001,2,0),2)),1)))))),2)</f>
      </c>
      <c r="Q111" s="29">
        <f>IFERROR(IF(N111=0,"",IF(NOT(Y111=1),1,IF('DATOS'!K111="Sin valorar",2,IF('DATOS'!G111=0,1,IF(OR('DATOS'!H111=0,'DATOS'!J111=0),IF(AND(OR('DATOS'!K111="Sin coste documentado",'DATOS'!K111="Incluido en otra partida"),AND(LEN(TRIM('DATOS'!L111&amp;""))&gt;0,TRIM('DATOS'!L111&amp;"")&lt;&gt;"Pendiente",TRIM('DATOS'!L111&amp;"")&lt;&gt;"Por confirmar",TRIM('DATOS'!L111&amp;"")&lt;&gt;"No consta",TRIM('DATOS'!L111&amp;"")&lt;&gt;"Desconocido",TRIM('DATOS'!L111&amp;"")&lt;&gt;"Sin confirmar",TRIM('DATOS'!L111&amp;"")&lt;&gt;"Por decidir",TRIM('DATOS'!L111&amp;"")&lt;&gt;"Por comprobar")),0,1),0))))),2)</f>
      </c>
      <c r="R111" s="29">
        <f>IFERROR(IF(N111=0,"",IF(OR(NOT(AND(LEN(TRIM('DATOS'!D111&amp;""))&gt;0,TRIM('DATOS'!D111&amp;"")&lt;&gt;"Pendiente",TRIM('DATOS'!D111&amp;"")&lt;&gt;"Por confirmar",TRIM('DATOS'!D111&amp;"")&lt;&gt;"No consta",TRIM('DATOS'!D111&amp;"")&lt;&gt;"Desconocido",TRIM('DATOS'!D111&amp;"")&lt;&gt;"Sin confirmar",TRIM('DATOS'!D111&amp;"")&lt;&gt;"Por decidir",TRIM('DATOS'!D111&amp;"")&lt;&gt;"Por comprobar")),NOT(AND(LEN(TRIM('DATOS'!E111&amp;""))&gt;0,TRIM('DATOS'!E111&amp;"")&lt;&gt;"Pendiente",TRIM('DATOS'!E111&amp;"")&lt;&gt;"Por confirmar",TRIM('DATOS'!E111&amp;"")&lt;&gt;"No consta",TRIM('DATOS'!E111&amp;"")&lt;&gt;"Desconocido",TRIM('DATOS'!E111&amp;"")&lt;&gt;"Sin confirmar",TRIM('DATOS'!E111&amp;"")&lt;&gt;"Por decidir",TRIM('DATOS'!E111&amp;"")&lt;&gt;"Por comprobar"))),2,IF('DATOS'!M111="No",2,IF('DATOS'!M111="Sí",0,IF(OR('DATOS'!D111&lt;&gt;'DATOS'!E111,LEN('DATOS'!E111)&gt;300,RIGHT(TRIM('DATOS'!E111),3)="...",RIGHT(TRIM('DATOS'!E111),1)="…"),1,0))))),2)</f>
      </c>
      <c r="S111" s="29">
        <f>IFERROR(IF(N111=0,"",IF('REFERENCIAS'!$Q$8&lt;&gt;1,2,IF(NOT(Y111=1),1,IF(OR(ABS('DATOS'!G111-ROUND('DATOS'!G111,'REFERENCIAS'!$E$8))&gt;0.00000001,ABS('DATOS'!H111-ROUND('DATOS'!H111,'REFERENCIAS'!$H$8))&gt;0.00000001,ABS('DATOS'!J111-ROUND('DATOS'!J111,'REFERENCIAS'!$K$8))&gt;0.00000001,IF(ISNUMBER('DATOS'!I111),ABS('DATOS'!I111-ROUND('DATOS'!I111,'REFERENCIAS'!$H$8))&gt;0.00000001,FALSE)),1,0)))),2)</f>
      </c>
      <c r="T111" s="29">
        <f>IFERROR(IF(N111=0,"",IF(NOT(AND(LEN(TRIM('DATOS'!F111&amp;""))&gt;0,TRIM('DATOS'!F111&amp;"")&lt;&gt;"Pendiente",TRIM('DATOS'!F111&amp;"")&lt;&gt;"Por confirmar",TRIM('DATOS'!F111&amp;"")&lt;&gt;"No consta",TRIM('DATOS'!F111&amp;"")&lt;&gt;"Desconocido",TRIM('DATOS'!F111&amp;"")&lt;&gt;"Sin confirmar",TRIM('DATOS'!F111&amp;"")&lt;&gt;"Por decidir",TRIM('DATOS'!F111&amp;"")&lt;&gt;"Por comprobar")),2,IF(COUNTIFS('REFERENCIAS'!$T$15:$T$34,"ID:"&amp;SUBSTITUTE(SUBSTITUTE(SUBSTITUTE(SUBSTITUTE(UPPER(TRIM('DATOS'!F111&amp;"")),"!","!E"),"*","!A"),"?","!B"),"~","!C"),'REFERENCIAS'!$H$15:$H$34,"&lt;&gt;")&gt;0,0,1))),2)</f>
      </c>
      <c r="U111" s="29" t="str">
        <f>'DATOS'!R111</f>
        <v>ID:</v>
      </c>
      <c r="V111" s="29" t="str">
        <f>'DATOS'!S111</f>
        <v>ID:</v>
      </c>
      <c r="W111" s="29" t="n">
        <f>IF(N111=0,0,COUNTIFS('REFERENCIAS'!$R$15:$R$64,U111))</f>
        <v>0</v>
      </c>
      <c r="X111" s="29" t="n">
        <f>IF(N111=0,0,COUNTIFS('DATOS'!$R$10:$R$509,U111,'DATOS'!$S$10:$S$509,V111))</f>
        <v>0</v>
      </c>
      <c r="Y111" s="29" t="n">
        <f>IF(AND(ISNUMBER('DATOS'!G111),ISNUMBER('DATOS'!H111),ISNUMBER('DATOS'!J111)),1,0)</f>
        <v>0</v>
      </c>
    </row>
    <row r="112" ht="64" customHeight="1">
      <c r="B112" s="26">
        <f>IF(N112=1,103,"")</f>
      </c>
      <c r="C112" s="26">
        <f>IF(AND(N112=1,LEN(TRIM('DATOS'!B112&amp;""))&gt;0),'DATOS'!B112,"")</f>
      </c>
      <c r="D112" s="26">
        <f>IF(AND(N112=1,LEN(TRIM('DATOS'!C112&amp;""))&gt;0),'DATOS'!C112,"")</f>
      </c>
      <c r="E112" s="26">
        <f>IF(NOT(ISNUMBER(P112)),"",IF(P112=2,"ROJO",IF(P112=1,"ÁMBAR","VERDE")))</f>
      </c>
      <c r="F112" s="26">
        <f>IF(NOT(ISNUMBER(Q112)),"",IF(Q112=2,"ROJO",IF(Q112=1,"ÁMBAR","VERDE")))</f>
      </c>
      <c r="G112" s="26">
        <f>IF(NOT(ISNUMBER(R112)),"",IF(R112=2,"ROJO",IF(R112=1,"ÁMBAR","VERDE")))</f>
      </c>
      <c r="H112" s="26">
        <f>IF(NOT(ISNUMBER(S112)),"",IF(S112=2,"ROJO",IF(S112=1,"ÁMBAR","VERDE")))</f>
      </c>
      <c r="I112" s="26">
        <f>IF(NOT(ISNUMBER(T112)),"",IF(T112=2,"ROJO",IF(T112=1,"ÁMBAR","VERDE")))</f>
      </c>
      <c r="J112" s="26">
        <f>IF(NOT(ISNUMBER(O112)),"",IF(O112=2,"ROJO",IF(O112=1,"ÁMBAR","VERDE")))</f>
      </c>
      <c r="K112" s="26">
        <f>IFERROR(IF(AND(N112=1,LEN(TRIM('DATOS'!N112&amp;""))&gt;0),'DATOS'!N112,""),"Hay una entrada con error. Corregimos el dato antes de cerrar la comprobación.")</f>
      </c>
      <c r="L112" s="26">
        <f>IFERROR(IF(N112=0,"",IF(O112&gt;0,"Completamos datos, claves o motivo. ","")&amp;IF(P112&gt;0,"Cotejamos precios e importe. ","")&amp;IF(Q112&gt;0,"Aclaramos el cero. ","")&amp;IF(R112&gt;0,"Comprobamos el texto. ","")&amp;IF(S112&gt;0,"Revisamos decimales visibles. ","")&amp;IF(T112&gt;0,"Confirmamos la unidad.","")),"Hay una entrada con error. Corregimos el dato antes de cerrar la comprobación.")</f>
      </c>
      <c r="N112" s="29" t="n">
        <f>IF(COUNTA('DATOS'!B112:O112)&gt;0,1,0)</f>
        <v>0</v>
      </c>
      <c r="O112" s="29">
        <f>IFERROR(IF(N112=0,"",IF(OR(NOT(AND(LEN(TRIM('DATOS'!B112&amp;""))&gt;0,TRIM('DATOS'!B112&amp;"")&lt;&gt;"Pendiente",TRIM('DATOS'!B112&amp;"")&lt;&gt;"Por confirmar",TRIM('DATOS'!B112&amp;"")&lt;&gt;"No consta",TRIM('DATOS'!B112&amp;"")&lt;&gt;"Desconocido",TRIM('DATOS'!B112&amp;"")&lt;&gt;"Sin confirmar",TRIM('DATOS'!B112&amp;"")&lt;&gt;"Por decidir",TRIM('DATOS'!B112&amp;"")&lt;&gt;"Por comprobar")),NOT(AND(LEN(TRIM('DATOS'!C112&amp;""))&gt;0,TRIM('DATOS'!C112&amp;"")&lt;&gt;"Pendiente",TRIM('DATOS'!C112&amp;"")&lt;&gt;"Por confirmar",TRIM('DATOS'!C112&amp;"")&lt;&gt;"No consta",TRIM('DATOS'!C112&amp;"")&lt;&gt;"Desconocido",TRIM('DATOS'!C112&amp;"")&lt;&gt;"Sin confirmar",TRIM('DATOS'!C112&amp;"")&lt;&gt;"Por decidir",TRIM('DATOS'!C112&amp;"")&lt;&gt;"Por comprobar")),NOT(AND(LEN(TRIM('DATOS'!D112&amp;""))&gt;0,TRIM('DATOS'!D112&amp;"")&lt;&gt;"Pendiente",TRIM('DATOS'!D112&amp;"")&lt;&gt;"Por confirmar",TRIM('DATOS'!D112&amp;"")&lt;&gt;"No consta",TRIM('DATOS'!D112&amp;"")&lt;&gt;"Desconocido",TRIM('DATOS'!D112&amp;"")&lt;&gt;"Sin confirmar",TRIM('DATOS'!D112&amp;"")&lt;&gt;"Por decidir",TRIM('DATOS'!D112&amp;"")&lt;&gt;"Por comprobar")),NOT(AND(LEN(TRIM('DATOS'!E112&amp;""))&gt;0,TRIM('DATOS'!E112&amp;"")&lt;&gt;"Pendiente",TRIM('DATOS'!E112&amp;"")&lt;&gt;"Por confirmar",TRIM('DATOS'!E112&amp;"")&lt;&gt;"No consta",TRIM('DATOS'!E112&amp;"")&lt;&gt;"Desconocido",TRIM('DATOS'!E112&amp;"")&lt;&gt;"Sin confirmar",TRIM('DATOS'!E112&amp;"")&lt;&gt;"Por decidir",TRIM('DATOS'!E112&amp;"")&lt;&gt;"Por comprobar")),NOT(AND(LEN(TRIM('DATOS'!F112&amp;""))&gt;0,TRIM('DATOS'!F112&amp;"")&lt;&gt;"Pendiente",TRIM('DATOS'!F112&amp;"")&lt;&gt;"Por confirmar",TRIM('DATOS'!F112&amp;"")&lt;&gt;"No consta",TRIM('DATOS'!F112&amp;"")&lt;&gt;"Desconocido",TRIM('DATOS'!F112&amp;"")&lt;&gt;"Sin confirmar",TRIM('DATOS'!F112&amp;"")&lt;&gt;"Por decidir",TRIM('DATOS'!F112&amp;"")&lt;&gt;"Por comprobar")),NOT(AND(LEN(TRIM('DATOS'!N112&amp;""))&gt;0,TRIM('DATOS'!N112&amp;"")&lt;&gt;"Pendiente",TRIM('DATOS'!N112&amp;"")&lt;&gt;"Por confirmar",TRIM('DATOS'!N112&amp;"")&lt;&gt;"No consta",TRIM('DATOS'!N112&amp;"")&lt;&gt;"Desconocido",TRIM('DATOS'!N112&amp;"")&lt;&gt;"Sin confirmar",TRIM('DATOS'!N112&amp;"")&lt;&gt;"Por decidir",TRIM('DATOS'!N112&amp;"")&lt;&gt;"Por comprobar")),NOT(Y112=1),W112&lt;&gt;1,X112&gt;1,NOT(OR(LEN(TRIM('DATOS'!K112&amp;""))=0,'DATOS'!K112="Sin valorar",'DATOS'!K112="Sin coste documentado",'DATOS'!K112="Incluido en otra partida",'DATOS'!K112="Por confirmar")),NOT(OR(LEN(TRIM('DATOS'!M112&amp;""))=0,'DATOS'!M112="Sí",'DATOS'!M112="No",'DATOS'!M112="Por confirmar")),NOT(OR(LEN(TRIM('DATOS'!O112&amp;""))=0,'DATOS'!O112="Comparamos",'DATOS'!O112="No existe",'DATOS'!O112="Por confirmar"))),2,IF(AND(OR('DATOS'!G112&lt;0,'DATOS'!H112&lt;0,'DATOS'!J112&lt;0),NOT(AND(LEN(TRIM('DATOS'!L112&amp;""))&gt;0,TRIM('DATOS'!L112&amp;"")&lt;&gt;"Pendiente",TRIM('DATOS'!L112&amp;"")&lt;&gt;"Por confirmar",TRIM('DATOS'!L112&amp;"")&lt;&gt;"No consta",TRIM('DATOS'!L112&amp;"")&lt;&gt;"Desconocido",TRIM('DATOS'!L112&amp;"")&lt;&gt;"Sin confirmar",TRIM('DATOS'!L112&amp;"")&lt;&gt;"Por decidir",TRIM('DATOS'!L112&amp;"")&lt;&gt;"Por comprobar"))),1,0))),2)</f>
      </c>
      <c r="P112" s="29">
        <f>IFERROR(IF(N112=0,"",IF(NOT(Y112=1),1,IF('REFERENCIAS'!$Q$8&lt;&gt;1,2,IF(ABS('DATOS'!J112-ROUND('DATOS'!G112*'DATOS'!H112,'REFERENCIAS'!$K$8))&gt;0.00000001,2,IF('DATOS'!O112="No existe",IF(LEN(TRIM('DATOS'!I112&amp;""))=0,0,2),IF('DATOS'!O112="Comparamos",IF(LEN(TRIM('DATOS'!I112&amp;""))=0,1,IF(ISNUMBER('DATOS'!I112),IF(ABS('DATOS'!H112-'DATOS'!I112)&gt;0.00000001,2,0),2)),1)))))),2)</f>
      </c>
      <c r="Q112" s="29">
        <f>IFERROR(IF(N112=0,"",IF(NOT(Y112=1),1,IF('DATOS'!K112="Sin valorar",2,IF('DATOS'!G112=0,1,IF(OR('DATOS'!H112=0,'DATOS'!J112=0),IF(AND(OR('DATOS'!K112="Sin coste documentado",'DATOS'!K112="Incluido en otra partida"),AND(LEN(TRIM('DATOS'!L112&amp;""))&gt;0,TRIM('DATOS'!L112&amp;"")&lt;&gt;"Pendiente",TRIM('DATOS'!L112&amp;"")&lt;&gt;"Por confirmar",TRIM('DATOS'!L112&amp;"")&lt;&gt;"No consta",TRIM('DATOS'!L112&amp;"")&lt;&gt;"Desconocido",TRIM('DATOS'!L112&amp;"")&lt;&gt;"Sin confirmar",TRIM('DATOS'!L112&amp;"")&lt;&gt;"Por decidir",TRIM('DATOS'!L112&amp;"")&lt;&gt;"Por comprobar")),0,1),0))))),2)</f>
      </c>
      <c r="R112" s="29">
        <f>IFERROR(IF(N112=0,"",IF(OR(NOT(AND(LEN(TRIM('DATOS'!D112&amp;""))&gt;0,TRIM('DATOS'!D112&amp;"")&lt;&gt;"Pendiente",TRIM('DATOS'!D112&amp;"")&lt;&gt;"Por confirmar",TRIM('DATOS'!D112&amp;"")&lt;&gt;"No consta",TRIM('DATOS'!D112&amp;"")&lt;&gt;"Desconocido",TRIM('DATOS'!D112&amp;"")&lt;&gt;"Sin confirmar",TRIM('DATOS'!D112&amp;"")&lt;&gt;"Por decidir",TRIM('DATOS'!D112&amp;"")&lt;&gt;"Por comprobar")),NOT(AND(LEN(TRIM('DATOS'!E112&amp;""))&gt;0,TRIM('DATOS'!E112&amp;"")&lt;&gt;"Pendiente",TRIM('DATOS'!E112&amp;"")&lt;&gt;"Por confirmar",TRIM('DATOS'!E112&amp;"")&lt;&gt;"No consta",TRIM('DATOS'!E112&amp;"")&lt;&gt;"Desconocido",TRIM('DATOS'!E112&amp;"")&lt;&gt;"Sin confirmar",TRIM('DATOS'!E112&amp;"")&lt;&gt;"Por decidir",TRIM('DATOS'!E112&amp;"")&lt;&gt;"Por comprobar"))),2,IF('DATOS'!M112="No",2,IF('DATOS'!M112="Sí",0,IF(OR('DATOS'!D112&lt;&gt;'DATOS'!E112,LEN('DATOS'!E112)&gt;300,RIGHT(TRIM('DATOS'!E112),3)="...",RIGHT(TRIM('DATOS'!E112),1)="…"),1,0))))),2)</f>
      </c>
      <c r="S112" s="29">
        <f>IFERROR(IF(N112=0,"",IF('REFERENCIAS'!$Q$8&lt;&gt;1,2,IF(NOT(Y112=1),1,IF(OR(ABS('DATOS'!G112-ROUND('DATOS'!G112,'REFERENCIAS'!$E$8))&gt;0.00000001,ABS('DATOS'!H112-ROUND('DATOS'!H112,'REFERENCIAS'!$H$8))&gt;0.00000001,ABS('DATOS'!J112-ROUND('DATOS'!J112,'REFERENCIAS'!$K$8))&gt;0.00000001,IF(ISNUMBER('DATOS'!I112),ABS('DATOS'!I112-ROUND('DATOS'!I112,'REFERENCIAS'!$H$8))&gt;0.00000001,FALSE)),1,0)))),2)</f>
      </c>
      <c r="T112" s="29">
        <f>IFERROR(IF(N112=0,"",IF(NOT(AND(LEN(TRIM('DATOS'!F112&amp;""))&gt;0,TRIM('DATOS'!F112&amp;"")&lt;&gt;"Pendiente",TRIM('DATOS'!F112&amp;"")&lt;&gt;"Por confirmar",TRIM('DATOS'!F112&amp;"")&lt;&gt;"No consta",TRIM('DATOS'!F112&amp;"")&lt;&gt;"Desconocido",TRIM('DATOS'!F112&amp;"")&lt;&gt;"Sin confirmar",TRIM('DATOS'!F112&amp;"")&lt;&gt;"Por decidir",TRIM('DATOS'!F112&amp;"")&lt;&gt;"Por comprobar")),2,IF(COUNTIFS('REFERENCIAS'!$T$15:$T$34,"ID:"&amp;SUBSTITUTE(SUBSTITUTE(SUBSTITUTE(SUBSTITUTE(UPPER(TRIM('DATOS'!F112&amp;"")),"!","!E"),"*","!A"),"?","!B"),"~","!C"),'REFERENCIAS'!$H$15:$H$34,"&lt;&gt;")&gt;0,0,1))),2)</f>
      </c>
      <c r="U112" s="29" t="str">
        <f>'DATOS'!R112</f>
        <v>ID:</v>
      </c>
      <c r="V112" s="29" t="str">
        <f>'DATOS'!S112</f>
        <v>ID:</v>
      </c>
      <c r="W112" s="29" t="n">
        <f>IF(N112=0,0,COUNTIFS('REFERENCIAS'!$R$15:$R$64,U112))</f>
        <v>0</v>
      </c>
      <c r="X112" s="29" t="n">
        <f>IF(N112=0,0,COUNTIFS('DATOS'!$R$10:$R$509,U112,'DATOS'!$S$10:$S$509,V112))</f>
        <v>0</v>
      </c>
      <c r="Y112" s="29" t="n">
        <f>IF(AND(ISNUMBER('DATOS'!G112),ISNUMBER('DATOS'!H112),ISNUMBER('DATOS'!J112)),1,0)</f>
        <v>0</v>
      </c>
    </row>
    <row r="113" ht="64" customHeight="1">
      <c r="B113" s="26">
        <f>IF(N113=1,104,"")</f>
      </c>
      <c r="C113" s="26">
        <f>IF(AND(N113=1,LEN(TRIM('DATOS'!B113&amp;""))&gt;0),'DATOS'!B113,"")</f>
      </c>
      <c r="D113" s="26">
        <f>IF(AND(N113=1,LEN(TRIM('DATOS'!C113&amp;""))&gt;0),'DATOS'!C113,"")</f>
      </c>
      <c r="E113" s="26">
        <f>IF(NOT(ISNUMBER(P113)),"",IF(P113=2,"ROJO",IF(P113=1,"ÁMBAR","VERDE")))</f>
      </c>
      <c r="F113" s="26">
        <f>IF(NOT(ISNUMBER(Q113)),"",IF(Q113=2,"ROJO",IF(Q113=1,"ÁMBAR","VERDE")))</f>
      </c>
      <c r="G113" s="26">
        <f>IF(NOT(ISNUMBER(R113)),"",IF(R113=2,"ROJO",IF(R113=1,"ÁMBAR","VERDE")))</f>
      </c>
      <c r="H113" s="26">
        <f>IF(NOT(ISNUMBER(S113)),"",IF(S113=2,"ROJO",IF(S113=1,"ÁMBAR","VERDE")))</f>
      </c>
      <c r="I113" s="26">
        <f>IF(NOT(ISNUMBER(T113)),"",IF(T113=2,"ROJO",IF(T113=1,"ÁMBAR","VERDE")))</f>
      </c>
      <c r="J113" s="26">
        <f>IF(NOT(ISNUMBER(O113)),"",IF(O113=2,"ROJO",IF(O113=1,"ÁMBAR","VERDE")))</f>
      </c>
      <c r="K113" s="26">
        <f>IFERROR(IF(AND(N113=1,LEN(TRIM('DATOS'!N113&amp;""))&gt;0),'DATOS'!N113,""),"Hay una entrada con error. Corregimos el dato antes de cerrar la comprobación.")</f>
      </c>
      <c r="L113" s="26">
        <f>IFERROR(IF(N113=0,"",IF(O113&gt;0,"Completamos datos, claves o motivo. ","")&amp;IF(P113&gt;0,"Cotejamos precios e importe. ","")&amp;IF(Q113&gt;0,"Aclaramos el cero. ","")&amp;IF(R113&gt;0,"Comprobamos el texto. ","")&amp;IF(S113&gt;0,"Revisamos decimales visibles. ","")&amp;IF(T113&gt;0,"Confirmamos la unidad.","")),"Hay una entrada con error. Corregimos el dato antes de cerrar la comprobación.")</f>
      </c>
      <c r="N113" s="29" t="n">
        <f>IF(COUNTA('DATOS'!B113:O113)&gt;0,1,0)</f>
        <v>0</v>
      </c>
      <c r="O113" s="29">
        <f>IFERROR(IF(N113=0,"",IF(OR(NOT(AND(LEN(TRIM('DATOS'!B113&amp;""))&gt;0,TRIM('DATOS'!B113&amp;"")&lt;&gt;"Pendiente",TRIM('DATOS'!B113&amp;"")&lt;&gt;"Por confirmar",TRIM('DATOS'!B113&amp;"")&lt;&gt;"No consta",TRIM('DATOS'!B113&amp;"")&lt;&gt;"Desconocido",TRIM('DATOS'!B113&amp;"")&lt;&gt;"Sin confirmar",TRIM('DATOS'!B113&amp;"")&lt;&gt;"Por decidir",TRIM('DATOS'!B113&amp;"")&lt;&gt;"Por comprobar")),NOT(AND(LEN(TRIM('DATOS'!C113&amp;""))&gt;0,TRIM('DATOS'!C113&amp;"")&lt;&gt;"Pendiente",TRIM('DATOS'!C113&amp;"")&lt;&gt;"Por confirmar",TRIM('DATOS'!C113&amp;"")&lt;&gt;"No consta",TRIM('DATOS'!C113&amp;"")&lt;&gt;"Desconocido",TRIM('DATOS'!C113&amp;"")&lt;&gt;"Sin confirmar",TRIM('DATOS'!C113&amp;"")&lt;&gt;"Por decidir",TRIM('DATOS'!C113&amp;"")&lt;&gt;"Por comprobar")),NOT(AND(LEN(TRIM('DATOS'!D113&amp;""))&gt;0,TRIM('DATOS'!D113&amp;"")&lt;&gt;"Pendiente",TRIM('DATOS'!D113&amp;"")&lt;&gt;"Por confirmar",TRIM('DATOS'!D113&amp;"")&lt;&gt;"No consta",TRIM('DATOS'!D113&amp;"")&lt;&gt;"Desconocido",TRIM('DATOS'!D113&amp;"")&lt;&gt;"Sin confirmar",TRIM('DATOS'!D113&amp;"")&lt;&gt;"Por decidir",TRIM('DATOS'!D113&amp;"")&lt;&gt;"Por comprobar")),NOT(AND(LEN(TRIM('DATOS'!E113&amp;""))&gt;0,TRIM('DATOS'!E113&amp;"")&lt;&gt;"Pendiente",TRIM('DATOS'!E113&amp;"")&lt;&gt;"Por confirmar",TRIM('DATOS'!E113&amp;"")&lt;&gt;"No consta",TRIM('DATOS'!E113&amp;"")&lt;&gt;"Desconocido",TRIM('DATOS'!E113&amp;"")&lt;&gt;"Sin confirmar",TRIM('DATOS'!E113&amp;"")&lt;&gt;"Por decidir",TRIM('DATOS'!E113&amp;"")&lt;&gt;"Por comprobar")),NOT(AND(LEN(TRIM('DATOS'!F113&amp;""))&gt;0,TRIM('DATOS'!F113&amp;"")&lt;&gt;"Pendiente",TRIM('DATOS'!F113&amp;"")&lt;&gt;"Por confirmar",TRIM('DATOS'!F113&amp;"")&lt;&gt;"No consta",TRIM('DATOS'!F113&amp;"")&lt;&gt;"Desconocido",TRIM('DATOS'!F113&amp;"")&lt;&gt;"Sin confirmar",TRIM('DATOS'!F113&amp;"")&lt;&gt;"Por decidir",TRIM('DATOS'!F113&amp;"")&lt;&gt;"Por comprobar")),NOT(AND(LEN(TRIM('DATOS'!N113&amp;""))&gt;0,TRIM('DATOS'!N113&amp;"")&lt;&gt;"Pendiente",TRIM('DATOS'!N113&amp;"")&lt;&gt;"Por confirmar",TRIM('DATOS'!N113&amp;"")&lt;&gt;"No consta",TRIM('DATOS'!N113&amp;"")&lt;&gt;"Desconocido",TRIM('DATOS'!N113&amp;"")&lt;&gt;"Sin confirmar",TRIM('DATOS'!N113&amp;"")&lt;&gt;"Por decidir",TRIM('DATOS'!N113&amp;"")&lt;&gt;"Por comprobar")),NOT(Y113=1),W113&lt;&gt;1,X113&gt;1,NOT(OR(LEN(TRIM('DATOS'!K113&amp;""))=0,'DATOS'!K113="Sin valorar",'DATOS'!K113="Sin coste documentado",'DATOS'!K113="Incluido en otra partida",'DATOS'!K113="Por confirmar")),NOT(OR(LEN(TRIM('DATOS'!M113&amp;""))=0,'DATOS'!M113="Sí",'DATOS'!M113="No",'DATOS'!M113="Por confirmar")),NOT(OR(LEN(TRIM('DATOS'!O113&amp;""))=0,'DATOS'!O113="Comparamos",'DATOS'!O113="No existe",'DATOS'!O113="Por confirmar"))),2,IF(AND(OR('DATOS'!G113&lt;0,'DATOS'!H113&lt;0,'DATOS'!J113&lt;0),NOT(AND(LEN(TRIM('DATOS'!L113&amp;""))&gt;0,TRIM('DATOS'!L113&amp;"")&lt;&gt;"Pendiente",TRIM('DATOS'!L113&amp;"")&lt;&gt;"Por confirmar",TRIM('DATOS'!L113&amp;"")&lt;&gt;"No consta",TRIM('DATOS'!L113&amp;"")&lt;&gt;"Desconocido",TRIM('DATOS'!L113&amp;"")&lt;&gt;"Sin confirmar",TRIM('DATOS'!L113&amp;"")&lt;&gt;"Por decidir",TRIM('DATOS'!L113&amp;"")&lt;&gt;"Por comprobar"))),1,0))),2)</f>
      </c>
      <c r="P113" s="29">
        <f>IFERROR(IF(N113=0,"",IF(NOT(Y113=1),1,IF('REFERENCIAS'!$Q$8&lt;&gt;1,2,IF(ABS('DATOS'!J113-ROUND('DATOS'!G113*'DATOS'!H113,'REFERENCIAS'!$K$8))&gt;0.00000001,2,IF('DATOS'!O113="No existe",IF(LEN(TRIM('DATOS'!I113&amp;""))=0,0,2),IF('DATOS'!O113="Comparamos",IF(LEN(TRIM('DATOS'!I113&amp;""))=0,1,IF(ISNUMBER('DATOS'!I113),IF(ABS('DATOS'!H113-'DATOS'!I113)&gt;0.00000001,2,0),2)),1)))))),2)</f>
      </c>
      <c r="Q113" s="29">
        <f>IFERROR(IF(N113=0,"",IF(NOT(Y113=1),1,IF('DATOS'!K113="Sin valorar",2,IF('DATOS'!G113=0,1,IF(OR('DATOS'!H113=0,'DATOS'!J113=0),IF(AND(OR('DATOS'!K113="Sin coste documentado",'DATOS'!K113="Incluido en otra partida"),AND(LEN(TRIM('DATOS'!L113&amp;""))&gt;0,TRIM('DATOS'!L113&amp;"")&lt;&gt;"Pendiente",TRIM('DATOS'!L113&amp;"")&lt;&gt;"Por confirmar",TRIM('DATOS'!L113&amp;"")&lt;&gt;"No consta",TRIM('DATOS'!L113&amp;"")&lt;&gt;"Desconocido",TRIM('DATOS'!L113&amp;"")&lt;&gt;"Sin confirmar",TRIM('DATOS'!L113&amp;"")&lt;&gt;"Por decidir",TRIM('DATOS'!L113&amp;"")&lt;&gt;"Por comprobar")),0,1),0))))),2)</f>
      </c>
      <c r="R113" s="29">
        <f>IFERROR(IF(N113=0,"",IF(OR(NOT(AND(LEN(TRIM('DATOS'!D113&amp;""))&gt;0,TRIM('DATOS'!D113&amp;"")&lt;&gt;"Pendiente",TRIM('DATOS'!D113&amp;"")&lt;&gt;"Por confirmar",TRIM('DATOS'!D113&amp;"")&lt;&gt;"No consta",TRIM('DATOS'!D113&amp;"")&lt;&gt;"Desconocido",TRIM('DATOS'!D113&amp;"")&lt;&gt;"Sin confirmar",TRIM('DATOS'!D113&amp;"")&lt;&gt;"Por decidir",TRIM('DATOS'!D113&amp;"")&lt;&gt;"Por comprobar")),NOT(AND(LEN(TRIM('DATOS'!E113&amp;""))&gt;0,TRIM('DATOS'!E113&amp;"")&lt;&gt;"Pendiente",TRIM('DATOS'!E113&amp;"")&lt;&gt;"Por confirmar",TRIM('DATOS'!E113&amp;"")&lt;&gt;"No consta",TRIM('DATOS'!E113&amp;"")&lt;&gt;"Desconocido",TRIM('DATOS'!E113&amp;"")&lt;&gt;"Sin confirmar",TRIM('DATOS'!E113&amp;"")&lt;&gt;"Por decidir",TRIM('DATOS'!E113&amp;"")&lt;&gt;"Por comprobar"))),2,IF('DATOS'!M113="No",2,IF('DATOS'!M113="Sí",0,IF(OR('DATOS'!D113&lt;&gt;'DATOS'!E113,LEN('DATOS'!E113)&gt;300,RIGHT(TRIM('DATOS'!E113),3)="...",RIGHT(TRIM('DATOS'!E113),1)="…"),1,0))))),2)</f>
      </c>
      <c r="S113" s="29">
        <f>IFERROR(IF(N113=0,"",IF('REFERENCIAS'!$Q$8&lt;&gt;1,2,IF(NOT(Y113=1),1,IF(OR(ABS('DATOS'!G113-ROUND('DATOS'!G113,'REFERENCIAS'!$E$8))&gt;0.00000001,ABS('DATOS'!H113-ROUND('DATOS'!H113,'REFERENCIAS'!$H$8))&gt;0.00000001,ABS('DATOS'!J113-ROUND('DATOS'!J113,'REFERENCIAS'!$K$8))&gt;0.00000001,IF(ISNUMBER('DATOS'!I113),ABS('DATOS'!I113-ROUND('DATOS'!I113,'REFERENCIAS'!$H$8))&gt;0.00000001,FALSE)),1,0)))),2)</f>
      </c>
      <c r="T113" s="29">
        <f>IFERROR(IF(N113=0,"",IF(NOT(AND(LEN(TRIM('DATOS'!F113&amp;""))&gt;0,TRIM('DATOS'!F113&amp;"")&lt;&gt;"Pendiente",TRIM('DATOS'!F113&amp;"")&lt;&gt;"Por confirmar",TRIM('DATOS'!F113&amp;"")&lt;&gt;"No consta",TRIM('DATOS'!F113&amp;"")&lt;&gt;"Desconocido",TRIM('DATOS'!F113&amp;"")&lt;&gt;"Sin confirmar",TRIM('DATOS'!F113&amp;"")&lt;&gt;"Por decidir",TRIM('DATOS'!F113&amp;"")&lt;&gt;"Por comprobar")),2,IF(COUNTIFS('REFERENCIAS'!$T$15:$T$34,"ID:"&amp;SUBSTITUTE(SUBSTITUTE(SUBSTITUTE(SUBSTITUTE(UPPER(TRIM('DATOS'!F113&amp;"")),"!","!E"),"*","!A"),"?","!B"),"~","!C"),'REFERENCIAS'!$H$15:$H$34,"&lt;&gt;")&gt;0,0,1))),2)</f>
      </c>
      <c r="U113" s="29" t="str">
        <f>'DATOS'!R113</f>
        <v>ID:</v>
      </c>
      <c r="V113" s="29" t="str">
        <f>'DATOS'!S113</f>
        <v>ID:</v>
      </c>
      <c r="W113" s="29" t="n">
        <f>IF(N113=0,0,COUNTIFS('REFERENCIAS'!$R$15:$R$64,U113))</f>
        <v>0</v>
      </c>
      <c r="X113" s="29" t="n">
        <f>IF(N113=0,0,COUNTIFS('DATOS'!$R$10:$R$509,U113,'DATOS'!$S$10:$S$509,V113))</f>
        <v>0</v>
      </c>
      <c r="Y113" s="29" t="n">
        <f>IF(AND(ISNUMBER('DATOS'!G113),ISNUMBER('DATOS'!H113),ISNUMBER('DATOS'!J113)),1,0)</f>
        <v>0</v>
      </c>
    </row>
    <row r="114" ht="64" customHeight="1">
      <c r="B114" s="26">
        <f>IF(N114=1,105,"")</f>
      </c>
      <c r="C114" s="26">
        <f>IF(AND(N114=1,LEN(TRIM('DATOS'!B114&amp;""))&gt;0),'DATOS'!B114,"")</f>
      </c>
      <c r="D114" s="26">
        <f>IF(AND(N114=1,LEN(TRIM('DATOS'!C114&amp;""))&gt;0),'DATOS'!C114,"")</f>
      </c>
      <c r="E114" s="26">
        <f>IF(NOT(ISNUMBER(P114)),"",IF(P114=2,"ROJO",IF(P114=1,"ÁMBAR","VERDE")))</f>
      </c>
      <c r="F114" s="26">
        <f>IF(NOT(ISNUMBER(Q114)),"",IF(Q114=2,"ROJO",IF(Q114=1,"ÁMBAR","VERDE")))</f>
      </c>
      <c r="G114" s="26">
        <f>IF(NOT(ISNUMBER(R114)),"",IF(R114=2,"ROJO",IF(R114=1,"ÁMBAR","VERDE")))</f>
      </c>
      <c r="H114" s="26">
        <f>IF(NOT(ISNUMBER(S114)),"",IF(S114=2,"ROJO",IF(S114=1,"ÁMBAR","VERDE")))</f>
      </c>
      <c r="I114" s="26">
        <f>IF(NOT(ISNUMBER(T114)),"",IF(T114=2,"ROJO",IF(T114=1,"ÁMBAR","VERDE")))</f>
      </c>
      <c r="J114" s="26">
        <f>IF(NOT(ISNUMBER(O114)),"",IF(O114=2,"ROJO",IF(O114=1,"ÁMBAR","VERDE")))</f>
      </c>
      <c r="K114" s="26">
        <f>IFERROR(IF(AND(N114=1,LEN(TRIM('DATOS'!N114&amp;""))&gt;0),'DATOS'!N114,""),"Hay una entrada con error. Corregimos el dato antes de cerrar la comprobación.")</f>
      </c>
      <c r="L114" s="26">
        <f>IFERROR(IF(N114=0,"",IF(O114&gt;0,"Completamos datos, claves o motivo. ","")&amp;IF(P114&gt;0,"Cotejamos precios e importe. ","")&amp;IF(Q114&gt;0,"Aclaramos el cero. ","")&amp;IF(R114&gt;0,"Comprobamos el texto. ","")&amp;IF(S114&gt;0,"Revisamos decimales visibles. ","")&amp;IF(T114&gt;0,"Confirmamos la unidad.","")),"Hay una entrada con error. Corregimos el dato antes de cerrar la comprobación.")</f>
      </c>
      <c r="N114" s="29" t="n">
        <f>IF(COUNTA('DATOS'!B114:O114)&gt;0,1,0)</f>
        <v>0</v>
      </c>
      <c r="O114" s="29">
        <f>IFERROR(IF(N114=0,"",IF(OR(NOT(AND(LEN(TRIM('DATOS'!B114&amp;""))&gt;0,TRIM('DATOS'!B114&amp;"")&lt;&gt;"Pendiente",TRIM('DATOS'!B114&amp;"")&lt;&gt;"Por confirmar",TRIM('DATOS'!B114&amp;"")&lt;&gt;"No consta",TRIM('DATOS'!B114&amp;"")&lt;&gt;"Desconocido",TRIM('DATOS'!B114&amp;"")&lt;&gt;"Sin confirmar",TRIM('DATOS'!B114&amp;"")&lt;&gt;"Por decidir",TRIM('DATOS'!B114&amp;"")&lt;&gt;"Por comprobar")),NOT(AND(LEN(TRIM('DATOS'!C114&amp;""))&gt;0,TRIM('DATOS'!C114&amp;"")&lt;&gt;"Pendiente",TRIM('DATOS'!C114&amp;"")&lt;&gt;"Por confirmar",TRIM('DATOS'!C114&amp;"")&lt;&gt;"No consta",TRIM('DATOS'!C114&amp;"")&lt;&gt;"Desconocido",TRIM('DATOS'!C114&amp;"")&lt;&gt;"Sin confirmar",TRIM('DATOS'!C114&amp;"")&lt;&gt;"Por decidir",TRIM('DATOS'!C114&amp;"")&lt;&gt;"Por comprobar")),NOT(AND(LEN(TRIM('DATOS'!D114&amp;""))&gt;0,TRIM('DATOS'!D114&amp;"")&lt;&gt;"Pendiente",TRIM('DATOS'!D114&amp;"")&lt;&gt;"Por confirmar",TRIM('DATOS'!D114&amp;"")&lt;&gt;"No consta",TRIM('DATOS'!D114&amp;"")&lt;&gt;"Desconocido",TRIM('DATOS'!D114&amp;"")&lt;&gt;"Sin confirmar",TRIM('DATOS'!D114&amp;"")&lt;&gt;"Por decidir",TRIM('DATOS'!D114&amp;"")&lt;&gt;"Por comprobar")),NOT(AND(LEN(TRIM('DATOS'!E114&amp;""))&gt;0,TRIM('DATOS'!E114&amp;"")&lt;&gt;"Pendiente",TRIM('DATOS'!E114&amp;"")&lt;&gt;"Por confirmar",TRIM('DATOS'!E114&amp;"")&lt;&gt;"No consta",TRIM('DATOS'!E114&amp;"")&lt;&gt;"Desconocido",TRIM('DATOS'!E114&amp;"")&lt;&gt;"Sin confirmar",TRIM('DATOS'!E114&amp;"")&lt;&gt;"Por decidir",TRIM('DATOS'!E114&amp;"")&lt;&gt;"Por comprobar")),NOT(AND(LEN(TRIM('DATOS'!F114&amp;""))&gt;0,TRIM('DATOS'!F114&amp;"")&lt;&gt;"Pendiente",TRIM('DATOS'!F114&amp;"")&lt;&gt;"Por confirmar",TRIM('DATOS'!F114&amp;"")&lt;&gt;"No consta",TRIM('DATOS'!F114&amp;"")&lt;&gt;"Desconocido",TRIM('DATOS'!F114&amp;"")&lt;&gt;"Sin confirmar",TRIM('DATOS'!F114&amp;"")&lt;&gt;"Por decidir",TRIM('DATOS'!F114&amp;"")&lt;&gt;"Por comprobar")),NOT(AND(LEN(TRIM('DATOS'!N114&amp;""))&gt;0,TRIM('DATOS'!N114&amp;"")&lt;&gt;"Pendiente",TRIM('DATOS'!N114&amp;"")&lt;&gt;"Por confirmar",TRIM('DATOS'!N114&amp;"")&lt;&gt;"No consta",TRIM('DATOS'!N114&amp;"")&lt;&gt;"Desconocido",TRIM('DATOS'!N114&amp;"")&lt;&gt;"Sin confirmar",TRIM('DATOS'!N114&amp;"")&lt;&gt;"Por decidir",TRIM('DATOS'!N114&amp;"")&lt;&gt;"Por comprobar")),NOT(Y114=1),W114&lt;&gt;1,X114&gt;1,NOT(OR(LEN(TRIM('DATOS'!K114&amp;""))=0,'DATOS'!K114="Sin valorar",'DATOS'!K114="Sin coste documentado",'DATOS'!K114="Incluido en otra partida",'DATOS'!K114="Por confirmar")),NOT(OR(LEN(TRIM('DATOS'!M114&amp;""))=0,'DATOS'!M114="Sí",'DATOS'!M114="No",'DATOS'!M114="Por confirmar")),NOT(OR(LEN(TRIM('DATOS'!O114&amp;""))=0,'DATOS'!O114="Comparamos",'DATOS'!O114="No existe",'DATOS'!O114="Por confirmar"))),2,IF(AND(OR('DATOS'!G114&lt;0,'DATOS'!H114&lt;0,'DATOS'!J114&lt;0),NOT(AND(LEN(TRIM('DATOS'!L114&amp;""))&gt;0,TRIM('DATOS'!L114&amp;"")&lt;&gt;"Pendiente",TRIM('DATOS'!L114&amp;"")&lt;&gt;"Por confirmar",TRIM('DATOS'!L114&amp;"")&lt;&gt;"No consta",TRIM('DATOS'!L114&amp;"")&lt;&gt;"Desconocido",TRIM('DATOS'!L114&amp;"")&lt;&gt;"Sin confirmar",TRIM('DATOS'!L114&amp;"")&lt;&gt;"Por decidir",TRIM('DATOS'!L114&amp;"")&lt;&gt;"Por comprobar"))),1,0))),2)</f>
      </c>
      <c r="P114" s="29">
        <f>IFERROR(IF(N114=0,"",IF(NOT(Y114=1),1,IF('REFERENCIAS'!$Q$8&lt;&gt;1,2,IF(ABS('DATOS'!J114-ROUND('DATOS'!G114*'DATOS'!H114,'REFERENCIAS'!$K$8))&gt;0.00000001,2,IF('DATOS'!O114="No existe",IF(LEN(TRIM('DATOS'!I114&amp;""))=0,0,2),IF('DATOS'!O114="Comparamos",IF(LEN(TRIM('DATOS'!I114&amp;""))=0,1,IF(ISNUMBER('DATOS'!I114),IF(ABS('DATOS'!H114-'DATOS'!I114)&gt;0.00000001,2,0),2)),1)))))),2)</f>
      </c>
      <c r="Q114" s="29">
        <f>IFERROR(IF(N114=0,"",IF(NOT(Y114=1),1,IF('DATOS'!K114="Sin valorar",2,IF('DATOS'!G114=0,1,IF(OR('DATOS'!H114=0,'DATOS'!J114=0),IF(AND(OR('DATOS'!K114="Sin coste documentado",'DATOS'!K114="Incluido en otra partida"),AND(LEN(TRIM('DATOS'!L114&amp;""))&gt;0,TRIM('DATOS'!L114&amp;"")&lt;&gt;"Pendiente",TRIM('DATOS'!L114&amp;"")&lt;&gt;"Por confirmar",TRIM('DATOS'!L114&amp;"")&lt;&gt;"No consta",TRIM('DATOS'!L114&amp;"")&lt;&gt;"Desconocido",TRIM('DATOS'!L114&amp;"")&lt;&gt;"Sin confirmar",TRIM('DATOS'!L114&amp;"")&lt;&gt;"Por decidir",TRIM('DATOS'!L114&amp;"")&lt;&gt;"Por comprobar")),0,1),0))))),2)</f>
      </c>
      <c r="R114" s="29">
        <f>IFERROR(IF(N114=0,"",IF(OR(NOT(AND(LEN(TRIM('DATOS'!D114&amp;""))&gt;0,TRIM('DATOS'!D114&amp;"")&lt;&gt;"Pendiente",TRIM('DATOS'!D114&amp;"")&lt;&gt;"Por confirmar",TRIM('DATOS'!D114&amp;"")&lt;&gt;"No consta",TRIM('DATOS'!D114&amp;"")&lt;&gt;"Desconocido",TRIM('DATOS'!D114&amp;"")&lt;&gt;"Sin confirmar",TRIM('DATOS'!D114&amp;"")&lt;&gt;"Por decidir",TRIM('DATOS'!D114&amp;"")&lt;&gt;"Por comprobar")),NOT(AND(LEN(TRIM('DATOS'!E114&amp;""))&gt;0,TRIM('DATOS'!E114&amp;"")&lt;&gt;"Pendiente",TRIM('DATOS'!E114&amp;"")&lt;&gt;"Por confirmar",TRIM('DATOS'!E114&amp;"")&lt;&gt;"No consta",TRIM('DATOS'!E114&amp;"")&lt;&gt;"Desconocido",TRIM('DATOS'!E114&amp;"")&lt;&gt;"Sin confirmar",TRIM('DATOS'!E114&amp;"")&lt;&gt;"Por decidir",TRIM('DATOS'!E114&amp;"")&lt;&gt;"Por comprobar"))),2,IF('DATOS'!M114="No",2,IF('DATOS'!M114="Sí",0,IF(OR('DATOS'!D114&lt;&gt;'DATOS'!E114,LEN('DATOS'!E114)&gt;300,RIGHT(TRIM('DATOS'!E114),3)="...",RIGHT(TRIM('DATOS'!E114),1)="…"),1,0))))),2)</f>
      </c>
      <c r="S114" s="29">
        <f>IFERROR(IF(N114=0,"",IF('REFERENCIAS'!$Q$8&lt;&gt;1,2,IF(NOT(Y114=1),1,IF(OR(ABS('DATOS'!G114-ROUND('DATOS'!G114,'REFERENCIAS'!$E$8))&gt;0.00000001,ABS('DATOS'!H114-ROUND('DATOS'!H114,'REFERENCIAS'!$H$8))&gt;0.00000001,ABS('DATOS'!J114-ROUND('DATOS'!J114,'REFERENCIAS'!$K$8))&gt;0.00000001,IF(ISNUMBER('DATOS'!I114),ABS('DATOS'!I114-ROUND('DATOS'!I114,'REFERENCIAS'!$H$8))&gt;0.00000001,FALSE)),1,0)))),2)</f>
      </c>
      <c r="T114" s="29">
        <f>IFERROR(IF(N114=0,"",IF(NOT(AND(LEN(TRIM('DATOS'!F114&amp;""))&gt;0,TRIM('DATOS'!F114&amp;"")&lt;&gt;"Pendiente",TRIM('DATOS'!F114&amp;"")&lt;&gt;"Por confirmar",TRIM('DATOS'!F114&amp;"")&lt;&gt;"No consta",TRIM('DATOS'!F114&amp;"")&lt;&gt;"Desconocido",TRIM('DATOS'!F114&amp;"")&lt;&gt;"Sin confirmar",TRIM('DATOS'!F114&amp;"")&lt;&gt;"Por decidir",TRIM('DATOS'!F114&amp;"")&lt;&gt;"Por comprobar")),2,IF(COUNTIFS('REFERENCIAS'!$T$15:$T$34,"ID:"&amp;SUBSTITUTE(SUBSTITUTE(SUBSTITUTE(SUBSTITUTE(UPPER(TRIM('DATOS'!F114&amp;"")),"!","!E"),"*","!A"),"?","!B"),"~","!C"),'REFERENCIAS'!$H$15:$H$34,"&lt;&gt;")&gt;0,0,1))),2)</f>
      </c>
      <c r="U114" s="29" t="str">
        <f>'DATOS'!R114</f>
        <v>ID:</v>
      </c>
      <c r="V114" s="29" t="str">
        <f>'DATOS'!S114</f>
        <v>ID:</v>
      </c>
      <c r="W114" s="29" t="n">
        <f>IF(N114=0,0,COUNTIFS('REFERENCIAS'!$R$15:$R$64,U114))</f>
        <v>0</v>
      </c>
      <c r="X114" s="29" t="n">
        <f>IF(N114=0,0,COUNTIFS('DATOS'!$R$10:$R$509,U114,'DATOS'!$S$10:$S$509,V114))</f>
        <v>0</v>
      </c>
      <c r="Y114" s="29" t="n">
        <f>IF(AND(ISNUMBER('DATOS'!G114),ISNUMBER('DATOS'!H114),ISNUMBER('DATOS'!J114)),1,0)</f>
        <v>0</v>
      </c>
    </row>
    <row r="115" ht="64" customHeight="1">
      <c r="B115" s="26">
        <f>IF(N115=1,106,"")</f>
      </c>
      <c r="C115" s="26">
        <f>IF(AND(N115=1,LEN(TRIM('DATOS'!B115&amp;""))&gt;0),'DATOS'!B115,"")</f>
      </c>
      <c r="D115" s="26">
        <f>IF(AND(N115=1,LEN(TRIM('DATOS'!C115&amp;""))&gt;0),'DATOS'!C115,"")</f>
      </c>
      <c r="E115" s="26">
        <f>IF(NOT(ISNUMBER(P115)),"",IF(P115=2,"ROJO",IF(P115=1,"ÁMBAR","VERDE")))</f>
      </c>
      <c r="F115" s="26">
        <f>IF(NOT(ISNUMBER(Q115)),"",IF(Q115=2,"ROJO",IF(Q115=1,"ÁMBAR","VERDE")))</f>
      </c>
      <c r="G115" s="26">
        <f>IF(NOT(ISNUMBER(R115)),"",IF(R115=2,"ROJO",IF(R115=1,"ÁMBAR","VERDE")))</f>
      </c>
      <c r="H115" s="26">
        <f>IF(NOT(ISNUMBER(S115)),"",IF(S115=2,"ROJO",IF(S115=1,"ÁMBAR","VERDE")))</f>
      </c>
      <c r="I115" s="26">
        <f>IF(NOT(ISNUMBER(T115)),"",IF(T115=2,"ROJO",IF(T115=1,"ÁMBAR","VERDE")))</f>
      </c>
      <c r="J115" s="26">
        <f>IF(NOT(ISNUMBER(O115)),"",IF(O115=2,"ROJO",IF(O115=1,"ÁMBAR","VERDE")))</f>
      </c>
      <c r="K115" s="26">
        <f>IFERROR(IF(AND(N115=1,LEN(TRIM('DATOS'!N115&amp;""))&gt;0),'DATOS'!N115,""),"Hay una entrada con error. Corregimos el dato antes de cerrar la comprobación.")</f>
      </c>
      <c r="L115" s="26">
        <f>IFERROR(IF(N115=0,"",IF(O115&gt;0,"Completamos datos, claves o motivo. ","")&amp;IF(P115&gt;0,"Cotejamos precios e importe. ","")&amp;IF(Q115&gt;0,"Aclaramos el cero. ","")&amp;IF(R115&gt;0,"Comprobamos el texto. ","")&amp;IF(S115&gt;0,"Revisamos decimales visibles. ","")&amp;IF(T115&gt;0,"Confirmamos la unidad.","")),"Hay una entrada con error. Corregimos el dato antes de cerrar la comprobación.")</f>
      </c>
      <c r="N115" s="29" t="n">
        <f>IF(COUNTA('DATOS'!B115:O115)&gt;0,1,0)</f>
        <v>0</v>
      </c>
      <c r="O115" s="29">
        <f>IFERROR(IF(N115=0,"",IF(OR(NOT(AND(LEN(TRIM('DATOS'!B115&amp;""))&gt;0,TRIM('DATOS'!B115&amp;"")&lt;&gt;"Pendiente",TRIM('DATOS'!B115&amp;"")&lt;&gt;"Por confirmar",TRIM('DATOS'!B115&amp;"")&lt;&gt;"No consta",TRIM('DATOS'!B115&amp;"")&lt;&gt;"Desconocido",TRIM('DATOS'!B115&amp;"")&lt;&gt;"Sin confirmar",TRIM('DATOS'!B115&amp;"")&lt;&gt;"Por decidir",TRIM('DATOS'!B115&amp;"")&lt;&gt;"Por comprobar")),NOT(AND(LEN(TRIM('DATOS'!C115&amp;""))&gt;0,TRIM('DATOS'!C115&amp;"")&lt;&gt;"Pendiente",TRIM('DATOS'!C115&amp;"")&lt;&gt;"Por confirmar",TRIM('DATOS'!C115&amp;"")&lt;&gt;"No consta",TRIM('DATOS'!C115&amp;"")&lt;&gt;"Desconocido",TRIM('DATOS'!C115&amp;"")&lt;&gt;"Sin confirmar",TRIM('DATOS'!C115&amp;"")&lt;&gt;"Por decidir",TRIM('DATOS'!C115&amp;"")&lt;&gt;"Por comprobar")),NOT(AND(LEN(TRIM('DATOS'!D115&amp;""))&gt;0,TRIM('DATOS'!D115&amp;"")&lt;&gt;"Pendiente",TRIM('DATOS'!D115&amp;"")&lt;&gt;"Por confirmar",TRIM('DATOS'!D115&amp;"")&lt;&gt;"No consta",TRIM('DATOS'!D115&amp;"")&lt;&gt;"Desconocido",TRIM('DATOS'!D115&amp;"")&lt;&gt;"Sin confirmar",TRIM('DATOS'!D115&amp;"")&lt;&gt;"Por decidir",TRIM('DATOS'!D115&amp;"")&lt;&gt;"Por comprobar")),NOT(AND(LEN(TRIM('DATOS'!E115&amp;""))&gt;0,TRIM('DATOS'!E115&amp;"")&lt;&gt;"Pendiente",TRIM('DATOS'!E115&amp;"")&lt;&gt;"Por confirmar",TRIM('DATOS'!E115&amp;"")&lt;&gt;"No consta",TRIM('DATOS'!E115&amp;"")&lt;&gt;"Desconocido",TRIM('DATOS'!E115&amp;"")&lt;&gt;"Sin confirmar",TRIM('DATOS'!E115&amp;"")&lt;&gt;"Por decidir",TRIM('DATOS'!E115&amp;"")&lt;&gt;"Por comprobar")),NOT(AND(LEN(TRIM('DATOS'!F115&amp;""))&gt;0,TRIM('DATOS'!F115&amp;"")&lt;&gt;"Pendiente",TRIM('DATOS'!F115&amp;"")&lt;&gt;"Por confirmar",TRIM('DATOS'!F115&amp;"")&lt;&gt;"No consta",TRIM('DATOS'!F115&amp;"")&lt;&gt;"Desconocido",TRIM('DATOS'!F115&amp;"")&lt;&gt;"Sin confirmar",TRIM('DATOS'!F115&amp;"")&lt;&gt;"Por decidir",TRIM('DATOS'!F115&amp;"")&lt;&gt;"Por comprobar")),NOT(AND(LEN(TRIM('DATOS'!N115&amp;""))&gt;0,TRIM('DATOS'!N115&amp;"")&lt;&gt;"Pendiente",TRIM('DATOS'!N115&amp;"")&lt;&gt;"Por confirmar",TRIM('DATOS'!N115&amp;"")&lt;&gt;"No consta",TRIM('DATOS'!N115&amp;"")&lt;&gt;"Desconocido",TRIM('DATOS'!N115&amp;"")&lt;&gt;"Sin confirmar",TRIM('DATOS'!N115&amp;"")&lt;&gt;"Por decidir",TRIM('DATOS'!N115&amp;"")&lt;&gt;"Por comprobar")),NOT(Y115=1),W115&lt;&gt;1,X115&gt;1,NOT(OR(LEN(TRIM('DATOS'!K115&amp;""))=0,'DATOS'!K115="Sin valorar",'DATOS'!K115="Sin coste documentado",'DATOS'!K115="Incluido en otra partida",'DATOS'!K115="Por confirmar")),NOT(OR(LEN(TRIM('DATOS'!M115&amp;""))=0,'DATOS'!M115="Sí",'DATOS'!M115="No",'DATOS'!M115="Por confirmar")),NOT(OR(LEN(TRIM('DATOS'!O115&amp;""))=0,'DATOS'!O115="Comparamos",'DATOS'!O115="No existe",'DATOS'!O115="Por confirmar"))),2,IF(AND(OR('DATOS'!G115&lt;0,'DATOS'!H115&lt;0,'DATOS'!J115&lt;0),NOT(AND(LEN(TRIM('DATOS'!L115&amp;""))&gt;0,TRIM('DATOS'!L115&amp;"")&lt;&gt;"Pendiente",TRIM('DATOS'!L115&amp;"")&lt;&gt;"Por confirmar",TRIM('DATOS'!L115&amp;"")&lt;&gt;"No consta",TRIM('DATOS'!L115&amp;"")&lt;&gt;"Desconocido",TRIM('DATOS'!L115&amp;"")&lt;&gt;"Sin confirmar",TRIM('DATOS'!L115&amp;"")&lt;&gt;"Por decidir",TRIM('DATOS'!L115&amp;"")&lt;&gt;"Por comprobar"))),1,0))),2)</f>
      </c>
      <c r="P115" s="29">
        <f>IFERROR(IF(N115=0,"",IF(NOT(Y115=1),1,IF('REFERENCIAS'!$Q$8&lt;&gt;1,2,IF(ABS('DATOS'!J115-ROUND('DATOS'!G115*'DATOS'!H115,'REFERENCIAS'!$K$8))&gt;0.00000001,2,IF('DATOS'!O115="No existe",IF(LEN(TRIM('DATOS'!I115&amp;""))=0,0,2),IF('DATOS'!O115="Comparamos",IF(LEN(TRIM('DATOS'!I115&amp;""))=0,1,IF(ISNUMBER('DATOS'!I115),IF(ABS('DATOS'!H115-'DATOS'!I115)&gt;0.00000001,2,0),2)),1)))))),2)</f>
      </c>
      <c r="Q115" s="29">
        <f>IFERROR(IF(N115=0,"",IF(NOT(Y115=1),1,IF('DATOS'!K115="Sin valorar",2,IF('DATOS'!G115=0,1,IF(OR('DATOS'!H115=0,'DATOS'!J115=0),IF(AND(OR('DATOS'!K115="Sin coste documentado",'DATOS'!K115="Incluido en otra partida"),AND(LEN(TRIM('DATOS'!L115&amp;""))&gt;0,TRIM('DATOS'!L115&amp;"")&lt;&gt;"Pendiente",TRIM('DATOS'!L115&amp;"")&lt;&gt;"Por confirmar",TRIM('DATOS'!L115&amp;"")&lt;&gt;"No consta",TRIM('DATOS'!L115&amp;"")&lt;&gt;"Desconocido",TRIM('DATOS'!L115&amp;"")&lt;&gt;"Sin confirmar",TRIM('DATOS'!L115&amp;"")&lt;&gt;"Por decidir",TRIM('DATOS'!L115&amp;"")&lt;&gt;"Por comprobar")),0,1),0))))),2)</f>
      </c>
      <c r="R115" s="29">
        <f>IFERROR(IF(N115=0,"",IF(OR(NOT(AND(LEN(TRIM('DATOS'!D115&amp;""))&gt;0,TRIM('DATOS'!D115&amp;"")&lt;&gt;"Pendiente",TRIM('DATOS'!D115&amp;"")&lt;&gt;"Por confirmar",TRIM('DATOS'!D115&amp;"")&lt;&gt;"No consta",TRIM('DATOS'!D115&amp;"")&lt;&gt;"Desconocido",TRIM('DATOS'!D115&amp;"")&lt;&gt;"Sin confirmar",TRIM('DATOS'!D115&amp;"")&lt;&gt;"Por decidir",TRIM('DATOS'!D115&amp;"")&lt;&gt;"Por comprobar")),NOT(AND(LEN(TRIM('DATOS'!E115&amp;""))&gt;0,TRIM('DATOS'!E115&amp;"")&lt;&gt;"Pendiente",TRIM('DATOS'!E115&amp;"")&lt;&gt;"Por confirmar",TRIM('DATOS'!E115&amp;"")&lt;&gt;"No consta",TRIM('DATOS'!E115&amp;"")&lt;&gt;"Desconocido",TRIM('DATOS'!E115&amp;"")&lt;&gt;"Sin confirmar",TRIM('DATOS'!E115&amp;"")&lt;&gt;"Por decidir",TRIM('DATOS'!E115&amp;"")&lt;&gt;"Por comprobar"))),2,IF('DATOS'!M115="No",2,IF('DATOS'!M115="Sí",0,IF(OR('DATOS'!D115&lt;&gt;'DATOS'!E115,LEN('DATOS'!E115)&gt;300,RIGHT(TRIM('DATOS'!E115),3)="...",RIGHT(TRIM('DATOS'!E115),1)="…"),1,0))))),2)</f>
      </c>
      <c r="S115" s="29">
        <f>IFERROR(IF(N115=0,"",IF('REFERENCIAS'!$Q$8&lt;&gt;1,2,IF(NOT(Y115=1),1,IF(OR(ABS('DATOS'!G115-ROUND('DATOS'!G115,'REFERENCIAS'!$E$8))&gt;0.00000001,ABS('DATOS'!H115-ROUND('DATOS'!H115,'REFERENCIAS'!$H$8))&gt;0.00000001,ABS('DATOS'!J115-ROUND('DATOS'!J115,'REFERENCIAS'!$K$8))&gt;0.00000001,IF(ISNUMBER('DATOS'!I115),ABS('DATOS'!I115-ROUND('DATOS'!I115,'REFERENCIAS'!$H$8))&gt;0.00000001,FALSE)),1,0)))),2)</f>
      </c>
      <c r="T115" s="29">
        <f>IFERROR(IF(N115=0,"",IF(NOT(AND(LEN(TRIM('DATOS'!F115&amp;""))&gt;0,TRIM('DATOS'!F115&amp;"")&lt;&gt;"Pendiente",TRIM('DATOS'!F115&amp;"")&lt;&gt;"Por confirmar",TRIM('DATOS'!F115&amp;"")&lt;&gt;"No consta",TRIM('DATOS'!F115&amp;"")&lt;&gt;"Desconocido",TRIM('DATOS'!F115&amp;"")&lt;&gt;"Sin confirmar",TRIM('DATOS'!F115&amp;"")&lt;&gt;"Por decidir",TRIM('DATOS'!F115&amp;"")&lt;&gt;"Por comprobar")),2,IF(COUNTIFS('REFERENCIAS'!$T$15:$T$34,"ID:"&amp;SUBSTITUTE(SUBSTITUTE(SUBSTITUTE(SUBSTITUTE(UPPER(TRIM('DATOS'!F115&amp;"")),"!","!E"),"*","!A"),"?","!B"),"~","!C"),'REFERENCIAS'!$H$15:$H$34,"&lt;&gt;")&gt;0,0,1))),2)</f>
      </c>
      <c r="U115" s="29" t="str">
        <f>'DATOS'!R115</f>
        <v>ID:</v>
      </c>
      <c r="V115" s="29" t="str">
        <f>'DATOS'!S115</f>
        <v>ID:</v>
      </c>
      <c r="W115" s="29" t="n">
        <f>IF(N115=0,0,COUNTIFS('REFERENCIAS'!$R$15:$R$64,U115))</f>
        <v>0</v>
      </c>
      <c r="X115" s="29" t="n">
        <f>IF(N115=0,0,COUNTIFS('DATOS'!$R$10:$R$509,U115,'DATOS'!$S$10:$S$509,V115))</f>
        <v>0</v>
      </c>
      <c r="Y115" s="29" t="n">
        <f>IF(AND(ISNUMBER('DATOS'!G115),ISNUMBER('DATOS'!H115),ISNUMBER('DATOS'!J115)),1,0)</f>
        <v>0</v>
      </c>
    </row>
    <row r="116" ht="64" customHeight="1">
      <c r="B116" s="26">
        <f>IF(N116=1,107,"")</f>
      </c>
      <c r="C116" s="26">
        <f>IF(AND(N116=1,LEN(TRIM('DATOS'!B116&amp;""))&gt;0),'DATOS'!B116,"")</f>
      </c>
      <c r="D116" s="26">
        <f>IF(AND(N116=1,LEN(TRIM('DATOS'!C116&amp;""))&gt;0),'DATOS'!C116,"")</f>
      </c>
      <c r="E116" s="26">
        <f>IF(NOT(ISNUMBER(P116)),"",IF(P116=2,"ROJO",IF(P116=1,"ÁMBAR","VERDE")))</f>
      </c>
      <c r="F116" s="26">
        <f>IF(NOT(ISNUMBER(Q116)),"",IF(Q116=2,"ROJO",IF(Q116=1,"ÁMBAR","VERDE")))</f>
      </c>
      <c r="G116" s="26">
        <f>IF(NOT(ISNUMBER(R116)),"",IF(R116=2,"ROJO",IF(R116=1,"ÁMBAR","VERDE")))</f>
      </c>
      <c r="H116" s="26">
        <f>IF(NOT(ISNUMBER(S116)),"",IF(S116=2,"ROJO",IF(S116=1,"ÁMBAR","VERDE")))</f>
      </c>
      <c r="I116" s="26">
        <f>IF(NOT(ISNUMBER(T116)),"",IF(T116=2,"ROJO",IF(T116=1,"ÁMBAR","VERDE")))</f>
      </c>
      <c r="J116" s="26">
        <f>IF(NOT(ISNUMBER(O116)),"",IF(O116=2,"ROJO",IF(O116=1,"ÁMBAR","VERDE")))</f>
      </c>
      <c r="K116" s="26">
        <f>IFERROR(IF(AND(N116=1,LEN(TRIM('DATOS'!N116&amp;""))&gt;0),'DATOS'!N116,""),"Hay una entrada con error. Corregimos el dato antes de cerrar la comprobación.")</f>
      </c>
      <c r="L116" s="26">
        <f>IFERROR(IF(N116=0,"",IF(O116&gt;0,"Completamos datos, claves o motivo. ","")&amp;IF(P116&gt;0,"Cotejamos precios e importe. ","")&amp;IF(Q116&gt;0,"Aclaramos el cero. ","")&amp;IF(R116&gt;0,"Comprobamos el texto. ","")&amp;IF(S116&gt;0,"Revisamos decimales visibles. ","")&amp;IF(T116&gt;0,"Confirmamos la unidad.","")),"Hay una entrada con error. Corregimos el dato antes de cerrar la comprobación.")</f>
      </c>
      <c r="N116" s="29" t="n">
        <f>IF(COUNTA('DATOS'!B116:O116)&gt;0,1,0)</f>
        <v>0</v>
      </c>
      <c r="O116" s="29">
        <f>IFERROR(IF(N116=0,"",IF(OR(NOT(AND(LEN(TRIM('DATOS'!B116&amp;""))&gt;0,TRIM('DATOS'!B116&amp;"")&lt;&gt;"Pendiente",TRIM('DATOS'!B116&amp;"")&lt;&gt;"Por confirmar",TRIM('DATOS'!B116&amp;"")&lt;&gt;"No consta",TRIM('DATOS'!B116&amp;"")&lt;&gt;"Desconocido",TRIM('DATOS'!B116&amp;"")&lt;&gt;"Sin confirmar",TRIM('DATOS'!B116&amp;"")&lt;&gt;"Por decidir",TRIM('DATOS'!B116&amp;"")&lt;&gt;"Por comprobar")),NOT(AND(LEN(TRIM('DATOS'!C116&amp;""))&gt;0,TRIM('DATOS'!C116&amp;"")&lt;&gt;"Pendiente",TRIM('DATOS'!C116&amp;"")&lt;&gt;"Por confirmar",TRIM('DATOS'!C116&amp;"")&lt;&gt;"No consta",TRIM('DATOS'!C116&amp;"")&lt;&gt;"Desconocido",TRIM('DATOS'!C116&amp;"")&lt;&gt;"Sin confirmar",TRIM('DATOS'!C116&amp;"")&lt;&gt;"Por decidir",TRIM('DATOS'!C116&amp;"")&lt;&gt;"Por comprobar")),NOT(AND(LEN(TRIM('DATOS'!D116&amp;""))&gt;0,TRIM('DATOS'!D116&amp;"")&lt;&gt;"Pendiente",TRIM('DATOS'!D116&amp;"")&lt;&gt;"Por confirmar",TRIM('DATOS'!D116&amp;"")&lt;&gt;"No consta",TRIM('DATOS'!D116&amp;"")&lt;&gt;"Desconocido",TRIM('DATOS'!D116&amp;"")&lt;&gt;"Sin confirmar",TRIM('DATOS'!D116&amp;"")&lt;&gt;"Por decidir",TRIM('DATOS'!D116&amp;"")&lt;&gt;"Por comprobar")),NOT(AND(LEN(TRIM('DATOS'!E116&amp;""))&gt;0,TRIM('DATOS'!E116&amp;"")&lt;&gt;"Pendiente",TRIM('DATOS'!E116&amp;"")&lt;&gt;"Por confirmar",TRIM('DATOS'!E116&amp;"")&lt;&gt;"No consta",TRIM('DATOS'!E116&amp;"")&lt;&gt;"Desconocido",TRIM('DATOS'!E116&amp;"")&lt;&gt;"Sin confirmar",TRIM('DATOS'!E116&amp;"")&lt;&gt;"Por decidir",TRIM('DATOS'!E116&amp;"")&lt;&gt;"Por comprobar")),NOT(AND(LEN(TRIM('DATOS'!F116&amp;""))&gt;0,TRIM('DATOS'!F116&amp;"")&lt;&gt;"Pendiente",TRIM('DATOS'!F116&amp;"")&lt;&gt;"Por confirmar",TRIM('DATOS'!F116&amp;"")&lt;&gt;"No consta",TRIM('DATOS'!F116&amp;"")&lt;&gt;"Desconocido",TRIM('DATOS'!F116&amp;"")&lt;&gt;"Sin confirmar",TRIM('DATOS'!F116&amp;"")&lt;&gt;"Por decidir",TRIM('DATOS'!F116&amp;"")&lt;&gt;"Por comprobar")),NOT(AND(LEN(TRIM('DATOS'!N116&amp;""))&gt;0,TRIM('DATOS'!N116&amp;"")&lt;&gt;"Pendiente",TRIM('DATOS'!N116&amp;"")&lt;&gt;"Por confirmar",TRIM('DATOS'!N116&amp;"")&lt;&gt;"No consta",TRIM('DATOS'!N116&amp;"")&lt;&gt;"Desconocido",TRIM('DATOS'!N116&amp;"")&lt;&gt;"Sin confirmar",TRIM('DATOS'!N116&amp;"")&lt;&gt;"Por decidir",TRIM('DATOS'!N116&amp;"")&lt;&gt;"Por comprobar")),NOT(Y116=1),W116&lt;&gt;1,X116&gt;1,NOT(OR(LEN(TRIM('DATOS'!K116&amp;""))=0,'DATOS'!K116="Sin valorar",'DATOS'!K116="Sin coste documentado",'DATOS'!K116="Incluido en otra partida",'DATOS'!K116="Por confirmar")),NOT(OR(LEN(TRIM('DATOS'!M116&amp;""))=0,'DATOS'!M116="Sí",'DATOS'!M116="No",'DATOS'!M116="Por confirmar")),NOT(OR(LEN(TRIM('DATOS'!O116&amp;""))=0,'DATOS'!O116="Comparamos",'DATOS'!O116="No existe",'DATOS'!O116="Por confirmar"))),2,IF(AND(OR('DATOS'!G116&lt;0,'DATOS'!H116&lt;0,'DATOS'!J116&lt;0),NOT(AND(LEN(TRIM('DATOS'!L116&amp;""))&gt;0,TRIM('DATOS'!L116&amp;"")&lt;&gt;"Pendiente",TRIM('DATOS'!L116&amp;"")&lt;&gt;"Por confirmar",TRIM('DATOS'!L116&amp;"")&lt;&gt;"No consta",TRIM('DATOS'!L116&amp;"")&lt;&gt;"Desconocido",TRIM('DATOS'!L116&amp;"")&lt;&gt;"Sin confirmar",TRIM('DATOS'!L116&amp;"")&lt;&gt;"Por decidir",TRIM('DATOS'!L116&amp;"")&lt;&gt;"Por comprobar"))),1,0))),2)</f>
      </c>
      <c r="P116" s="29">
        <f>IFERROR(IF(N116=0,"",IF(NOT(Y116=1),1,IF('REFERENCIAS'!$Q$8&lt;&gt;1,2,IF(ABS('DATOS'!J116-ROUND('DATOS'!G116*'DATOS'!H116,'REFERENCIAS'!$K$8))&gt;0.00000001,2,IF('DATOS'!O116="No existe",IF(LEN(TRIM('DATOS'!I116&amp;""))=0,0,2),IF('DATOS'!O116="Comparamos",IF(LEN(TRIM('DATOS'!I116&amp;""))=0,1,IF(ISNUMBER('DATOS'!I116),IF(ABS('DATOS'!H116-'DATOS'!I116)&gt;0.00000001,2,0),2)),1)))))),2)</f>
      </c>
      <c r="Q116" s="29">
        <f>IFERROR(IF(N116=0,"",IF(NOT(Y116=1),1,IF('DATOS'!K116="Sin valorar",2,IF('DATOS'!G116=0,1,IF(OR('DATOS'!H116=0,'DATOS'!J116=0),IF(AND(OR('DATOS'!K116="Sin coste documentado",'DATOS'!K116="Incluido en otra partida"),AND(LEN(TRIM('DATOS'!L116&amp;""))&gt;0,TRIM('DATOS'!L116&amp;"")&lt;&gt;"Pendiente",TRIM('DATOS'!L116&amp;"")&lt;&gt;"Por confirmar",TRIM('DATOS'!L116&amp;"")&lt;&gt;"No consta",TRIM('DATOS'!L116&amp;"")&lt;&gt;"Desconocido",TRIM('DATOS'!L116&amp;"")&lt;&gt;"Sin confirmar",TRIM('DATOS'!L116&amp;"")&lt;&gt;"Por decidir",TRIM('DATOS'!L116&amp;"")&lt;&gt;"Por comprobar")),0,1),0))))),2)</f>
      </c>
      <c r="R116" s="29">
        <f>IFERROR(IF(N116=0,"",IF(OR(NOT(AND(LEN(TRIM('DATOS'!D116&amp;""))&gt;0,TRIM('DATOS'!D116&amp;"")&lt;&gt;"Pendiente",TRIM('DATOS'!D116&amp;"")&lt;&gt;"Por confirmar",TRIM('DATOS'!D116&amp;"")&lt;&gt;"No consta",TRIM('DATOS'!D116&amp;"")&lt;&gt;"Desconocido",TRIM('DATOS'!D116&amp;"")&lt;&gt;"Sin confirmar",TRIM('DATOS'!D116&amp;"")&lt;&gt;"Por decidir",TRIM('DATOS'!D116&amp;"")&lt;&gt;"Por comprobar")),NOT(AND(LEN(TRIM('DATOS'!E116&amp;""))&gt;0,TRIM('DATOS'!E116&amp;"")&lt;&gt;"Pendiente",TRIM('DATOS'!E116&amp;"")&lt;&gt;"Por confirmar",TRIM('DATOS'!E116&amp;"")&lt;&gt;"No consta",TRIM('DATOS'!E116&amp;"")&lt;&gt;"Desconocido",TRIM('DATOS'!E116&amp;"")&lt;&gt;"Sin confirmar",TRIM('DATOS'!E116&amp;"")&lt;&gt;"Por decidir",TRIM('DATOS'!E116&amp;"")&lt;&gt;"Por comprobar"))),2,IF('DATOS'!M116="No",2,IF('DATOS'!M116="Sí",0,IF(OR('DATOS'!D116&lt;&gt;'DATOS'!E116,LEN('DATOS'!E116)&gt;300,RIGHT(TRIM('DATOS'!E116),3)="...",RIGHT(TRIM('DATOS'!E116),1)="…"),1,0))))),2)</f>
      </c>
      <c r="S116" s="29">
        <f>IFERROR(IF(N116=0,"",IF('REFERENCIAS'!$Q$8&lt;&gt;1,2,IF(NOT(Y116=1),1,IF(OR(ABS('DATOS'!G116-ROUND('DATOS'!G116,'REFERENCIAS'!$E$8))&gt;0.00000001,ABS('DATOS'!H116-ROUND('DATOS'!H116,'REFERENCIAS'!$H$8))&gt;0.00000001,ABS('DATOS'!J116-ROUND('DATOS'!J116,'REFERENCIAS'!$K$8))&gt;0.00000001,IF(ISNUMBER('DATOS'!I116),ABS('DATOS'!I116-ROUND('DATOS'!I116,'REFERENCIAS'!$H$8))&gt;0.00000001,FALSE)),1,0)))),2)</f>
      </c>
      <c r="T116" s="29">
        <f>IFERROR(IF(N116=0,"",IF(NOT(AND(LEN(TRIM('DATOS'!F116&amp;""))&gt;0,TRIM('DATOS'!F116&amp;"")&lt;&gt;"Pendiente",TRIM('DATOS'!F116&amp;"")&lt;&gt;"Por confirmar",TRIM('DATOS'!F116&amp;"")&lt;&gt;"No consta",TRIM('DATOS'!F116&amp;"")&lt;&gt;"Desconocido",TRIM('DATOS'!F116&amp;"")&lt;&gt;"Sin confirmar",TRIM('DATOS'!F116&amp;"")&lt;&gt;"Por decidir",TRIM('DATOS'!F116&amp;"")&lt;&gt;"Por comprobar")),2,IF(COUNTIFS('REFERENCIAS'!$T$15:$T$34,"ID:"&amp;SUBSTITUTE(SUBSTITUTE(SUBSTITUTE(SUBSTITUTE(UPPER(TRIM('DATOS'!F116&amp;"")),"!","!E"),"*","!A"),"?","!B"),"~","!C"),'REFERENCIAS'!$H$15:$H$34,"&lt;&gt;")&gt;0,0,1))),2)</f>
      </c>
      <c r="U116" s="29" t="str">
        <f>'DATOS'!R116</f>
        <v>ID:</v>
      </c>
      <c r="V116" s="29" t="str">
        <f>'DATOS'!S116</f>
        <v>ID:</v>
      </c>
      <c r="W116" s="29" t="n">
        <f>IF(N116=0,0,COUNTIFS('REFERENCIAS'!$R$15:$R$64,U116))</f>
        <v>0</v>
      </c>
      <c r="X116" s="29" t="n">
        <f>IF(N116=0,0,COUNTIFS('DATOS'!$R$10:$R$509,U116,'DATOS'!$S$10:$S$509,V116))</f>
        <v>0</v>
      </c>
      <c r="Y116" s="29" t="n">
        <f>IF(AND(ISNUMBER('DATOS'!G116),ISNUMBER('DATOS'!H116),ISNUMBER('DATOS'!J116)),1,0)</f>
        <v>0</v>
      </c>
    </row>
    <row r="117" ht="64" customHeight="1">
      <c r="B117" s="26">
        <f>IF(N117=1,108,"")</f>
      </c>
      <c r="C117" s="26">
        <f>IF(AND(N117=1,LEN(TRIM('DATOS'!B117&amp;""))&gt;0),'DATOS'!B117,"")</f>
      </c>
      <c r="D117" s="26">
        <f>IF(AND(N117=1,LEN(TRIM('DATOS'!C117&amp;""))&gt;0),'DATOS'!C117,"")</f>
      </c>
      <c r="E117" s="26">
        <f>IF(NOT(ISNUMBER(P117)),"",IF(P117=2,"ROJO",IF(P117=1,"ÁMBAR","VERDE")))</f>
      </c>
      <c r="F117" s="26">
        <f>IF(NOT(ISNUMBER(Q117)),"",IF(Q117=2,"ROJO",IF(Q117=1,"ÁMBAR","VERDE")))</f>
      </c>
      <c r="G117" s="26">
        <f>IF(NOT(ISNUMBER(R117)),"",IF(R117=2,"ROJO",IF(R117=1,"ÁMBAR","VERDE")))</f>
      </c>
      <c r="H117" s="26">
        <f>IF(NOT(ISNUMBER(S117)),"",IF(S117=2,"ROJO",IF(S117=1,"ÁMBAR","VERDE")))</f>
      </c>
      <c r="I117" s="26">
        <f>IF(NOT(ISNUMBER(T117)),"",IF(T117=2,"ROJO",IF(T117=1,"ÁMBAR","VERDE")))</f>
      </c>
      <c r="J117" s="26">
        <f>IF(NOT(ISNUMBER(O117)),"",IF(O117=2,"ROJO",IF(O117=1,"ÁMBAR","VERDE")))</f>
      </c>
      <c r="K117" s="26">
        <f>IFERROR(IF(AND(N117=1,LEN(TRIM('DATOS'!N117&amp;""))&gt;0),'DATOS'!N117,""),"Hay una entrada con error. Corregimos el dato antes de cerrar la comprobación.")</f>
      </c>
      <c r="L117" s="26">
        <f>IFERROR(IF(N117=0,"",IF(O117&gt;0,"Completamos datos, claves o motivo. ","")&amp;IF(P117&gt;0,"Cotejamos precios e importe. ","")&amp;IF(Q117&gt;0,"Aclaramos el cero. ","")&amp;IF(R117&gt;0,"Comprobamos el texto. ","")&amp;IF(S117&gt;0,"Revisamos decimales visibles. ","")&amp;IF(T117&gt;0,"Confirmamos la unidad.","")),"Hay una entrada con error. Corregimos el dato antes de cerrar la comprobación.")</f>
      </c>
      <c r="N117" s="29" t="n">
        <f>IF(COUNTA('DATOS'!B117:O117)&gt;0,1,0)</f>
        <v>0</v>
      </c>
      <c r="O117" s="29">
        <f>IFERROR(IF(N117=0,"",IF(OR(NOT(AND(LEN(TRIM('DATOS'!B117&amp;""))&gt;0,TRIM('DATOS'!B117&amp;"")&lt;&gt;"Pendiente",TRIM('DATOS'!B117&amp;"")&lt;&gt;"Por confirmar",TRIM('DATOS'!B117&amp;"")&lt;&gt;"No consta",TRIM('DATOS'!B117&amp;"")&lt;&gt;"Desconocido",TRIM('DATOS'!B117&amp;"")&lt;&gt;"Sin confirmar",TRIM('DATOS'!B117&amp;"")&lt;&gt;"Por decidir",TRIM('DATOS'!B117&amp;"")&lt;&gt;"Por comprobar")),NOT(AND(LEN(TRIM('DATOS'!C117&amp;""))&gt;0,TRIM('DATOS'!C117&amp;"")&lt;&gt;"Pendiente",TRIM('DATOS'!C117&amp;"")&lt;&gt;"Por confirmar",TRIM('DATOS'!C117&amp;"")&lt;&gt;"No consta",TRIM('DATOS'!C117&amp;"")&lt;&gt;"Desconocido",TRIM('DATOS'!C117&amp;"")&lt;&gt;"Sin confirmar",TRIM('DATOS'!C117&amp;"")&lt;&gt;"Por decidir",TRIM('DATOS'!C117&amp;"")&lt;&gt;"Por comprobar")),NOT(AND(LEN(TRIM('DATOS'!D117&amp;""))&gt;0,TRIM('DATOS'!D117&amp;"")&lt;&gt;"Pendiente",TRIM('DATOS'!D117&amp;"")&lt;&gt;"Por confirmar",TRIM('DATOS'!D117&amp;"")&lt;&gt;"No consta",TRIM('DATOS'!D117&amp;"")&lt;&gt;"Desconocido",TRIM('DATOS'!D117&amp;"")&lt;&gt;"Sin confirmar",TRIM('DATOS'!D117&amp;"")&lt;&gt;"Por decidir",TRIM('DATOS'!D117&amp;"")&lt;&gt;"Por comprobar")),NOT(AND(LEN(TRIM('DATOS'!E117&amp;""))&gt;0,TRIM('DATOS'!E117&amp;"")&lt;&gt;"Pendiente",TRIM('DATOS'!E117&amp;"")&lt;&gt;"Por confirmar",TRIM('DATOS'!E117&amp;"")&lt;&gt;"No consta",TRIM('DATOS'!E117&amp;"")&lt;&gt;"Desconocido",TRIM('DATOS'!E117&amp;"")&lt;&gt;"Sin confirmar",TRIM('DATOS'!E117&amp;"")&lt;&gt;"Por decidir",TRIM('DATOS'!E117&amp;"")&lt;&gt;"Por comprobar")),NOT(AND(LEN(TRIM('DATOS'!F117&amp;""))&gt;0,TRIM('DATOS'!F117&amp;"")&lt;&gt;"Pendiente",TRIM('DATOS'!F117&amp;"")&lt;&gt;"Por confirmar",TRIM('DATOS'!F117&amp;"")&lt;&gt;"No consta",TRIM('DATOS'!F117&amp;"")&lt;&gt;"Desconocido",TRIM('DATOS'!F117&amp;"")&lt;&gt;"Sin confirmar",TRIM('DATOS'!F117&amp;"")&lt;&gt;"Por decidir",TRIM('DATOS'!F117&amp;"")&lt;&gt;"Por comprobar")),NOT(AND(LEN(TRIM('DATOS'!N117&amp;""))&gt;0,TRIM('DATOS'!N117&amp;"")&lt;&gt;"Pendiente",TRIM('DATOS'!N117&amp;"")&lt;&gt;"Por confirmar",TRIM('DATOS'!N117&amp;"")&lt;&gt;"No consta",TRIM('DATOS'!N117&amp;"")&lt;&gt;"Desconocido",TRIM('DATOS'!N117&amp;"")&lt;&gt;"Sin confirmar",TRIM('DATOS'!N117&amp;"")&lt;&gt;"Por decidir",TRIM('DATOS'!N117&amp;"")&lt;&gt;"Por comprobar")),NOT(Y117=1),W117&lt;&gt;1,X117&gt;1,NOT(OR(LEN(TRIM('DATOS'!K117&amp;""))=0,'DATOS'!K117="Sin valorar",'DATOS'!K117="Sin coste documentado",'DATOS'!K117="Incluido en otra partida",'DATOS'!K117="Por confirmar")),NOT(OR(LEN(TRIM('DATOS'!M117&amp;""))=0,'DATOS'!M117="Sí",'DATOS'!M117="No",'DATOS'!M117="Por confirmar")),NOT(OR(LEN(TRIM('DATOS'!O117&amp;""))=0,'DATOS'!O117="Comparamos",'DATOS'!O117="No existe",'DATOS'!O117="Por confirmar"))),2,IF(AND(OR('DATOS'!G117&lt;0,'DATOS'!H117&lt;0,'DATOS'!J117&lt;0),NOT(AND(LEN(TRIM('DATOS'!L117&amp;""))&gt;0,TRIM('DATOS'!L117&amp;"")&lt;&gt;"Pendiente",TRIM('DATOS'!L117&amp;"")&lt;&gt;"Por confirmar",TRIM('DATOS'!L117&amp;"")&lt;&gt;"No consta",TRIM('DATOS'!L117&amp;"")&lt;&gt;"Desconocido",TRIM('DATOS'!L117&amp;"")&lt;&gt;"Sin confirmar",TRIM('DATOS'!L117&amp;"")&lt;&gt;"Por decidir",TRIM('DATOS'!L117&amp;"")&lt;&gt;"Por comprobar"))),1,0))),2)</f>
      </c>
      <c r="P117" s="29">
        <f>IFERROR(IF(N117=0,"",IF(NOT(Y117=1),1,IF('REFERENCIAS'!$Q$8&lt;&gt;1,2,IF(ABS('DATOS'!J117-ROUND('DATOS'!G117*'DATOS'!H117,'REFERENCIAS'!$K$8))&gt;0.00000001,2,IF('DATOS'!O117="No existe",IF(LEN(TRIM('DATOS'!I117&amp;""))=0,0,2),IF('DATOS'!O117="Comparamos",IF(LEN(TRIM('DATOS'!I117&amp;""))=0,1,IF(ISNUMBER('DATOS'!I117),IF(ABS('DATOS'!H117-'DATOS'!I117)&gt;0.00000001,2,0),2)),1)))))),2)</f>
      </c>
      <c r="Q117" s="29">
        <f>IFERROR(IF(N117=0,"",IF(NOT(Y117=1),1,IF('DATOS'!K117="Sin valorar",2,IF('DATOS'!G117=0,1,IF(OR('DATOS'!H117=0,'DATOS'!J117=0),IF(AND(OR('DATOS'!K117="Sin coste documentado",'DATOS'!K117="Incluido en otra partida"),AND(LEN(TRIM('DATOS'!L117&amp;""))&gt;0,TRIM('DATOS'!L117&amp;"")&lt;&gt;"Pendiente",TRIM('DATOS'!L117&amp;"")&lt;&gt;"Por confirmar",TRIM('DATOS'!L117&amp;"")&lt;&gt;"No consta",TRIM('DATOS'!L117&amp;"")&lt;&gt;"Desconocido",TRIM('DATOS'!L117&amp;"")&lt;&gt;"Sin confirmar",TRIM('DATOS'!L117&amp;"")&lt;&gt;"Por decidir",TRIM('DATOS'!L117&amp;"")&lt;&gt;"Por comprobar")),0,1),0))))),2)</f>
      </c>
      <c r="R117" s="29">
        <f>IFERROR(IF(N117=0,"",IF(OR(NOT(AND(LEN(TRIM('DATOS'!D117&amp;""))&gt;0,TRIM('DATOS'!D117&amp;"")&lt;&gt;"Pendiente",TRIM('DATOS'!D117&amp;"")&lt;&gt;"Por confirmar",TRIM('DATOS'!D117&amp;"")&lt;&gt;"No consta",TRIM('DATOS'!D117&amp;"")&lt;&gt;"Desconocido",TRIM('DATOS'!D117&amp;"")&lt;&gt;"Sin confirmar",TRIM('DATOS'!D117&amp;"")&lt;&gt;"Por decidir",TRIM('DATOS'!D117&amp;"")&lt;&gt;"Por comprobar")),NOT(AND(LEN(TRIM('DATOS'!E117&amp;""))&gt;0,TRIM('DATOS'!E117&amp;"")&lt;&gt;"Pendiente",TRIM('DATOS'!E117&amp;"")&lt;&gt;"Por confirmar",TRIM('DATOS'!E117&amp;"")&lt;&gt;"No consta",TRIM('DATOS'!E117&amp;"")&lt;&gt;"Desconocido",TRIM('DATOS'!E117&amp;"")&lt;&gt;"Sin confirmar",TRIM('DATOS'!E117&amp;"")&lt;&gt;"Por decidir",TRIM('DATOS'!E117&amp;"")&lt;&gt;"Por comprobar"))),2,IF('DATOS'!M117="No",2,IF('DATOS'!M117="Sí",0,IF(OR('DATOS'!D117&lt;&gt;'DATOS'!E117,LEN('DATOS'!E117)&gt;300,RIGHT(TRIM('DATOS'!E117),3)="...",RIGHT(TRIM('DATOS'!E117),1)="…"),1,0))))),2)</f>
      </c>
      <c r="S117" s="29">
        <f>IFERROR(IF(N117=0,"",IF('REFERENCIAS'!$Q$8&lt;&gt;1,2,IF(NOT(Y117=1),1,IF(OR(ABS('DATOS'!G117-ROUND('DATOS'!G117,'REFERENCIAS'!$E$8))&gt;0.00000001,ABS('DATOS'!H117-ROUND('DATOS'!H117,'REFERENCIAS'!$H$8))&gt;0.00000001,ABS('DATOS'!J117-ROUND('DATOS'!J117,'REFERENCIAS'!$K$8))&gt;0.00000001,IF(ISNUMBER('DATOS'!I117),ABS('DATOS'!I117-ROUND('DATOS'!I117,'REFERENCIAS'!$H$8))&gt;0.00000001,FALSE)),1,0)))),2)</f>
      </c>
      <c r="T117" s="29">
        <f>IFERROR(IF(N117=0,"",IF(NOT(AND(LEN(TRIM('DATOS'!F117&amp;""))&gt;0,TRIM('DATOS'!F117&amp;"")&lt;&gt;"Pendiente",TRIM('DATOS'!F117&amp;"")&lt;&gt;"Por confirmar",TRIM('DATOS'!F117&amp;"")&lt;&gt;"No consta",TRIM('DATOS'!F117&amp;"")&lt;&gt;"Desconocido",TRIM('DATOS'!F117&amp;"")&lt;&gt;"Sin confirmar",TRIM('DATOS'!F117&amp;"")&lt;&gt;"Por decidir",TRIM('DATOS'!F117&amp;"")&lt;&gt;"Por comprobar")),2,IF(COUNTIFS('REFERENCIAS'!$T$15:$T$34,"ID:"&amp;SUBSTITUTE(SUBSTITUTE(SUBSTITUTE(SUBSTITUTE(UPPER(TRIM('DATOS'!F117&amp;"")),"!","!E"),"*","!A"),"?","!B"),"~","!C"),'REFERENCIAS'!$H$15:$H$34,"&lt;&gt;")&gt;0,0,1))),2)</f>
      </c>
      <c r="U117" s="29" t="str">
        <f>'DATOS'!R117</f>
        <v>ID:</v>
      </c>
      <c r="V117" s="29" t="str">
        <f>'DATOS'!S117</f>
        <v>ID:</v>
      </c>
      <c r="W117" s="29" t="n">
        <f>IF(N117=0,0,COUNTIFS('REFERENCIAS'!$R$15:$R$64,U117))</f>
        <v>0</v>
      </c>
      <c r="X117" s="29" t="n">
        <f>IF(N117=0,0,COUNTIFS('DATOS'!$R$10:$R$509,U117,'DATOS'!$S$10:$S$509,V117))</f>
        <v>0</v>
      </c>
      <c r="Y117" s="29" t="n">
        <f>IF(AND(ISNUMBER('DATOS'!G117),ISNUMBER('DATOS'!H117),ISNUMBER('DATOS'!J117)),1,0)</f>
        <v>0</v>
      </c>
    </row>
    <row r="118" ht="64" customHeight="1">
      <c r="B118" s="26">
        <f>IF(N118=1,109,"")</f>
      </c>
      <c r="C118" s="26">
        <f>IF(AND(N118=1,LEN(TRIM('DATOS'!B118&amp;""))&gt;0),'DATOS'!B118,"")</f>
      </c>
      <c r="D118" s="26">
        <f>IF(AND(N118=1,LEN(TRIM('DATOS'!C118&amp;""))&gt;0),'DATOS'!C118,"")</f>
      </c>
      <c r="E118" s="26">
        <f>IF(NOT(ISNUMBER(P118)),"",IF(P118=2,"ROJO",IF(P118=1,"ÁMBAR","VERDE")))</f>
      </c>
      <c r="F118" s="26">
        <f>IF(NOT(ISNUMBER(Q118)),"",IF(Q118=2,"ROJO",IF(Q118=1,"ÁMBAR","VERDE")))</f>
      </c>
      <c r="G118" s="26">
        <f>IF(NOT(ISNUMBER(R118)),"",IF(R118=2,"ROJO",IF(R118=1,"ÁMBAR","VERDE")))</f>
      </c>
      <c r="H118" s="26">
        <f>IF(NOT(ISNUMBER(S118)),"",IF(S118=2,"ROJO",IF(S118=1,"ÁMBAR","VERDE")))</f>
      </c>
      <c r="I118" s="26">
        <f>IF(NOT(ISNUMBER(T118)),"",IF(T118=2,"ROJO",IF(T118=1,"ÁMBAR","VERDE")))</f>
      </c>
      <c r="J118" s="26">
        <f>IF(NOT(ISNUMBER(O118)),"",IF(O118=2,"ROJO",IF(O118=1,"ÁMBAR","VERDE")))</f>
      </c>
      <c r="K118" s="26">
        <f>IFERROR(IF(AND(N118=1,LEN(TRIM('DATOS'!N118&amp;""))&gt;0),'DATOS'!N118,""),"Hay una entrada con error. Corregimos el dato antes de cerrar la comprobación.")</f>
      </c>
      <c r="L118" s="26">
        <f>IFERROR(IF(N118=0,"",IF(O118&gt;0,"Completamos datos, claves o motivo. ","")&amp;IF(P118&gt;0,"Cotejamos precios e importe. ","")&amp;IF(Q118&gt;0,"Aclaramos el cero. ","")&amp;IF(R118&gt;0,"Comprobamos el texto. ","")&amp;IF(S118&gt;0,"Revisamos decimales visibles. ","")&amp;IF(T118&gt;0,"Confirmamos la unidad.","")),"Hay una entrada con error. Corregimos el dato antes de cerrar la comprobación.")</f>
      </c>
      <c r="N118" s="29" t="n">
        <f>IF(COUNTA('DATOS'!B118:O118)&gt;0,1,0)</f>
        <v>0</v>
      </c>
      <c r="O118" s="29">
        <f>IFERROR(IF(N118=0,"",IF(OR(NOT(AND(LEN(TRIM('DATOS'!B118&amp;""))&gt;0,TRIM('DATOS'!B118&amp;"")&lt;&gt;"Pendiente",TRIM('DATOS'!B118&amp;"")&lt;&gt;"Por confirmar",TRIM('DATOS'!B118&amp;"")&lt;&gt;"No consta",TRIM('DATOS'!B118&amp;"")&lt;&gt;"Desconocido",TRIM('DATOS'!B118&amp;"")&lt;&gt;"Sin confirmar",TRIM('DATOS'!B118&amp;"")&lt;&gt;"Por decidir",TRIM('DATOS'!B118&amp;"")&lt;&gt;"Por comprobar")),NOT(AND(LEN(TRIM('DATOS'!C118&amp;""))&gt;0,TRIM('DATOS'!C118&amp;"")&lt;&gt;"Pendiente",TRIM('DATOS'!C118&amp;"")&lt;&gt;"Por confirmar",TRIM('DATOS'!C118&amp;"")&lt;&gt;"No consta",TRIM('DATOS'!C118&amp;"")&lt;&gt;"Desconocido",TRIM('DATOS'!C118&amp;"")&lt;&gt;"Sin confirmar",TRIM('DATOS'!C118&amp;"")&lt;&gt;"Por decidir",TRIM('DATOS'!C118&amp;"")&lt;&gt;"Por comprobar")),NOT(AND(LEN(TRIM('DATOS'!D118&amp;""))&gt;0,TRIM('DATOS'!D118&amp;"")&lt;&gt;"Pendiente",TRIM('DATOS'!D118&amp;"")&lt;&gt;"Por confirmar",TRIM('DATOS'!D118&amp;"")&lt;&gt;"No consta",TRIM('DATOS'!D118&amp;"")&lt;&gt;"Desconocido",TRIM('DATOS'!D118&amp;"")&lt;&gt;"Sin confirmar",TRIM('DATOS'!D118&amp;"")&lt;&gt;"Por decidir",TRIM('DATOS'!D118&amp;"")&lt;&gt;"Por comprobar")),NOT(AND(LEN(TRIM('DATOS'!E118&amp;""))&gt;0,TRIM('DATOS'!E118&amp;"")&lt;&gt;"Pendiente",TRIM('DATOS'!E118&amp;"")&lt;&gt;"Por confirmar",TRIM('DATOS'!E118&amp;"")&lt;&gt;"No consta",TRIM('DATOS'!E118&amp;"")&lt;&gt;"Desconocido",TRIM('DATOS'!E118&amp;"")&lt;&gt;"Sin confirmar",TRIM('DATOS'!E118&amp;"")&lt;&gt;"Por decidir",TRIM('DATOS'!E118&amp;"")&lt;&gt;"Por comprobar")),NOT(AND(LEN(TRIM('DATOS'!F118&amp;""))&gt;0,TRIM('DATOS'!F118&amp;"")&lt;&gt;"Pendiente",TRIM('DATOS'!F118&amp;"")&lt;&gt;"Por confirmar",TRIM('DATOS'!F118&amp;"")&lt;&gt;"No consta",TRIM('DATOS'!F118&amp;"")&lt;&gt;"Desconocido",TRIM('DATOS'!F118&amp;"")&lt;&gt;"Sin confirmar",TRIM('DATOS'!F118&amp;"")&lt;&gt;"Por decidir",TRIM('DATOS'!F118&amp;"")&lt;&gt;"Por comprobar")),NOT(AND(LEN(TRIM('DATOS'!N118&amp;""))&gt;0,TRIM('DATOS'!N118&amp;"")&lt;&gt;"Pendiente",TRIM('DATOS'!N118&amp;"")&lt;&gt;"Por confirmar",TRIM('DATOS'!N118&amp;"")&lt;&gt;"No consta",TRIM('DATOS'!N118&amp;"")&lt;&gt;"Desconocido",TRIM('DATOS'!N118&amp;"")&lt;&gt;"Sin confirmar",TRIM('DATOS'!N118&amp;"")&lt;&gt;"Por decidir",TRIM('DATOS'!N118&amp;"")&lt;&gt;"Por comprobar")),NOT(Y118=1),W118&lt;&gt;1,X118&gt;1,NOT(OR(LEN(TRIM('DATOS'!K118&amp;""))=0,'DATOS'!K118="Sin valorar",'DATOS'!K118="Sin coste documentado",'DATOS'!K118="Incluido en otra partida",'DATOS'!K118="Por confirmar")),NOT(OR(LEN(TRIM('DATOS'!M118&amp;""))=0,'DATOS'!M118="Sí",'DATOS'!M118="No",'DATOS'!M118="Por confirmar")),NOT(OR(LEN(TRIM('DATOS'!O118&amp;""))=0,'DATOS'!O118="Comparamos",'DATOS'!O118="No existe",'DATOS'!O118="Por confirmar"))),2,IF(AND(OR('DATOS'!G118&lt;0,'DATOS'!H118&lt;0,'DATOS'!J118&lt;0),NOT(AND(LEN(TRIM('DATOS'!L118&amp;""))&gt;0,TRIM('DATOS'!L118&amp;"")&lt;&gt;"Pendiente",TRIM('DATOS'!L118&amp;"")&lt;&gt;"Por confirmar",TRIM('DATOS'!L118&amp;"")&lt;&gt;"No consta",TRIM('DATOS'!L118&amp;"")&lt;&gt;"Desconocido",TRIM('DATOS'!L118&amp;"")&lt;&gt;"Sin confirmar",TRIM('DATOS'!L118&amp;"")&lt;&gt;"Por decidir",TRIM('DATOS'!L118&amp;"")&lt;&gt;"Por comprobar"))),1,0))),2)</f>
      </c>
      <c r="P118" s="29">
        <f>IFERROR(IF(N118=0,"",IF(NOT(Y118=1),1,IF('REFERENCIAS'!$Q$8&lt;&gt;1,2,IF(ABS('DATOS'!J118-ROUND('DATOS'!G118*'DATOS'!H118,'REFERENCIAS'!$K$8))&gt;0.00000001,2,IF('DATOS'!O118="No existe",IF(LEN(TRIM('DATOS'!I118&amp;""))=0,0,2),IF('DATOS'!O118="Comparamos",IF(LEN(TRIM('DATOS'!I118&amp;""))=0,1,IF(ISNUMBER('DATOS'!I118),IF(ABS('DATOS'!H118-'DATOS'!I118)&gt;0.00000001,2,0),2)),1)))))),2)</f>
      </c>
      <c r="Q118" s="29">
        <f>IFERROR(IF(N118=0,"",IF(NOT(Y118=1),1,IF('DATOS'!K118="Sin valorar",2,IF('DATOS'!G118=0,1,IF(OR('DATOS'!H118=0,'DATOS'!J118=0),IF(AND(OR('DATOS'!K118="Sin coste documentado",'DATOS'!K118="Incluido en otra partida"),AND(LEN(TRIM('DATOS'!L118&amp;""))&gt;0,TRIM('DATOS'!L118&amp;"")&lt;&gt;"Pendiente",TRIM('DATOS'!L118&amp;"")&lt;&gt;"Por confirmar",TRIM('DATOS'!L118&amp;"")&lt;&gt;"No consta",TRIM('DATOS'!L118&amp;"")&lt;&gt;"Desconocido",TRIM('DATOS'!L118&amp;"")&lt;&gt;"Sin confirmar",TRIM('DATOS'!L118&amp;"")&lt;&gt;"Por decidir",TRIM('DATOS'!L118&amp;"")&lt;&gt;"Por comprobar")),0,1),0))))),2)</f>
      </c>
      <c r="R118" s="29">
        <f>IFERROR(IF(N118=0,"",IF(OR(NOT(AND(LEN(TRIM('DATOS'!D118&amp;""))&gt;0,TRIM('DATOS'!D118&amp;"")&lt;&gt;"Pendiente",TRIM('DATOS'!D118&amp;"")&lt;&gt;"Por confirmar",TRIM('DATOS'!D118&amp;"")&lt;&gt;"No consta",TRIM('DATOS'!D118&amp;"")&lt;&gt;"Desconocido",TRIM('DATOS'!D118&amp;"")&lt;&gt;"Sin confirmar",TRIM('DATOS'!D118&amp;"")&lt;&gt;"Por decidir",TRIM('DATOS'!D118&amp;"")&lt;&gt;"Por comprobar")),NOT(AND(LEN(TRIM('DATOS'!E118&amp;""))&gt;0,TRIM('DATOS'!E118&amp;"")&lt;&gt;"Pendiente",TRIM('DATOS'!E118&amp;"")&lt;&gt;"Por confirmar",TRIM('DATOS'!E118&amp;"")&lt;&gt;"No consta",TRIM('DATOS'!E118&amp;"")&lt;&gt;"Desconocido",TRIM('DATOS'!E118&amp;"")&lt;&gt;"Sin confirmar",TRIM('DATOS'!E118&amp;"")&lt;&gt;"Por decidir",TRIM('DATOS'!E118&amp;"")&lt;&gt;"Por comprobar"))),2,IF('DATOS'!M118="No",2,IF('DATOS'!M118="Sí",0,IF(OR('DATOS'!D118&lt;&gt;'DATOS'!E118,LEN('DATOS'!E118)&gt;300,RIGHT(TRIM('DATOS'!E118),3)="...",RIGHT(TRIM('DATOS'!E118),1)="…"),1,0))))),2)</f>
      </c>
      <c r="S118" s="29">
        <f>IFERROR(IF(N118=0,"",IF('REFERENCIAS'!$Q$8&lt;&gt;1,2,IF(NOT(Y118=1),1,IF(OR(ABS('DATOS'!G118-ROUND('DATOS'!G118,'REFERENCIAS'!$E$8))&gt;0.00000001,ABS('DATOS'!H118-ROUND('DATOS'!H118,'REFERENCIAS'!$H$8))&gt;0.00000001,ABS('DATOS'!J118-ROUND('DATOS'!J118,'REFERENCIAS'!$K$8))&gt;0.00000001,IF(ISNUMBER('DATOS'!I118),ABS('DATOS'!I118-ROUND('DATOS'!I118,'REFERENCIAS'!$H$8))&gt;0.00000001,FALSE)),1,0)))),2)</f>
      </c>
      <c r="T118" s="29">
        <f>IFERROR(IF(N118=0,"",IF(NOT(AND(LEN(TRIM('DATOS'!F118&amp;""))&gt;0,TRIM('DATOS'!F118&amp;"")&lt;&gt;"Pendiente",TRIM('DATOS'!F118&amp;"")&lt;&gt;"Por confirmar",TRIM('DATOS'!F118&amp;"")&lt;&gt;"No consta",TRIM('DATOS'!F118&amp;"")&lt;&gt;"Desconocido",TRIM('DATOS'!F118&amp;"")&lt;&gt;"Sin confirmar",TRIM('DATOS'!F118&amp;"")&lt;&gt;"Por decidir",TRIM('DATOS'!F118&amp;"")&lt;&gt;"Por comprobar")),2,IF(COUNTIFS('REFERENCIAS'!$T$15:$T$34,"ID:"&amp;SUBSTITUTE(SUBSTITUTE(SUBSTITUTE(SUBSTITUTE(UPPER(TRIM('DATOS'!F118&amp;"")),"!","!E"),"*","!A"),"?","!B"),"~","!C"),'REFERENCIAS'!$H$15:$H$34,"&lt;&gt;")&gt;0,0,1))),2)</f>
      </c>
      <c r="U118" s="29" t="str">
        <f>'DATOS'!R118</f>
        <v>ID:</v>
      </c>
      <c r="V118" s="29" t="str">
        <f>'DATOS'!S118</f>
        <v>ID:</v>
      </c>
      <c r="W118" s="29" t="n">
        <f>IF(N118=0,0,COUNTIFS('REFERENCIAS'!$R$15:$R$64,U118))</f>
        <v>0</v>
      </c>
      <c r="X118" s="29" t="n">
        <f>IF(N118=0,0,COUNTIFS('DATOS'!$R$10:$R$509,U118,'DATOS'!$S$10:$S$509,V118))</f>
        <v>0</v>
      </c>
      <c r="Y118" s="29" t="n">
        <f>IF(AND(ISNUMBER('DATOS'!G118),ISNUMBER('DATOS'!H118),ISNUMBER('DATOS'!J118)),1,0)</f>
        <v>0</v>
      </c>
    </row>
    <row r="119" ht="64" customHeight="1">
      <c r="B119" s="26">
        <f>IF(N119=1,110,"")</f>
      </c>
      <c r="C119" s="26">
        <f>IF(AND(N119=1,LEN(TRIM('DATOS'!B119&amp;""))&gt;0),'DATOS'!B119,"")</f>
      </c>
      <c r="D119" s="26">
        <f>IF(AND(N119=1,LEN(TRIM('DATOS'!C119&amp;""))&gt;0),'DATOS'!C119,"")</f>
      </c>
      <c r="E119" s="26">
        <f>IF(NOT(ISNUMBER(P119)),"",IF(P119=2,"ROJO",IF(P119=1,"ÁMBAR","VERDE")))</f>
      </c>
      <c r="F119" s="26">
        <f>IF(NOT(ISNUMBER(Q119)),"",IF(Q119=2,"ROJO",IF(Q119=1,"ÁMBAR","VERDE")))</f>
      </c>
      <c r="G119" s="26">
        <f>IF(NOT(ISNUMBER(R119)),"",IF(R119=2,"ROJO",IF(R119=1,"ÁMBAR","VERDE")))</f>
      </c>
      <c r="H119" s="26">
        <f>IF(NOT(ISNUMBER(S119)),"",IF(S119=2,"ROJO",IF(S119=1,"ÁMBAR","VERDE")))</f>
      </c>
      <c r="I119" s="26">
        <f>IF(NOT(ISNUMBER(T119)),"",IF(T119=2,"ROJO",IF(T119=1,"ÁMBAR","VERDE")))</f>
      </c>
      <c r="J119" s="26">
        <f>IF(NOT(ISNUMBER(O119)),"",IF(O119=2,"ROJO",IF(O119=1,"ÁMBAR","VERDE")))</f>
      </c>
      <c r="K119" s="26">
        <f>IFERROR(IF(AND(N119=1,LEN(TRIM('DATOS'!N119&amp;""))&gt;0),'DATOS'!N119,""),"Hay una entrada con error. Corregimos el dato antes de cerrar la comprobación.")</f>
      </c>
      <c r="L119" s="26">
        <f>IFERROR(IF(N119=0,"",IF(O119&gt;0,"Completamos datos, claves o motivo. ","")&amp;IF(P119&gt;0,"Cotejamos precios e importe. ","")&amp;IF(Q119&gt;0,"Aclaramos el cero. ","")&amp;IF(R119&gt;0,"Comprobamos el texto. ","")&amp;IF(S119&gt;0,"Revisamos decimales visibles. ","")&amp;IF(T119&gt;0,"Confirmamos la unidad.","")),"Hay una entrada con error. Corregimos el dato antes de cerrar la comprobación.")</f>
      </c>
      <c r="N119" s="29" t="n">
        <f>IF(COUNTA('DATOS'!B119:O119)&gt;0,1,0)</f>
        <v>0</v>
      </c>
      <c r="O119" s="29">
        <f>IFERROR(IF(N119=0,"",IF(OR(NOT(AND(LEN(TRIM('DATOS'!B119&amp;""))&gt;0,TRIM('DATOS'!B119&amp;"")&lt;&gt;"Pendiente",TRIM('DATOS'!B119&amp;"")&lt;&gt;"Por confirmar",TRIM('DATOS'!B119&amp;"")&lt;&gt;"No consta",TRIM('DATOS'!B119&amp;"")&lt;&gt;"Desconocido",TRIM('DATOS'!B119&amp;"")&lt;&gt;"Sin confirmar",TRIM('DATOS'!B119&amp;"")&lt;&gt;"Por decidir",TRIM('DATOS'!B119&amp;"")&lt;&gt;"Por comprobar")),NOT(AND(LEN(TRIM('DATOS'!C119&amp;""))&gt;0,TRIM('DATOS'!C119&amp;"")&lt;&gt;"Pendiente",TRIM('DATOS'!C119&amp;"")&lt;&gt;"Por confirmar",TRIM('DATOS'!C119&amp;"")&lt;&gt;"No consta",TRIM('DATOS'!C119&amp;"")&lt;&gt;"Desconocido",TRIM('DATOS'!C119&amp;"")&lt;&gt;"Sin confirmar",TRIM('DATOS'!C119&amp;"")&lt;&gt;"Por decidir",TRIM('DATOS'!C119&amp;"")&lt;&gt;"Por comprobar")),NOT(AND(LEN(TRIM('DATOS'!D119&amp;""))&gt;0,TRIM('DATOS'!D119&amp;"")&lt;&gt;"Pendiente",TRIM('DATOS'!D119&amp;"")&lt;&gt;"Por confirmar",TRIM('DATOS'!D119&amp;"")&lt;&gt;"No consta",TRIM('DATOS'!D119&amp;"")&lt;&gt;"Desconocido",TRIM('DATOS'!D119&amp;"")&lt;&gt;"Sin confirmar",TRIM('DATOS'!D119&amp;"")&lt;&gt;"Por decidir",TRIM('DATOS'!D119&amp;"")&lt;&gt;"Por comprobar")),NOT(AND(LEN(TRIM('DATOS'!E119&amp;""))&gt;0,TRIM('DATOS'!E119&amp;"")&lt;&gt;"Pendiente",TRIM('DATOS'!E119&amp;"")&lt;&gt;"Por confirmar",TRIM('DATOS'!E119&amp;"")&lt;&gt;"No consta",TRIM('DATOS'!E119&amp;"")&lt;&gt;"Desconocido",TRIM('DATOS'!E119&amp;"")&lt;&gt;"Sin confirmar",TRIM('DATOS'!E119&amp;"")&lt;&gt;"Por decidir",TRIM('DATOS'!E119&amp;"")&lt;&gt;"Por comprobar")),NOT(AND(LEN(TRIM('DATOS'!F119&amp;""))&gt;0,TRIM('DATOS'!F119&amp;"")&lt;&gt;"Pendiente",TRIM('DATOS'!F119&amp;"")&lt;&gt;"Por confirmar",TRIM('DATOS'!F119&amp;"")&lt;&gt;"No consta",TRIM('DATOS'!F119&amp;"")&lt;&gt;"Desconocido",TRIM('DATOS'!F119&amp;"")&lt;&gt;"Sin confirmar",TRIM('DATOS'!F119&amp;"")&lt;&gt;"Por decidir",TRIM('DATOS'!F119&amp;"")&lt;&gt;"Por comprobar")),NOT(AND(LEN(TRIM('DATOS'!N119&amp;""))&gt;0,TRIM('DATOS'!N119&amp;"")&lt;&gt;"Pendiente",TRIM('DATOS'!N119&amp;"")&lt;&gt;"Por confirmar",TRIM('DATOS'!N119&amp;"")&lt;&gt;"No consta",TRIM('DATOS'!N119&amp;"")&lt;&gt;"Desconocido",TRIM('DATOS'!N119&amp;"")&lt;&gt;"Sin confirmar",TRIM('DATOS'!N119&amp;"")&lt;&gt;"Por decidir",TRIM('DATOS'!N119&amp;"")&lt;&gt;"Por comprobar")),NOT(Y119=1),W119&lt;&gt;1,X119&gt;1,NOT(OR(LEN(TRIM('DATOS'!K119&amp;""))=0,'DATOS'!K119="Sin valorar",'DATOS'!K119="Sin coste documentado",'DATOS'!K119="Incluido en otra partida",'DATOS'!K119="Por confirmar")),NOT(OR(LEN(TRIM('DATOS'!M119&amp;""))=0,'DATOS'!M119="Sí",'DATOS'!M119="No",'DATOS'!M119="Por confirmar")),NOT(OR(LEN(TRIM('DATOS'!O119&amp;""))=0,'DATOS'!O119="Comparamos",'DATOS'!O119="No existe",'DATOS'!O119="Por confirmar"))),2,IF(AND(OR('DATOS'!G119&lt;0,'DATOS'!H119&lt;0,'DATOS'!J119&lt;0),NOT(AND(LEN(TRIM('DATOS'!L119&amp;""))&gt;0,TRIM('DATOS'!L119&amp;"")&lt;&gt;"Pendiente",TRIM('DATOS'!L119&amp;"")&lt;&gt;"Por confirmar",TRIM('DATOS'!L119&amp;"")&lt;&gt;"No consta",TRIM('DATOS'!L119&amp;"")&lt;&gt;"Desconocido",TRIM('DATOS'!L119&amp;"")&lt;&gt;"Sin confirmar",TRIM('DATOS'!L119&amp;"")&lt;&gt;"Por decidir",TRIM('DATOS'!L119&amp;"")&lt;&gt;"Por comprobar"))),1,0))),2)</f>
      </c>
      <c r="P119" s="29">
        <f>IFERROR(IF(N119=0,"",IF(NOT(Y119=1),1,IF('REFERENCIAS'!$Q$8&lt;&gt;1,2,IF(ABS('DATOS'!J119-ROUND('DATOS'!G119*'DATOS'!H119,'REFERENCIAS'!$K$8))&gt;0.00000001,2,IF('DATOS'!O119="No existe",IF(LEN(TRIM('DATOS'!I119&amp;""))=0,0,2),IF('DATOS'!O119="Comparamos",IF(LEN(TRIM('DATOS'!I119&amp;""))=0,1,IF(ISNUMBER('DATOS'!I119),IF(ABS('DATOS'!H119-'DATOS'!I119)&gt;0.00000001,2,0),2)),1)))))),2)</f>
      </c>
      <c r="Q119" s="29">
        <f>IFERROR(IF(N119=0,"",IF(NOT(Y119=1),1,IF('DATOS'!K119="Sin valorar",2,IF('DATOS'!G119=0,1,IF(OR('DATOS'!H119=0,'DATOS'!J119=0),IF(AND(OR('DATOS'!K119="Sin coste documentado",'DATOS'!K119="Incluido en otra partida"),AND(LEN(TRIM('DATOS'!L119&amp;""))&gt;0,TRIM('DATOS'!L119&amp;"")&lt;&gt;"Pendiente",TRIM('DATOS'!L119&amp;"")&lt;&gt;"Por confirmar",TRIM('DATOS'!L119&amp;"")&lt;&gt;"No consta",TRIM('DATOS'!L119&amp;"")&lt;&gt;"Desconocido",TRIM('DATOS'!L119&amp;"")&lt;&gt;"Sin confirmar",TRIM('DATOS'!L119&amp;"")&lt;&gt;"Por decidir",TRIM('DATOS'!L119&amp;"")&lt;&gt;"Por comprobar")),0,1),0))))),2)</f>
      </c>
      <c r="R119" s="29">
        <f>IFERROR(IF(N119=0,"",IF(OR(NOT(AND(LEN(TRIM('DATOS'!D119&amp;""))&gt;0,TRIM('DATOS'!D119&amp;"")&lt;&gt;"Pendiente",TRIM('DATOS'!D119&amp;"")&lt;&gt;"Por confirmar",TRIM('DATOS'!D119&amp;"")&lt;&gt;"No consta",TRIM('DATOS'!D119&amp;"")&lt;&gt;"Desconocido",TRIM('DATOS'!D119&amp;"")&lt;&gt;"Sin confirmar",TRIM('DATOS'!D119&amp;"")&lt;&gt;"Por decidir",TRIM('DATOS'!D119&amp;"")&lt;&gt;"Por comprobar")),NOT(AND(LEN(TRIM('DATOS'!E119&amp;""))&gt;0,TRIM('DATOS'!E119&amp;"")&lt;&gt;"Pendiente",TRIM('DATOS'!E119&amp;"")&lt;&gt;"Por confirmar",TRIM('DATOS'!E119&amp;"")&lt;&gt;"No consta",TRIM('DATOS'!E119&amp;"")&lt;&gt;"Desconocido",TRIM('DATOS'!E119&amp;"")&lt;&gt;"Sin confirmar",TRIM('DATOS'!E119&amp;"")&lt;&gt;"Por decidir",TRIM('DATOS'!E119&amp;"")&lt;&gt;"Por comprobar"))),2,IF('DATOS'!M119="No",2,IF('DATOS'!M119="Sí",0,IF(OR('DATOS'!D119&lt;&gt;'DATOS'!E119,LEN('DATOS'!E119)&gt;300,RIGHT(TRIM('DATOS'!E119),3)="...",RIGHT(TRIM('DATOS'!E119),1)="…"),1,0))))),2)</f>
      </c>
      <c r="S119" s="29">
        <f>IFERROR(IF(N119=0,"",IF('REFERENCIAS'!$Q$8&lt;&gt;1,2,IF(NOT(Y119=1),1,IF(OR(ABS('DATOS'!G119-ROUND('DATOS'!G119,'REFERENCIAS'!$E$8))&gt;0.00000001,ABS('DATOS'!H119-ROUND('DATOS'!H119,'REFERENCIAS'!$H$8))&gt;0.00000001,ABS('DATOS'!J119-ROUND('DATOS'!J119,'REFERENCIAS'!$K$8))&gt;0.00000001,IF(ISNUMBER('DATOS'!I119),ABS('DATOS'!I119-ROUND('DATOS'!I119,'REFERENCIAS'!$H$8))&gt;0.00000001,FALSE)),1,0)))),2)</f>
      </c>
      <c r="T119" s="29">
        <f>IFERROR(IF(N119=0,"",IF(NOT(AND(LEN(TRIM('DATOS'!F119&amp;""))&gt;0,TRIM('DATOS'!F119&amp;"")&lt;&gt;"Pendiente",TRIM('DATOS'!F119&amp;"")&lt;&gt;"Por confirmar",TRIM('DATOS'!F119&amp;"")&lt;&gt;"No consta",TRIM('DATOS'!F119&amp;"")&lt;&gt;"Desconocido",TRIM('DATOS'!F119&amp;"")&lt;&gt;"Sin confirmar",TRIM('DATOS'!F119&amp;"")&lt;&gt;"Por decidir",TRIM('DATOS'!F119&amp;"")&lt;&gt;"Por comprobar")),2,IF(COUNTIFS('REFERENCIAS'!$T$15:$T$34,"ID:"&amp;SUBSTITUTE(SUBSTITUTE(SUBSTITUTE(SUBSTITUTE(UPPER(TRIM('DATOS'!F119&amp;"")),"!","!E"),"*","!A"),"?","!B"),"~","!C"),'REFERENCIAS'!$H$15:$H$34,"&lt;&gt;")&gt;0,0,1))),2)</f>
      </c>
      <c r="U119" s="29" t="str">
        <f>'DATOS'!R119</f>
        <v>ID:</v>
      </c>
      <c r="V119" s="29" t="str">
        <f>'DATOS'!S119</f>
        <v>ID:</v>
      </c>
      <c r="W119" s="29" t="n">
        <f>IF(N119=0,0,COUNTIFS('REFERENCIAS'!$R$15:$R$64,U119))</f>
        <v>0</v>
      </c>
      <c r="X119" s="29" t="n">
        <f>IF(N119=0,0,COUNTIFS('DATOS'!$R$10:$R$509,U119,'DATOS'!$S$10:$S$509,V119))</f>
        <v>0</v>
      </c>
      <c r="Y119" s="29" t="n">
        <f>IF(AND(ISNUMBER('DATOS'!G119),ISNUMBER('DATOS'!H119),ISNUMBER('DATOS'!J119)),1,0)</f>
        <v>0</v>
      </c>
    </row>
    <row r="120" ht="64" customHeight="1">
      <c r="B120" s="26">
        <f>IF(N120=1,111,"")</f>
      </c>
      <c r="C120" s="26">
        <f>IF(AND(N120=1,LEN(TRIM('DATOS'!B120&amp;""))&gt;0),'DATOS'!B120,"")</f>
      </c>
      <c r="D120" s="26">
        <f>IF(AND(N120=1,LEN(TRIM('DATOS'!C120&amp;""))&gt;0),'DATOS'!C120,"")</f>
      </c>
      <c r="E120" s="26">
        <f>IF(NOT(ISNUMBER(P120)),"",IF(P120=2,"ROJO",IF(P120=1,"ÁMBAR","VERDE")))</f>
      </c>
      <c r="F120" s="26">
        <f>IF(NOT(ISNUMBER(Q120)),"",IF(Q120=2,"ROJO",IF(Q120=1,"ÁMBAR","VERDE")))</f>
      </c>
      <c r="G120" s="26">
        <f>IF(NOT(ISNUMBER(R120)),"",IF(R120=2,"ROJO",IF(R120=1,"ÁMBAR","VERDE")))</f>
      </c>
      <c r="H120" s="26">
        <f>IF(NOT(ISNUMBER(S120)),"",IF(S120=2,"ROJO",IF(S120=1,"ÁMBAR","VERDE")))</f>
      </c>
      <c r="I120" s="26">
        <f>IF(NOT(ISNUMBER(T120)),"",IF(T120=2,"ROJO",IF(T120=1,"ÁMBAR","VERDE")))</f>
      </c>
      <c r="J120" s="26">
        <f>IF(NOT(ISNUMBER(O120)),"",IF(O120=2,"ROJO",IF(O120=1,"ÁMBAR","VERDE")))</f>
      </c>
      <c r="K120" s="26">
        <f>IFERROR(IF(AND(N120=1,LEN(TRIM('DATOS'!N120&amp;""))&gt;0),'DATOS'!N120,""),"Hay una entrada con error. Corregimos el dato antes de cerrar la comprobación.")</f>
      </c>
      <c r="L120" s="26">
        <f>IFERROR(IF(N120=0,"",IF(O120&gt;0,"Completamos datos, claves o motivo. ","")&amp;IF(P120&gt;0,"Cotejamos precios e importe. ","")&amp;IF(Q120&gt;0,"Aclaramos el cero. ","")&amp;IF(R120&gt;0,"Comprobamos el texto. ","")&amp;IF(S120&gt;0,"Revisamos decimales visibles. ","")&amp;IF(T120&gt;0,"Confirmamos la unidad.","")),"Hay una entrada con error. Corregimos el dato antes de cerrar la comprobación.")</f>
      </c>
      <c r="N120" s="29" t="n">
        <f>IF(COUNTA('DATOS'!B120:O120)&gt;0,1,0)</f>
        <v>0</v>
      </c>
      <c r="O120" s="29">
        <f>IFERROR(IF(N120=0,"",IF(OR(NOT(AND(LEN(TRIM('DATOS'!B120&amp;""))&gt;0,TRIM('DATOS'!B120&amp;"")&lt;&gt;"Pendiente",TRIM('DATOS'!B120&amp;"")&lt;&gt;"Por confirmar",TRIM('DATOS'!B120&amp;"")&lt;&gt;"No consta",TRIM('DATOS'!B120&amp;"")&lt;&gt;"Desconocido",TRIM('DATOS'!B120&amp;"")&lt;&gt;"Sin confirmar",TRIM('DATOS'!B120&amp;"")&lt;&gt;"Por decidir",TRIM('DATOS'!B120&amp;"")&lt;&gt;"Por comprobar")),NOT(AND(LEN(TRIM('DATOS'!C120&amp;""))&gt;0,TRIM('DATOS'!C120&amp;"")&lt;&gt;"Pendiente",TRIM('DATOS'!C120&amp;"")&lt;&gt;"Por confirmar",TRIM('DATOS'!C120&amp;"")&lt;&gt;"No consta",TRIM('DATOS'!C120&amp;"")&lt;&gt;"Desconocido",TRIM('DATOS'!C120&amp;"")&lt;&gt;"Sin confirmar",TRIM('DATOS'!C120&amp;"")&lt;&gt;"Por decidir",TRIM('DATOS'!C120&amp;"")&lt;&gt;"Por comprobar")),NOT(AND(LEN(TRIM('DATOS'!D120&amp;""))&gt;0,TRIM('DATOS'!D120&amp;"")&lt;&gt;"Pendiente",TRIM('DATOS'!D120&amp;"")&lt;&gt;"Por confirmar",TRIM('DATOS'!D120&amp;"")&lt;&gt;"No consta",TRIM('DATOS'!D120&amp;"")&lt;&gt;"Desconocido",TRIM('DATOS'!D120&amp;"")&lt;&gt;"Sin confirmar",TRIM('DATOS'!D120&amp;"")&lt;&gt;"Por decidir",TRIM('DATOS'!D120&amp;"")&lt;&gt;"Por comprobar")),NOT(AND(LEN(TRIM('DATOS'!E120&amp;""))&gt;0,TRIM('DATOS'!E120&amp;"")&lt;&gt;"Pendiente",TRIM('DATOS'!E120&amp;"")&lt;&gt;"Por confirmar",TRIM('DATOS'!E120&amp;"")&lt;&gt;"No consta",TRIM('DATOS'!E120&amp;"")&lt;&gt;"Desconocido",TRIM('DATOS'!E120&amp;"")&lt;&gt;"Sin confirmar",TRIM('DATOS'!E120&amp;"")&lt;&gt;"Por decidir",TRIM('DATOS'!E120&amp;"")&lt;&gt;"Por comprobar")),NOT(AND(LEN(TRIM('DATOS'!F120&amp;""))&gt;0,TRIM('DATOS'!F120&amp;"")&lt;&gt;"Pendiente",TRIM('DATOS'!F120&amp;"")&lt;&gt;"Por confirmar",TRIM('DATOS'!F120&amp;"")&lt;&gt;"No consta",TRIM('DATOS'!F120&amp;"")&lt;&gt;"Desconocido",TRIM('DATOS'!F120&amp;"")&lt;&gt;"Sin confirmar",TRIM('DATOS'!F120&amp;"")&lt;&gt;"Por decidir",TRIM('DATOS'!F120&amp;"")&lt;&gt;"Por comprobar")),NOT(AND(LEN(TRIM('DATOS'!N120&amp;""))&gt;0,TRIM('DATOS'!N120&amp;"")&lt;&gt;"Pendiente",TRIM('DATOS'!N120&amp;"")&lt;&gt;"Por confirmar",TRIM('DATOS'!N120&amp;"")&lt;&gt;"No consta",TRIM('DATOS'!N120&amp;"")&lt;&gt;"Desconocido",TRIM('DATOS'!N120&amp;"")&lt;&gt;"Sin confirmar",TRIM('DATOS'!N120&amp;"")&lt;&gt;"Por decidir",TRIM('DATOS'!N120&amp;"")&lt;&gt;"Por comprobar")),NOT(Y120=1),W120&lt;&gt;1,X120&gt;1,NOT(OR(LEN(TRIM('DATOS'!K120&amp;""))=0,'DATOS'!K120="Sin valorar",'DATOS'!K120="Sin coste documentado",'DATOS'!K120="Incluido en otra partida",'DATOS'!K120="Por confirmar")),NOT(OR(LEN(TRIM('DATOS'!M120&amp;""))=0,'DATOS'!M120="Sí",'DATOS'!M120="No",'DATOS'!M120="Por confirmar")),NOT(OR(LEN(TRIM('DATOS'!O120&amp;""))=0,'DATOS'!O120="Comparamos",'DATOS'!O120="No existe",'DATOS'!O120="Por confirmar"))),2,IF(AND(OR('DATOS'!G120&lt;0,'DATOS'!H120&lt;0,'DATOS'!J120&lt;0),NOT(AND(LEN(TRIM('DATOS'!L120&amp;""))&gt;0,TRIM('DATOS'!L120&amp;"")&lt;&gt;"Pendiente",TRIM('DATOS'!L120&amp;"")&lt;&gt;"Por confirmar",TRIM('DATOS'!L120&amp;"")&lt;&gt;"No consta",TRIM('DATOS'!L120&amp;"")&lt;&gt;"Desconocido",TRIM('DATOS'!L120&amp;"")&lt;&gt;"Sin confirmar",TRIM('DATOS'!L120&amp;"")&lt;&gt;"Por decidir",TRIM('DATOS'!L120&amp;"")&lt;&gt;"Por comprobar"))),1,0))),2)</f>
      </c>
      <c r="P120" s="29">
        <f>IFERROR(IF(N120=0,"",IF(NOT(Y120=1),1,IF('REFERENCIAS'!$Q$8&lt;&gt;1,2,IF(ABS('DATOS'!J120-ROUND('DATOS'!G120*'DATOS'!H120,'REFERENCIAS'!$K$8))&gt;0.00000001,2,IF('DATOS'!O120="No existe",IF(LEN(TRIM('DATOS'!I120&amp;""))=0,0,2),IF('DATOS'!O120="Comparamos",IF(LEN(TRIM('DATOS'!I120&amp;""))=0,1,IF(ISNUMBER('DATOS'!I120),IF(ABS('DATOS'!H120-'DATOS'!I120)&gt;0.00000001,2,0),2)),1)))))),2)</f>
      </c>
      <c r="Q120" s="29">
        <f>IFERROR(IF(N120=0,"",IF(NOT(Y120=1),1,IF('DATOS'!K120="Sin valorar",2,IF('DATOS'!G120=0,1,IF(OR('DATOS'!H120=0,'DATOS'!J120=0),IF(AND(OR('DATOS'!K120="Sin coste documentado",'DATOS'!K120="Incluido en otra partida"),AND(LEN(TRIM('DATOS'!L120&amp;""))&gt;0,TRIM('DATOS'!L120&amp;"")&lt;&gt;"Pendiente",TRIM('DATOS'!L120&amp;"")&lt;&gt;"Por confirmar",TRIM('DATOS'!L120&amp;"")&lt;&gt;"No consta",TRIM('DATOS'!L120&amp;"")&lt;&gt;"Desconocido",TRIM('DATOS'!L120&amp;"")&lt;&gt;"Sin confirmar",TRIM('DATOS'!L120&amp;"")&lt;&gt;"Por decidir",TRIM('DATOS'!L120&amp;"")&lt;&gt;"Por comprobar")),0,1),0))))),2)</f>
      </c>
      <c r="R120" s="29">
        <f>IFERROR(IF(N120=0,"",IF(OR(NOT(AND(LEN(TRIM('DATOS'!D120&amp;""))&gt;0,TRIM('DATOS'!D120&amp;"")&lt;&gt;"Pendiente",TRIM('DATOS'!D120&amp;"")&lt;&gt;"Por confirmar",TRIM('DATOS'!D120&amp;"")&lt;&gt;"No consta",TRIM('DATOS'!D120&amp;"")&lt;&gt;"Desconocido",TRIM('DATOS'!D120&amp;"")&lt;&gt;"Sin confirmar",TRIM('DATOS'!D120&amp;"")&lt;&gt;"Por decidir",TRIM('DATOS'!D120&amp;"")&lt;&gt;"Por comprobar")),NOT(AND(LEN(TRIM('DATOS'!E120&amp;""))&gt;0,TRIM('DATOS'!E120&amp;"")&lt;&gt;"Pendiente",TRIM('DATOS'!E120&amp;"")&lt;&gt;"Por confirmar",TRIM('DATOS'!E120&amp;"")&lt;&gt;"No consta",TRIM('DATOS'!E120&amp;"")&lt;&gt;"Desconocido",TRIM('DATOS'!E120&amp;"")&lt;&gt;"Sin confirmar",TRIM('DATOS'!E120&amp;"")&lt;&gt;"Por decidir",TRIM('DATOS'!E120&amp;"")&lt;&gt;"Por comprobar"))),2,IF('DATOS'!M120="No",2,IF('DATOS'!M120="Sí",0,IF(OR('DATOS'!D120&lt;&gt;'DATOS'!E120,LEN('DATOS'!E120)&gt;300,RIGHT(TRIM('DATOS'!E120),3)="...",RIGHT(TRIM('DATOS'!E120),1)="…"),1,0))))),2)</f>
      </c>
      <c r="S120" s="29">
        <f>IFERROR(IF(N120=0,"",IF('REFERENCIAS'!$Q$8&lt;&gt;1,2,IF(NOT(Y120=1),1,IF(OR(ABS('DATOS'!G120-ROUND('DATOS'!G120,'REFERENCIAS'!$E$8))&gt;0.00000001,ABS('DATOS'!H120-ROUND('DATOS'!H120,'REFERENCIAS'!$H$8))&gt;0.00000001,ABS('DATOS'!J120-ROUND('DATOS'!J120,'REFERENCIAS'!$K$8))&gt;0.00000001,IF(ISNUMBER('DATOS'!I120),ABS('DATOS'!I120-ROUND('DATOS'!I120,'REFERENCIAS'!$H$8))&gt;0.00000001,FALSE)),1,0)))),2)</f>
      </c>
      <c r="T120" s="29">
        <f>IFERROR(IF(N120=0,"",IF(NOT(AND(LEN(TRIM('DATOS'!F120&amp;""))&gt;0,TRIM('DATOS'!F120&amp;"")&lt;&gt;"Pendiente",TRIM('DATOS'!F120&amp;"")&lt;&gt;"Por confirmar",TRIM('DATOS'!F120&amp;"")&lt;&gt;"No consta",TRIM('DATOS'!F120&amp;"")&lt;&gt;"Desconocido",TRIM('DATOS'!F120&amp;"")&lt;&gt;"Sin confirmar",TRIM('DATOS'!F120&amp;"")&lt;&gt;"Por decidir",TRIM('DATOS'!F120&amp;"")&lt;&gt;"Por comprobar")),2,IF(COUNTIFS('REFERENCIAS'!$T$15:$T$34,"ID:"&amp;SUBSTITUTE(SUBSTITUTE(SUBSTITUTE(SUBSTITUTE(UPPER(TRIM('DATOS'!F120&amp;"")),"!","!E"),"*","!A"),"?","!B"),"~","!C"),'REFERENCIAS'!$H$15:$H$34,"&lt;&gt;")&gt;0,0,1))),2)</f>
      </c>
      <c r="U120" s="29" t="str">
        <f>'DATOS'!R120</f>
        <v>ID:</v>
      </c>
      <c r="V120" s="29" t="str">
        <f>'DATOS'!S120</f>
        <v>ID:</v>
      </c>
      <c r="W120" s="29" t="n">
        <f>IF(N120=0,0,COUNTIFS('REFERENCIAS'!$R$15:$R$64,U120))</f>
        <v>0</v>
      </c>
      <c r="X120" s="29" t="n">
        <f>IF(N120=0,0,COUNTIFS('DATOS'!$R$10:$R$509,U120,'DATOS'!$S$10:$S$509,V120))</f>
        <v>0</v>
      </c>
      <c r="Y120" s="29" t="n">
        <f>IF(AND(ISNUMBER('DATOS'!G120),ISNUMBER('DATOS'!H120),ISNUMBER('DATOS'!J120)),1,0)</f>
        <v>0</v>
      </c>
    </row>
    <row r="121" ht="64" customHeight="1">
      <c r="B121" s="26">
        <f>IF(N121=1,112,"")</f>
      </c>
      <c r="C121" s="26">
        <f>IF(AND(N121=1,LEN(TRIM('DATOS'!B121&amp;""))&gt;0),'DATOS'!B121,"")</f>
      </c>
      <c r="D121" s="26">
        <f>IF(AND(N121=1,LEN(TRIM('DATOS'!C121&amp;""))&gt;0),'DATOS'!C121,"")</f>
      </c>
      <c r="E121" s="26">
        <f>IF(NOT(ISNUMBER(P121)),"",IF(P121=2,"ROJO",IF(P121=1,"ÁMBAR","VERDE")))</f>
      </c>
      <c r="F121" s="26">
        <f>IF(NOT(ISNUMBER(Q121)),"",IF(Q121=2,"ROJO",IF(Q121=1,"ÁMBAR","VERDE")))</f>
      </c>
      <c r="G121" s="26">
        <f>IF(NOT(ISNUMBER(R121)),"",IF(R121=2,"ROJO",IF(R121=1,"ÁMBAR","VERDE")))</f>
      </c>
      <c r="H121" s="26">
        <f>IF(NOT(ISNUMBER(S121)),"",IF(S121=2,"ROJO",IF(S121=1,"ÁMBAR","VERDE")))</f>
      </c>
      <c r="I121" s="26">
        <f>IF(NOT(ISNUMBER(T121)),"",IF(T121=2,"ROJO",IF(T121=1,"ÁMBAR","VERDE")))</f>
      </c>
      <c r="J121" s="26">
        <f>IF(NOT(ISNUMBER(O121)),"",IF(O121=2,"ROJO",IF(O121=1,"ÁMBAR","VERDE")))</f>
      </c>
      <c r="K121" s="26">
        <f>IFERROR(IF(AND(N121=1,LEN(TRIM('DATOS'!N121&amp;""))&gt;0),'DATOS'!N121,""),"Hay una entrada con error. Corregimos el dato antes de cerrar la comprobación.")</f>
      </c>
      <c r="L121" s="26">
        <f>IFERROR(IF(N121=0,"",IF(O121&gt;0,"Completamos datos, claves o motivo. ","")&amp;IF(P121&gt;0,"Cotejamos precios e importe. ","")&amp;IF(Q121&gt;0,"Aclaramos el cero. ","")&amp;IF(R121&gt;0,"Comprobamos el texto. ","")&amp;IF(S121&gt;0,"Revisamos decimales visibles. ","")&amp;IF(T121&gt;0,"Confirmamos la unidad.","")),"Hay una entrada con error. Corregimos el dato antes de cerrar la comprobación.")</f>
      </c>
      <c r="N121" s="29" t="n">
        <f>IF(COUNTA('DATOS'!B121:O121)&gt;0,1,0)</f>
        <v>0</v>
      </c>
      <c r="O121" s="29">
        <f>IFERROR(IF(N121=0,"",IF(OR(NOT(AND(LEN(TRIM('DATOS'!B121&amp;""))&gt;0,TRIM('DATOS'!B121&amp;"")&lt;&gt;"Pendiente",TRIM('DATOS'!B121&amp;"")&lt;&gt;"Por confirmar",TRIM('DATOS'!B121&amp;"")&lt;&gt;"No consta",TRIM('DATOS'!B121&amp;"")&lt;&gt;"Desconocido",TRIM('DATOS'!B121&amp;"")&lt;&gt;"Sin confirmar",TRIM('DATOS'!B121&amp;"")&lt;&gt;"Por decidir",TRIM('DATOS'!B121&amp;"")&lt;&gt;"Por comprobar")),NOT(AND(LEN(TRIM('DATOS'!C121&amp;""))&gt;0,TRIM('DATOS'!C121&amp;"")&lt;&gt;"Pendiente",TRIM('DATOS'!C121&amp;"")&lt;&gt;"Por confirmar",TRIM('DATOS'!C121&amp;"")&lt;&gt;"No consta",TRIM('DATOS'!C121&amp;"")&lt;&gt;"Desconocido",TRIM('DATOS'!C121&amp;"")&lt;&gt;"Sin confirmar",TRIM('DATOS'!C121&amp;"")&lt;&gt;"Por decidir",TRIM('DATOS'!C121&amp;"")&lt;&gt;"Por comprobar")),NOT(AND(LEN(TRIM('DATOS'!D121&amp;""))&gt;0,TRIM('DATOS'!D121&amp;"")&lt;&gt;"Pendiente",TRIM('DATOS'!D121&amp;"")&lt;&gt;"Por confirmar",TRIM('DATOS'!D121&amp;"")&lt;&gt;"No consta",TRIM('DATOS'!D121&amp;"")&lt;&gt;"Desconocido",TRIM('DATOS'!D121&amp;"")&lt;&gt;"Sin confirmar",TRIM('DATOS'!D121&amp;"")&lt;&gt;"Por decidir",TRIM('DATOS'!D121&amp;"")&lt;&gt;"Por comprobar")),NOT(AND(LEN(TRIM('DATOS'!E121&amp;""))&gt;0,TRIM('DATOS'!E121&amp;"")&lt;&gt;"Pendiente",TRIM('DATOS'!E121&amp;"")&lt;&gt;"Por confirmar",TRIM('DATOS'!E121&amp;"")&lt;&gt;"No consta",TRIM('DATOS'!E121&amp;"")&lt;&gt;"Desconocido",TRIM('DATOS'!E121&amp;"")&lt;&gt;"Sin confirmar",TRIM('DATOS'!E121&amp;"")&lt;&gt;"Por decidir",TRIM('DATOS'!E121&amp;"")&lt;&gt;"Por comprobar")),NOT(AND(LEN(TRIM('DATOS'!F121&amp;""))&gt;0,TRIM('DATOS'!F121&amp;"")&lt;&gt;"Pendiente",TRIM('DATOS'!F121&amp;"")&lt;&gt;"Por confirmar",TRIM('DATOS'!F121&amp;"")&lt;&gt;"No consta",TRIM('DATOS'!F121&amp;"")&lt;&gt;"Desconocido",TRIM('DATOS'!F121&amp;"")&lt;&gt;"Sin confirmar",TRIM('DATOS'!F121&amp;"")&lt;&gt;"Por decidir",TRIM('DATOS'!F121&amp;"")&lt;&gt;"Por comprobar")),NOT(AND(LEN(TRIM('DATOS'!N121&amp;""))&gt;0,TRIM('DATOS'!N121&amp;"")&lt;&gt;"Pendiente",TRIM('DATOS'!N121&amp;"")&lt;&gt;"Por confirmar",TRIM('DATOS'!N121&amp;"")&lt;&gt;"No consta",TRIM('DATOS'!N121&amp;"")&lt;&gt;"Desconocido",TRIM('DATOS'!N121&amp;"")&lt;&gt;"Sin confirmar",TRIM('DATOS'!N121&amp;"")&lt;&gt;"Por decidir",TRIM('DATOS'!N121&amp;"")&lt;&gt;"Por comprobar")),NOT(Y121=1),W121&lt;&gt;1,X121&gt;1,NOT(OR(LEN(TRIM('DATOS'!K121&amp;""))=0,'DATOS'!K121="Sin valorar",'DATOS'!K121="Sin coste documentado",'DATOS'!K121="Incluido en otra partida",'DATOS'!K121="Por confirmar")),NOT(OR(LEN(TRIM('DATOS'!M121&amp;""))=0,'DATOS'!M121="Sí",'DATOS'!M121="No",'DATOS'!M121="Por confirmar")),NOT(OR(LEN(TRIM('DATOS'!O121&amp;""))=0,'DATOS'!O121="Comparamos",'DATOS'!O121="No existe",'DATOS'!O121="Por confirmar"))),2,IF(AND(OR('DATOS'!G121&lt;0,'DATOS'!H121&lt;0,'DATOS'!J121&lt;0),NOT(AND(LEN(TRIM('DATOS'!L121&amp;""))&gt;0,TRIM('DATOS'!L121&amp;"")&lt;&gt;"Pendiente",TRIM('DATOS'!L121&amp;"")&lt;&gt;"Por confirmar",TRIM('DATOS'!L121&amp;"")&lt;&gt;"No consta",TRIM('DATOS'!L121&amp;"")&lt;&gt;"Desconocido",TRIM('DATOS'!L121&amp;"")&lt;&gt;"Sin confirmar",TRIM('DATOS'!L121&amp;"")&lt;&gt;"Por decidir",TRIM('DATOS'!L121&amp;"")&lt;&gt;"Por comprobar"))),1,0))),2)</f>
      </c>
      <c r="P121" s="29">
        <f>IFERROR(IF(N121=0,"",IF(NOT(Y121=1),1,IF('REFERENCIAS'!$Q$8&lt;&gt;1,2,IF(ABS('DATOS'!J121-ROUND('DATOS'!G121*'DATOS'!H121,'REFERENCIAS'!$K$8))&gt;0.00000001,2,IF('DATOS'!O121="No existe",IF(LEN(TRIM('DATOS'!I121&amp;""))=0,0,2),IF('DATOS'!O121="Comparamos",IF(LEN(TRIM('DATOS'!I121&amp;""))=0,1,IF(ISNUMBER('DATOS'!I121),IF(ABS('DATOS'!H121-'DATOS'!I121)&gt;0.00000001,2,0),2)),1)))))),2)</f>
      </c>
      <c r="Q121" s="29">
        <f>IFERROR(IF(N121=0,"",IF(NOT(Y121=1),1,IF('DATOS'!K121="Sin valorar",2,IF('DATOS'!G121=0,1,IF(OR('DATOS'!H121=0,'DATOS'!J121=0),IF(AND(OR('DATOS'!K121="Sin coste documentado",'DATOS'!K121="Incluido en otra partida"),AND(LEN(TRIM('DATOS'!L121&amp;""))&gt;0,TRIM('DATOS'!L121&amp;"")&lt;&gt;"Pendiente",TRIM('DATOS'!L121&amp;"")&lt;&gt;"Por confirmar",TRIM('DATOS'!L121&amp;"")&lt;&gt;"No consta",TRIM('DATOS'!L121&amp;"")&lt;&gt;"Desconocido",TRIM('DATOS'!L121&amp;"")&lt;&gt;"Sin confirmar",TRIM('DATOS'!L121&amp;"")&lt;&gt;"Por decidir",TRIM('DATOS'!L121&amp;"")&lt;&gt;"Por comprobar")),0,1),0))))),2)</f>
      </c>
      <c r="R121" s="29">
        <f>IFERROR(IF(N121=0,"",IF(OR(NOT(AND(LEN(TRIM('DATOS'!D121&amp;""))&gt;0,TRIM('DATOS'!D121&amp;"")&lt;&gt;"Pendiente",TRIM('DATOS'!D121&amp;"")&lt;&gt;"Por confirmar",TRIM('DATOS'!D121&amp;"")&lt;&gt;"No consta",TRIM('DATOS'!D121&amp;"")&lt;&gt;"Desconocido",TRIM('DATOS'!D121&amp;"")&lt;&gt;"Sin confirmar",TRIM('DATOS'!D121&amp;"")&lt;&gt;"Por decidir",TRIM('DATOS'!D121&amp;"")&lt;&gt;"Por comprobar")),NOT(AND(LEN(TRIM('DATOS'!E121&amp;""))&gt;0,TRIM('DATOS'!E121&amp;"")&lt;&gt;"Pendiente",TRIM('DATOS'!E121&amp;"")&lt;&gt;"Por confirmar",TRIM('DATOS'!E121&amp;"")&lt;&gt;"No consta",TRIM('DATOS'!E121&amp;"")&lt;&gt;"Desconocido",TRIM('DATOS'!E121&amp;"")&lt;&gt;"Sin confirmar",TRIM('DATOS'!E121&amp;"")&lt;&gt;"Por decidir",TRIM('DATOS'!E121&amp;"")&lt;&gt;"Por comprobar"))),2,IF('DATOS'!M121="No",2,IF('DATOS'!M121="Sí",0,IF(OR('DATOS'!D121&lt;&gt;'DATOS'!E121,LEN('DATOS'!E121)&gt;300,RIGHT(TRIM('DATOS'!E121),3)="...",RIGHT(TRIM('DATOS'!E121),1)="…"),1,0))))),2)</f>
      </c>
      <c r="S121" s="29">
        <f>IFERROR(IF(N121=0,"",IF('REFERENCIAS'!$Q$8&lt;&gt;1,2,IF(NOT(Y121=1),1,IF(OR(ABS('DATOS'!G121-ROUND('DATOS'!G121,'REFERENCIAS'!$E$8))&gt;0.00000001,ABS('DATOS'!H121-ROUND('DATOS'!H121,'REFERENCIAS'!$H$8))&gt;0.00000001,ABS('DATOS'!J121-ROUND('DATOS'!J121,'REFERENCIAS'!$K$8))&gt;0.00000001,IF(ISNUMBER('DATOS'!I121),ABS('DATOS'!I121-ROUND('DATOS'!I121,'REFERENCIAS'!$H$8))&gt;0.00000001,FALSE)),1,0)))),2)</f>
      </c>
      <c r="T121" s="29">
        <f>IFERROR(IF(N121=0,"",IF(NOT(AND(LEN(TRIM('DATOS'!F121&amp;""))&gt;0,TRIM('DATOS'!F121&amp;"")&lt;&gt;"Pendiente",TRIM('DATOS'!F121&amp;"")&lt;&gt;"Por confirmar",TRIM('DATOS'!F121&amp;"")&lt;&gt;"No consta",TRIM('DATOS'!F121&amp;"")&lt;&gt;"Desconocido",TRIM('DATOS'!F121&amp;"")&lt;&gt;"Sin confirmar",TRIM('DATOS'!F121&amp;"")&lt;&gt;"Por decidir",TRIM('DATOS'!F121&amp;"")&lt;&gt;"Por comprobar")),2,IF(COUNTIFS('REFERENCIAS'!$T$15:$T$34,"ID:"&amp;SUBSTITUTE(SUBSTITUTE(SUBSTITUTE(SUBSTITUTE(UPPER(TRIM('DATOS'!F121&amp;"")),"!","!E"),"*","!A"),"?","!B"),"~","!C"),'REFERENCIAS'!$H$15:$H$34,"&lt;&gt;")&gt;0,0,1))),2)</f>
      </c>
      <c r="U121" s="29" t="str">
        <f>'DATOS'!R121</f>
        <v>ID:</v>
      </c>
      <c r="V121" s="29" t="str">
        <f>'DATOS'!S121</f>
        <v>ID:</v>
      </c>
      <c r="W121" s="29" t="n">
        <f>IF(N121=0,0,COUNTIFS('REFERENCIAS'!$R$15:$R$64,U121))</f>
        <v>0</v>
      </c>
      <c r="X121" s="29" t="n">
        <f>IF(N121=0,0,COUNTIFS('DATOS'!$R$10:$R$509,U121,'DATOS'!$S$10:$S$509,V121))</f>
        <v>0</v>
      </c>
      <c r="Y121" s="29" t="n">
        <f>IF(AND(ISNUMBER('DATOS'!G121),ISNUMBER('DATOS'!H121),ISNUMBER('DATOS'!J121)),1,0)</f>
        <v>0</v>
      </c>
    </row>
    <row r="122" ht="64" customHeight="1">
      <c r="B122" s="26">
        <f>IF(N122=1,113,"")</f>
      </c>
      <c r="C122" s="26">
        <f>IF(AND(N122=1,LEN(TRIM('DATOS'!B122&amp;""))&gt;0),'DATOS'!B122,"")</f>
      </c>
      <c r="D122" s="26">
        <f>IF(AND(N122=1,LEN(TRIM('DATOS'!C122&amp;""))&gt;0),'DATOS'!C122,"")</f>
      </c>
      <c r="E122" s="26">
        <f>IF(NOT(ISNUMBER(P122)),"",IF(P122=2,"ROJO",IF(P122=1,"ÁMBAR","VERDE")))</f>
      </c>
      <c r="F122" s="26">
        <f>IF(NOT(ISNUMBER(Q122)),"",IF(Q122=2,"ROJO",IF(Q122=1,"ÁMBAR","VERDE")))</f>
      </c>
      <c r="G122" s="26">
        <f>IF(NOT(ISNUMBER(R122)),"",IF(R122=2,"ROJO",IF(R122=1,"ÁMBAR","VERDE")))</f>
      </c>
      <c r="H122" s="26">
        <f>IF(NOT(ISNUMBER(S122)),"",IF(S122=2,"ROJO",IF(S122=1,"ÁMBAR","VERDE")))</f>
      </c>
      <c r="I122" s="26">
        <f>IF(NOT(ISNUMBER(T122)),"",IF(T122=2,"ROJO",IF(T122=1,"ÁMBAR","VERDE")))</f>
      </c>
      <c r="J122" s="26">
        <f>IF(NOT(ISNUMBER(O122)),"",IF(O122=2,"ROJO",IF(O122=1,"ÁMBAR","VERDE")))</f>
      </c>
      <c r="K122" s="26">
        <f>IFERROR(IF(AND(N122=1,LEN(TRIM('DATOS'!N122&amp;""))&gt;0),'DATOS'!N122,""),"Hay una entrada con error. Corregimos el dato antes de cerrar la comprobación.")</f>
      </c>
      <c r="L122" s="26">
        <f>IFERROR(IF(N122=0,"",IF(O122&gt;0,"Completamos datos, claves o motivo. ","")&amp;IF(P122&gt;0,"Cotejamos precios e importe. ","")&amp;IF(Q122&gt;0,"Aclaramos el cero. ","")&amp;IF(R122&gt;0,"Comprobamos el texto. ","")&amp;IF(S122&gt;0,"Revisamos decimales visibles. ","")&amp;IF(T122&gt;0,"Confirmamos la unidad.","")),"Hay una entrada con error. Corregimos el dato antes de cerrar la comprobación.")</f>
      </c>
      <c r="N122" s="29" t="n">
        <f>IF(COUNTA('DATOS'!B122:O122)&gt;0,1,0)</f>
        <v>0</v>
      </c>
      <c r="O122" s="29">
        <f>IFERROR(IF(N122=0,"",IF(OR(NOT(AND(LEN(TRIM('DATOS'!B122&amp;""))&gt;0,TRIM('DATOS'!B122&amp;"")&lt;&gt;"Pendiente",TRIM('DATOS'!B122&amp;"")&lt;&gt;"Por confirmar",TRIM('DATOS'!B122&amp;"")&lt;&gt;"No consta",TRIM('DATOS'!B122&amp;"")&lt;&gt;"Desconocido",TRIM('DATOS'!B122&amp;"")&lt;&gt;"Sin confirmar",TRIM('DATOS'!B122&amp;"")&lt;&gt;"Por decidir",TRIM('DATOS'!B122&amp;"")&lt;&gt;"Por comprobar")),NOT(AND(LEN(TRIM('DATOS'!C122&amp;""))&gt;0,TRIM('DATOS'!C122&amp;"")&lt;&gt;"Pendiente",TRIM('DATOS'!C122&amp;"")&lt;&gt;"Por confirmar",TRIM('DATOS'!C122&amp;"")&lt;&gt;"No consta",TRIM('DATOS'!C122&amp;"")&lt;&gt;"Desconocido",TRIM('DATOS'!C122&amp;"")&lt;&gt;"Sin confirmar",TRIM('DATOS'!C122&amp;"")&lt;&gt;"Por decidir",TRIM('DATOS'!C122&amp;"")&lt;&gt;"Por comprobar")),NOT(AND(LEN(TRIM('DATOS'!D122&amp;""))&gt;0,TRIM('DATOS'!D122&amp;"")&lt;&gt;"Pendiente",TRIM('DATOS'!D122&amp;"")&lt;&gt;"Por confirmar",TRIM('DATOS'!D122&amp;"")&lt;&gt;"No consta",TRIM('DATOS'!D122&amp;"")&lt;&gt;"Desconocido",TRIM('DATOS'!D122&amp;"")&lt;&gt;"Sin confirmar",TRIM('DATOS'!D122&amp;"")&lt;&gt;"Por decidir",TRIM('DATOS'!D122&amp;"")&lt;&gt;"Por comprobar")),NOT(AND(LEN(TRIM('DATOS'!E122&amp;""))&gt;0,TRIM('DATOS'!E122&amp;"")&lt;&gt;"Pendiente",TRIM('DATOS'!E122&amp;"")&lt;&gt;"Por confirmar",TRIM('DATOS'!E122&amp;"")&lt;&gt;"No consta",TRIM('DATOS'!E122&amp;"")&lt;&gt;"Desconocido",TRIM('DATOS'!E122&amp;"")&lt;&gt;"Sin confirmar",TRIM('DATOS'!E122&amp;"")&lt;&gt;"Por decidir",TRIM('DATOS'!E122&amp;"")&lt;&gt;"Por comprobar")),NOT(AND(LEN(TRIM('DATOS'!F122&amp;""))&gt;0,TRIM('DATOS'!F122&amp;"")&lt;&gt;"Pendiente",TRIM('DATOS'!F122&amp;"")&lt;&gt;"Por confirmar",TRIM('DATOS'!F122&amp;"")&lt;&gt;"No consta",TRIM('DATOS'!F122&amp;"")&lt;&gt;"Desconocido",TRIM('DATOS'!F122&amp;"")&lt;&gt;"Sin confirmar",TRIM('DATOS'!F122&amp;"")&lt;&gt;"Por decidir",TRIM('DATOS'!F122&amp;"")&lt;&gt;"Por comprobar")),NOT(AND(LEN(TRIM('DATOS'!N122&amp;""))&gt;0,TRIM('DATOS'!N122&amp;"")&lt;&gt;"Pendiente",TRIM('DATOS'!N122&amp;"")&lt;&gt;"Por confirmar",TRIM('DATOS'!N122&amp;"")&lt;&gt;"No consta",TRIM('DATOS'!N122&amp;"")&lt;&gt;"Desconocido",TRIM('DATOS'!N122&amp;"")&lt;&gt;"Sin confirmar",TRIM('DATOS'!N122&amp;"")&lt;&gt;"Por decidir",TRIM('DATOS'!N122&amp;"")&lt;&gt;"Por comprobar")),NOT(Y122=1),W122&lt;&gt;1,X122&gt;1,NOT(OR(LEN(TRIM('DATOS'!K122&amp;""))=0,'DATOS'!K122="Sin valorar",'DATOS'!K122="Sin coste documentado",'DATOS'!K122="Incluido en otra partida",'DATOS'!K122="Por confirmar")),NOT(OR(LEN(TRIM('DATOS'!M122&amp;""))=0,'DATOS'!M122="Sí",'DATOS'!M122="No",'DATOS'!M122="Por confirmar")),NOT(OR(LEN(TRIM('DATOS'!O122&amp;""))=0,'DATOS'!O122="Comparamos",'DATOS'!O122="No existe",'DATOS'!O122="Por confirmar"))),2,IF(AND(OR('DATOS'!G122&lt;0,'DATOS'!H122&lt;0,'DATOS'!J122&lt;0),NOT(AND(LEN(TRIM('DATOS'!L122&amp;""))&gt;0,TRIM('DATOS'!L122&amp;"")&lt;&gt;"Pendiente",TRIM('DATOS'!L122&amp;"")&lt;&gt;"Por confirmar",TRIM('DATOS'!L122&amp;"")&lt;&gt;"No consta",TRIM('DATOS'!L122&amp;"")&lt;&gt;"Desconocido",TRIM('DATOS'!L122&amp;"")&lt;&gt;"Sin confirmar",TRIM('DATOS'!L122&amp;"")&lt;&gt;"Por decidir",TRIM('DATOS'!L122&amp;"")&lt;&gt;"Por comprobar"))),1,0))),2)</f>
      </c>
      <c r="P122" s="29">
        <f>IFERROR(IF(N122=0,"",IF(NOT(Y122=1),1,IF('REFERENCIAS'!$Q$8&lt;&gt;1,2,IF(ABS('DATOS'!J122-ROUND('DATOS'!G122*'DATOS'!H122,'REFERENCIAS'!$K$8))&gt;0.00000001,2,IF('DATOS'!O122="No existe",IF(LEN(TRIM('DATOS'!I122&amp;""))=0,0,2),IF('DATOS'!O122="Comparamos",IF(LEN(TRIM('DATOS'!I122&amp;""))=0,1,IF(ISNUMBER('DATOS'!I122),IF(ABS('DATOS'!H122-'DATOS'!I122)&gt;0.00000001,2,0),2)),1)))))),2)</f>
      </c>
      <c r="Q122" s="29">
        <f>IFERROR(IF(N122=0,"",IF(NOT(Y122=1),1,IF('DATOS'!K122="Sin valorar",2,IF('DATOS'!G122=0,1,IF(OR('DATOS'!H122=0,'DATOS'!J122=0),IF(AND(OR('DATOS'!K122="Sin coste documentado",'DATOS'!K122="Incluido en otra partida"),AND(LEN(TRIM('DATOS'!L122&amp;""))&gt;0,TRIM('DATOS'!L122&amp;"")&lt;&gt;"Pendiente",TRIM('DATOS'!L122&amp;"")&lt;&gt;"Por confirmar",TRIM('DATOS'!L122&amp;"")&lt;&gt;"No consta",TRIM('DATOS'!L122&amp;"")&lt;&gt;"Desconocido",TRIM('DATOS'!L122&amp;"")&lt;&gt;"Sin confirmar",TRIM('DATOS'!L122&amp;"")&lt;&gt;"Por decidir",TRIM('DATOS'!L122&amp;"")&lt;&gt;"Por comprobar")),0,1),0))))),2)</f>
      </c>
      <c r="R122" s="29">
        <f>IFERROR(IF(N122=0,"",IF(OR(NOT(AND(LEN(TRIM('DATOS'!D122&amp;""))&gt;0,TRIM('DATOS'!D122&amp;"")&lt;&gt;"Pendiente",TRIM('DATOS'!D122&amp;"")&lt;&gt;"Por confirmar",TRIM('DATOS'!D122&amp;"")&lt;&gt;"No consta",TRIM('DATOS'!D122&amp;"")&lt;&gt;"Desconocido",TRIM('DATOS'!D122&amp;"")&lt;&gt;"Sin confirmar",TRIM('DATOS'!D122&amp;"")&lt;&gt;"Por decidir",TRIM('DATOS'!D122&amp;"")&lt;&gt;"Por comprobar")),NOT(AND(LEN(TRIM('DATOS'!E122&amp;""))&gt;0,TRIM('DATOS'!E122&amp;"")&lt;&gt;"Pendiente",TRIM('DATOS'!E122&amp;"")&lt;&gt;"Por confirmar",TRIM('DATOS'!E122&amp;"")&lt;&gt;"No consta",TRIM('DATOS'!E122&amp;"")&lt;&gt;"Desconocido",TRIM('DATOS'!E122&amp;"")&lt;&gt;"Sin confirmar",TRIM('DATOS'!E122&amp;"")&lt;&gt;"Por decidir",TRIM('DATOS'!E122&amp;"")&lt;&gt;"Por comprobar"))),2,IF('DATOS'!M122="No",2,IF('DATOS'!M122="Sí",0,IF(OR('DATOS'!D122&lt;&gt;'DATOS'!E122,LEN('DATOS'!E122)&gt;300,RIGHT(TRIM('DATOS'!E122),3)="...",RIGHT(TRIM('DATOS'!E122),1)="…"),1,0))))),2)</f>
      </c>
      <c r="S122" s="29">
        <f>IFERROR(IF(N122=0,"",IF('REFERENCIAS'!$Q$8&lt;&gt;1,2,IF(NOT(Y122=1),1,IF(OR(ABS('DATOS'!G122-ROUND('DATOS'!G122,'REFERENCIAS'!$E$8))&gt;0.00000001,ABS('DATOS'!H122-ROUND('DATOS'!H122,'REFERENCIAS'!$H$8))&gt;0.00000001,ABS('DATOS'!J122-ROUND('DATOS'!J122,'REFERENCIAS'!$K$8))&gt;0.00000001,IF(ISNUMBER('DATOS'!I122),ABS('DATOS'!I122-ROUND('DATOS'!I122,'REFERENCIAS'!$H$8))&gt;0.00000001,FALSE)),1,0)))),2)</f>
      </c>
      <c r="T122" s="29">
        <f>IFERROR(IF(N122=0,"",IF(NOT(AND(LEN(TRIM('DATOS'!F122&amp;""))&gt;0,TRIM('DATOS'!F122&amp;"")&lt;&gt;"Pendiente",TRIM('DATOS'!F122&amp;"")&lt;&gt;"Por confirmar",TRIM('DATOS'!F122&amp;"")&lt;&gt;"No consta",TRIM('DATOS'!F122&amp;"")&lt;&gt;"Desconocido",TRIM('DATOS'!F122&amp;"")&lt;&gt;"Sin confirmar",TRIM('DATOS'!F122&amp;"")&lt;&gt;"Por decidir",TRIM('DATOS'!F122&amp;"")&lt;&gt;"Por comprobar")),2,IF(COUNTIFS('REFERENCIAS'!$T$15:$T$34,"ID:"&amp;SUBSTITUTE(SUBSTITUTE(SUBSTITUTE(SUBSTITUTE(UPPER(TRIM('DATOS'!F122&amp;"")),"!","!E"),"*","!A"),"?","!B"),"~","!C"),'REFERENCIAS'!$H$15:$H$34,"&lt;&gt;")&gt;0,0,1))),2)</f>
      </c>
      <c r="U122" s="29" t="str">
        <f>'DATOS'!R122</f>
        <v>ID:</v>
      </c>
      <c r="V122" s="29" t="str">
        <f>'DATOS'!S122</f>
        <v>ID:</v>
      </c>
      <c r="W122" s="29" t="n">
        <f>IF(N122=0,0,COUNTIFS('REFERENCIAS'!$R$15:$R$64,U122))</f>
        <v>0</v>
      </c>
      <c r="X122" s="29" t="n">
        <f>IF(N122=0,0,COUNTIFS('DATOS'!$R$10:$R$509,U122,'DATOS'!$S$10:$S$509,V122))</f>
        <v>0</v>
      </c>
      <c r="Y122" s="29" t="n">
        <f>IF(AND(ISNUMBER('DATOS'!G122),ISNUMBER('DATOS'!H122),ISNUMBER('DATOS'!J122)),1,0)</f>
        <v>0</v>
      </c>
    </row>
    <row r="123" ht="64" customHeight="1">
      <c r="B123" s="26">
        <f>IF(N123=1,114,"")</f>
      </c>
      <c r="C123" s="26">
        <f>IF(AND(N123=1,LEN(TRIM('DATOS'!B123&amp;""))&gt;0),'DATOS'!B123,"")</f>
      </c>
      <c r="D123" s="26">
        <f>IF(AND(N123=1,LEN(TRIM('DATOS'!C123&amp;""))&gt;0),'DATOS'!C123,"")</f>
      </c>
      <c r="E123" s="26">
        <f>IF(NOT(ISNUMBER(P123)),"",IF(P123=2,"ROJO",IF(P123=1,"ÁMBAR","VERDE")))</f>
      </c>
      <c r="F123" s="26">
        <f>IF(NOT(ISNUMBER(Q123)),"",IF(Q123=2,"ROJO",IF(Q123=1,"ÁMBAR","VERDE")))</f>
      </c>
      <c r="G123" s="26">
        <f>IF(NOT(ISNUMBER(R123)),"",IF(R123=2,"ROJO",IF(R123=1,"ÁMBAR","VERDE")))</f>
      </c>
      <c r="H123" s="26">
        <f>IF(NOT(ISNUMBER(S123)),"",IF(S123=2,"ROJO",IF(S123=1,"ÁMBAR","VERDE")))</f>
      </c>
      <c r="I123" s="26">
        <f>IF(NOT(ISNUMBER(T123)),"",IF(T123=2,"ROJO",IF(T123=1,"ÁMBAR","VERDE")))</f>
      </c>
      <c r="J123" s="26">
        <f>IF(NOT(ISNUMBER(O123)),"",IF(O123=2,"ROJO",IF(O123=1,"ÁMBAR","VERDE")))</f>
      </c>
      <c r="K123" s="26">
        <f>IFERROR(IF(AND(N123=1,LEN(TRIM('DATOS'!N123&amp;""))&gt;0),'DATOS'!N123,""),"Hay una entrada con error. Corregimos el dato antes de cerrar la comprobación.")</f>
      </c>
      <c r="L123" s="26">
        <f>IFERROR(IF(N123=0,"",IF(O123&gt;0,"Completamos datos, claves o motivo. ","")&amp;IF(P123&gt;0,"Cotejamos precios e importe. ","")&amp;IF(Q123&gt;0,"Aclaramos el cero. ","")&amp;IF(R123&gt;0,"Comprobamos el texto. ","")&amp;IF(S123&gt;0,"Revisamos decimales visibles. ","")&amp;IF(T123&gt;0,"Confirmamos la unidad.","")),"Hay una entrada con error. Corregimos el dato antes de cerrar la comprobación.")</f>
      </c>
      <c r="N123" s="29" t="n">
        <f>IF(COUNTA('DATOS'!B123:O123)&gt;0,1,0)</f>
        <v>0</v>
      </c>
      <c r="O123" s="29">
        <f>IFERROR(IF(N123=0,"",IF(OR(NOT(AND(LEN(TRIM('DATOS'!B123&amp;""))&gt;0,TRIM('DATOS'!B123&amp;"")&lt;&gt;"Pendiente",TRIM('DATOS'!B123&amp;"")&lt;&gt;"Por confirmar",TRIM('DATOS'!B123&amp;"")&lt;&gt;"No consta",TRIM('DATOS'!B123&amp;"")&lt;&gt;"Desconocido",TRIM('DATOS'!B123&amp;"")&lt;&gt;"Sin confirmar",TRIM('DATOS'!B123&amp;"")&lt;&gt;"Por decidir",TRIM('DATOS'!B123&amp;"")&lt;&gt;"Por comprobar")),NOT(AND(LEN(TRIM('DATOS'!C123&amp;""))&gt;0,TRIM('DATOS'!C123&amp;"")&lt;&gt;"Pendiente",TRIM('DATOS'!C123&amp;"")&lt;&gt;"Por confirmar",TRIM('DATOS'!C123&amp;"")&lt;&gt;"No consta",TRIM('DATOS'!C123&amp;"")&lt;&gt;"Desconocido",TRIM('DATOS'!C123&amp;"")&lt;&gt;"Sin confirmar",TRIM('DATOS'!C123&amp;"")&lt;&gt;"Por decidir",TRIM('DATOS'!C123&amp;"")&lt;&gt;"Por comprobar")),NOT(AND(LEN(TRIM('DATOS'!D123&amp;""))&gt;0,TRIM('DATOS'!D123&amp;"")&lt;&gt;"Pendiente",TRIM('DATOS'!D123&amp;"")&lt;&gt;"Por confirmar",TRIM('DATOS'!D123&amp;"")&lt;&gt;"No consta",TRIM('DATOS'!D123&amp;"")&lt;&gt;"Desconocido",TRIM('DATOS'!D123&amp;"")&lt;&gt;"Sin confirmar",TRIM('DATOS'!D123&amp;"")&lt;&gt;"Por decidir",TRIM('DATOS'!D123&amp;"")&lt;&gt;"Por comprobar")),NOT(AND(LEN(TRIM('DATOS'!E123&amp;""))&gt;0,TRIM('DATOS'!E123&amp;"")&lt;&gt;"Pendiente",TRIM('DATOS'!E123&amp;"")&lt;&gt;"Por confirmar",TRIM('DATOS'!E123&amp;"")&lt;&gt;"No consta",TRIM('DATOS'!E123&amp;"")&lt;&gt;"Desconocido",TRIM('DATOS'!E123&amp;"")&lt;&gt;"Sin confirmar",TRIM('DATOS'!E123&amp;"")&lt;&gt;"Por decidir",TRIM('DATOS'!E123&amp;"")&lt;&gt;"Por comprobar")),NOT(AND(LEN(TRIM('DATOS'!F123&amp;""))&gt;0,TRIM('DATOS'!F123&amp;"")&lt;&gt;"Pendiente",TRIM('DATOS'!F123&amp;"")&lt;&gt;"Por confirmar",TRIM('DATOS'!F123&amp;"")&lt;&gt;"No consta",TRIM('DATOS'!F123&amp;"")&lt;&gt;"Desconocido",TRIM('DATOS'!F123&amp;"")&lt;&gt;"Sin confirmar",TRIM('DATOS'!F123&amp;"")&lt;&gt;"Por decidir",TRIM('DATOS'!F123&amp;"")&lt;&gt;"Por comprobar")),NOT(AND(LEN(TRIM('DATOS'!N123&amp;""))&gt;0,TRIM('DATOS'!N123&amp;"")&lt;&gt;"Pendiente",TRIM('DATOS'!N123&amp;"")&lt;&gt;"Por confirmar",TRIM('DATOS'!N123&amp;"")&lt;&gt;"No consta",TRIM('DATOS'!N123&amp;"")&lt;&gt;"Desconocido",TRIM('DATOS'!N123&amp;"")&lt;&gt;"Sin confirmar",TRIM('DATOS'!N123&amp;"")&lt;&gt;"Por decidir",TRIM('DATOS'!N123&amp;"")&lt;&gt;"Por comprobar")),NOT(Y123=1),W123&lt;&gt;1,X123&gt;1,NOT(OR(LEN(TRIM('DATOS'!K123&amp;""))=0,'DATOS'!K123="Sin valorar",'DATOS'!K123="Sin coste documentado",'DATOS'!K123="Incluido en otra partida",'DATOS'!K123="Por confirmar")),NOT(OR(LEN(TRIM('DATOS'!M123&amp;""))=0,'DATOS'!M123="Sí",'DATOS'!M123="No",'DATOS'!M123="Por confirmar")),NOT(OR(LEN(TRIM('DATOS'!O123&amp;""))=0,'DATOS'!O123="Comparamos",'DATOS'!O123="No existe",'DATOS'!O123="Por confirmar"))),2,IF(AND(OR('DATOS'!G123&lt;0,'DATOS'!H123&lt;0,'DATOS'!J123&lt;0),NOT(AND(LEN(TRIM('DATOS'!L123&amp;""))&gt;0,TRIM('DATOS'!L123&amp;"")&lt;&gt;"Pendiente",TRIM('DATOS'!L123&amp;"")&lt;&gt;"Por confirmar",TRIM('DATOS'!L123&amp;"")&lt;&gt;"No consta",TRIM('DATOS'!L123&amp;"")&lt;&gt;"Desconocido",TRIM('DATOS'!L123&amp;"")&lt;&gt;"Sin confirmar",TRIM('DATOS'!L123&amp;"")&lt;&gt;"Por decidir",TRIM('DATOS'!L123&amp;"")&lt;&gt;"Por comprobar"))),1,0))),2)</f>
      </c>
      <c r="P123" s="29">
        <f>IFERROR(IF(N123=0,"",IF(NOT(Y123=1),1,IF('REFERENCIAS'!$Q$8&lt;&gt;1,2,IF(ABS('DATOS'!J123-ROUND('DATOS'!G123*'DATOS'!H123,'REFERENCIAS'!$K$8))&gt;0.00000001,2,IF('DATOS'!O123="No existe",IF(LEN(TRIM('DATOS'!I123&amp;""))=0,0,2),IF('DATOS'!O123="Comparamos",IF(LEN(TRIM('DATOS'!I123&amp;""))=0,1,IF(ISNUMBER('DATOS'!I123),IF(ABS('DATOS'!H123-'DATOS'!I123)&gt;0.00000001,2,0),2)),1)))))),2)</f>
      </c>
      <c r="Q123" s="29">
        <f>IFERROR(IF(N123=0,"",IF(NOT(Y123=1),1,IF('DATOS'!K123="Sin valorar",2,IF('DATOS'!G123=0,1,IF(OR('DATOS'!H123=0,'DATOS'!J123=0),IF(AND(OR('DATOS'!K123="Sin coste documentado",'DATOS'!K123="Incluido en otra partida"),AND(LEN(TRIM('DATOS'!L123&amp;""))&gt;0,TRIM('DATOS'!L123&amp;"")&lt;&gt;"Pendiente",TRIM('DATOS'!L123&amp;"")&lt;&gt;"Por confirmar",TRIM('DATOS'!L123&amp;"")&lt;&gt;"No consta",TRIM('DATOS'!L123&amp;"")&lt;&gt;"Desconocido",TRIM('DATOS'!L123&amp;"")&lt;&gt;"Sin confirmar",TRIM('DATOS'!L123&amp;"")&lt;&gt;"Por decidir",TRIM('DATOS'!L123&amp;"")&lt;&gt;"Por comprobar")),0,1),0))))),2)</f>
      </c>
      <c r="R123" s="29">
        <f>IFERROR(IF(N123=0,"",IF(OR(NOT(AND(LEN(TRIM('DATOS'!D123&amp;""))&gt;0,TRIM('DATOS'!D123&amp;"")&lt;&gt;"Pendiente",TRIM('DATOS'!D123&amp;"")&lt;&gt;"Por confirmar",TRIM('DATOS'!D123&amp;"")&lt;&gt;"No consta",TRIM('DATOS'!D123&amp;"")&lt;&gt;"Desconocido",TRIM('DATOS'!D123&amp;"")&lt;&gt;"Sin confirmar",TRIM('DATOS'!D123&amp;"")&lt;&gt;"Por decidir",TRIM('DATOS'!D123&amp;"")&lt;&gt;"Por comprobar")),NOT(AND(LEN(TRIM('DATOS'!E123&amp;""))&gt;0,TRIM('DATOS'!E123&amp;"")&lt;&gt;"Pendiente",TRIM('DATOS'!E123&amp;"")&lt;&gt;"Por confirmar",TRIM('DATOS'!E123&amp;"")&lt;&gt;"No consta",TRIM('DATOS'!E123&amp;"")&lt;&gt;"Desconocido",TRIM('DATOS'!E123&amp;"")&lt;&gt;"Sin confirmar",TRIM('DATOS'!E123&amp;"")&lt;&gt;"Por decidir",TRIM('DATOS'!E123&amp;"")&lt;&gt;"Por comprobar"))),2,IF('DATOS'!M123="No",2,IF('DATOS'!M123="Sí",0,IF(OR('DATOS'!D123&lt;&gt;'DATOS'!E123,LEN('DATOS'!E123)&gt;300,RIGHT(TRIM('DATOS'!E123),3)="...",RIGHT(TRIM('DATOS'!E123),1)="…"),1,0))))),2)</f>
      </c>
      <c r="S123" s="29">
        <f>IFERROR(IF(N123=0,"",IF('REFERENCIAS'!$Q$8&lt;&gt;1,2,IF(NOT(Y123=1),1,IF(OR(ABS('DATOS'!G123-ROUND('DATOS'!G123,'REFERENCIAS'!$E$8))&gt;0.00000001,ABS('DATOS'!H123-ROUND('DATOS'!H123,'REFERENCIAS'!$H$8))&gt;0.00000001,ABS('DATOS'!J123-ROUND('DATOS'!J123,'REFERENCIAS'!$K$8))&gt;0.00000001,IF(ISNUMBER('DATOS'!I123),ABS('DATOS'!I123-ROUND('DATOS'!I123,'REFERENCIAS'!$H$8))&gt;0.00000001,FALSE)),1,0)))),2)</f>
      </c>
      <c r="T123" s="29">
        <f>IFERROR(IF(N123=0,"",IF(NOT(AND(LEN(TRIM('DATOS'!F123&amp;""))&gt;0,TRIM('DATOS'!F123&amp;"")&lt;&gt;"Pendiente",TRIM('DATOS'!F123&amp;"")&lt;&gt;"Por confirmar",TRIM('DATOS'!F123&amp;"")&lt;&gt;"No consta",TRIM('DATOS'!F123&amp;"")&lt;&gt;"Desconocido",TRIM('DATOS'!F123&amp;"")&lt;&gt;"Sin confirmar",TRIM('DATOS'!F123&amp;"")&lt;&gt;"Por decidir",TRIM('DATOS'!F123&amp;"")&lt;&gt;"Por comprobar")),2,IF(COUNTIFS('REFERENCIAS'!$T$15:$T$34,"ID:"&amp;SUBSTITUTE(SUBSTITUTE(SUBSTITUTE(SUBSTITUTE(UPPER(TRIM('DATOS'!F123&amp;"")),"!","!E"),"*","!A"),"?","!B"),"~","!C"),'REFERENCIAS'!$H$15:$H$34,"&lt;&gt;")&gt;0,0,1))),2)</f>
      </c>
      <c r="U123" s="29" t="str">
        <f>'DATOS'!R123</f>
        <v>ID:</v>
      </c>
      <c r="V123" s="29" t="str">
        <f>'DATOS'!S123</f>
        <v>ID:</v>
      </c>
      <c r="W123" s="29" t="n">
        <f>IF(N123=0,0,COUNTIFS('REFERENCIAS'!$R$15:$R$64,U123))</f>
        <v>0</v>
      </c>
      <c r="X123" s="29" t="n">
        <f>IF(N123=0,0,COUNTIFS('DATOS'!$R$10:$R$509,U123,'DATOS'!$S$10:$S$509,V123))</f>
        <v>0</v>
      </c>
      <c r="Y123" s="29" t="n">
        <f>IF(AND(ISNUMBER('DATOS'!G123),ISNUMBER('DATOS'!H123),ISNUMBER('DATOS'!J123)),1,0)</f>
        <v>0</v>
      </c>
    </row>
    <row r="124" ht="64" customHeight="1">
      <c r="B124" s="26">
        <f>IF(N124=1,115,"")</f>
      </c>
      <c r="C124" s="26">
        <f>IF(AND(N124=1,LEN(TRIM('DATOS'!B124&amp;""))&gt;0),'DATOS'!B124,"")</f>
      </c>
      <c r="D124" s="26">
        <f>IF(AND(N124=1,LEN(TRIM('DATOS'!C124&amp;""))&gt;0),'DATOS'!C124,"")</f>
      </c>
      <c r="E124" s="26">
        <f>IF(NOT(ISNUMBER(P124)),"",IF(P124=2,"ROJO",IF(P124=1,"ÁMBAR","VERDE")))</f>
      </c>
      <c r="F124" s="26">
        <f>IF(NOT(ISNUMBER(Q124)),"",IF(Q124=2,"ROJO",IF(Q124=1,"ÁMBAR","VERDE")))</f>
      </c>
      <c r="G124" s="26">
        <f>IF(NOT(ISNUMBER(R124)),"",IF(R124=2,"ROJO",IF(R124=1,"ÁMBAR","VERDE")))</f>
      </c>
      <c r="H124" s="26">
        <f>IF(NOT(ISNUMBER(S124)),"",IF(S124=2,"ROJO",IF(S124=1,"ÁMBAR","VERDE")))</f>
      </c>
      <c r="I124" s="26">
        <f>IF(NOT(ISNUMBER(T124)),"",IF(T124=2,"ROJO",IF(T124=1,"ÁMBAR","VERDE")))</f>
      </c>
      <c r="J124" s="26">
        <f>IF(NOT(ISNUMBER(O124)),"",IF(O124=2,"ROJO",IF(O124=1,"ÁMBAR","VERDE")))</f>
      </c>
      <c r="K124" s="26">
        <f>IFERROR(IF(AND(N124=1,LEN(TRIM('DATOS'!N124&amp;""))&gt;0),'DATOS'!N124,""),"Hay una entrada con error. Corregimos el dato antes de cerrar la comprobación.")</f>
      </c>
      <c r="L124" s="26">
        <f>IFERROR(IF(N124=0,"",IF(O124&gt;0,"Completamos datos, claves o motivo. ","")&amp;IF(P124&gt;0,"Cotejamos precios e importe. ","")&amp;IF(Q124&gt;0,"Aclaramos el cero. ","")&amp;IF(R124&gt;0,"Comprobamos el texto. ","")&amp;IF(S124&gt;0,"Revisamos decimales visibles. ","")&amp;IF(T124&gt;0,"Confirmamos la unidad.","")),"Hay una entrada con error. Corregimos el dato antes de cerrar la comprobación.")</f>
      </c>
      <c r="N124" s="29" t="n">
        <f>IF(COUNTA('DATOS'!B124:O124)&gt;0,1,0)</f>
        <v>0</v>
      </c>
      <c r="O124" s="29">
        <f>IFERROR(IF(N124=0,"",IF(OR(NOT(AND(LEN(TRIM('DATOS'!B124&amp;""))&gt;0,TRIM('DATOS'!B124&amp;"")&lt;&gt;"Pendiente",TRIM('DATOS'!B124&amp;"")&lt;&gt;"Por confirmar",TRIM('DATOS'!B124&amp;"")&lt;&gt;"No consta",TRIM('DATOS'!B124&amp;"")&lt;&gt;"Desconocido",TRIM('DATOS'!B124&amp;"")&lt;&gt;"Sin confirmar",TRIM('DATOS'!B124&amp;"")&lt;&gt;"Por decidir",TRIM('DATOS'!B124&amp;"")&lt;&gt;"Por comprobar")),NOT(AND(LEN(TRIM('DATOS'!C124&amp;""))&gt;0,TRIM('DATOS'!C124&amp;"")&lt;&gt;"Pendiente",TRIM('DATOS'!C124&amp;"")&lt;&gt;"Por confirmar",TRIM('DATOS'!C124&amp;"")&lt;&gt;"No consta",TRIM('DATOS'!C124&amp;"")&lt;&gt;"Desconocido",TRIM('DATOS'!C124&amp;"")&lt;&gt;"Sin confirmar",TRIM('DATOS'!C124&amp;"")&lt;&gt;"Por decidir",TRIM('DATOS'!C124&amp;"")&lt;&gt;"Por comprobar")),NOT(AND(LEN(TRIM('DATOS'!D124&amp;""))&gt;0,TRIM('DATOS'!D124&amp;"")&lt;&gt;"Pendiente",TRIM('DATOS'!D124&amp;"")&lt;&gt;"Por confirmar",TRIM('DATOS'!D124&amp;"")&lt;&gt;"No consta",TRIM('DATOS'!D124&amp;"")&lt;&gt;"Desconocido",TRIM('DATOS'!D124&amp;"")&lt;&gt;"Sin confirmar",TRIM('DATOS'!D124&amp;"")&lt;&gt;"Por decidir",TRIM('DATOS'!D124&amp;"")&lt;&gt;"Por comprobar")),NOT(AND(LEN(TRIM('DATOS'!E124&amp;""))&gt;0,TRIM('DATOS'!E124&amp;"")&lt;&gt;"Pendiente",TRIM('DATOS'!E124&amp;"")&lt;&gt;"Por confirmar",TRIM('DATOS'!E124&amp;"")&lt;&gt;"No consta",TRIM('DATOS'!E124&amp;"")&lt;&gt;"Desconocido",TRIM('DATOS'!E124&amp;"")&lt;&gt;"Sin confirmar",TRIM('DATOS'!E124&amp;"")&lt;&gt;"Por decidir",TRIM('DATOS'!E124&amp;"")&lt;&gt;"Por comprobar")),NOT(AND(LEN(TRIM('DATOS'!F124&amp;""))&gt;0,TRIM('DATOS'!F124&amp;"")&lt;&gt;"Pendiente",TRIM('DATOS'!F124&amp;"")&lt;&gt;"Por confirmar",TRIM('DATOS'!F124&amp;"")&lt;&gt;"No consta",TRIM('DATOS'!F124&amp;"")&lt;&gt;"Desconocido",TRIM('DATOS'!F124&amp;"")&lt;&gt;"Sin confirmar",TRIM('DATOS'!F124&amp;"")&lt;&gt;"Por decidir",TRIM('DATOS'!F124&amp;"")&lt;&gt;"Por comprobar")),NOT(AND(LEN(TRIM('DATOS'!N124&amp;""))&gt;0,TRIM('DATOS'!N124&amp;"")&lt;&gt;"Pendiente",TRIM('DATOS'!N124&amp;"")&lt;&gt;"Por confirmar",TRIM('DATOS'!N124&amp;"")&lt;&gt;"No consta",TRIM('DATOS'!N124&amp;"")&lt;&gt;"Desconocido",TRIM('DATOS'!N124&amp;"")&lt;&gt;"Sin confirmar",TRIM('DATOS'!N124&amp;"")&lt;&gt;"Por decidir",TRIM('DATOS'!N124&amp;"")&lt;&gt;"Por comprobar")),NOT(Y124=1),W124&lt;&gt;1,X124&gt;1,NOT(OR(LEN(TRIM('DATOS'!K124&amp;""))=0,'DATOS'!K124="Sin valorar",'DATOS'!K124="Sin coste documentado",'DATOS'!K124="Incluido en otra partida",'DATOS'!K124="Por confirmar")),NOT(OR(LEN(TRIM('DATOS'!M124&amp;""))=0,'DATOS'!M124="Sí",'DATOS'!M124="No",'DATOS'!M124="Por confirmar")),NOT(OR(LEN(TRIM('DATOS'!O124&amp;""))=0,'DATOS'!O124="Comparamos",'DATOS'!O124="No existe",'DATOS'!O124="Por confirmar"))),2,IF(AND(OR('DATOS'!G124&lt;0,'DATOS'!H124&lt;0,'DATOS'!J124&lt;0),NOT(AND(LEN(TRIM('DATOS'!L124&amp;""))&gt;0,TRIM('DATOS'!L124&amp;"")&lt;&gt;"Pendiente",TRIM('DATOS'!L124&amp;"")&lt;&gt;"Por confirmar",TRIM('DATOS'!L124&amp;"")&lt;&gt;"No consta",TRIM('DATOS'!L124&amp;"")&lt;&gt;"Desconocido",TRIM('DATOS'!L124&amp;"")&lt;&gt;"Sin confirmar",TRIM('DATOS'!L124&amp;"")&lt;&gt;"Por decidir",TRIM('DATOS'!L124&amp;"")&lt;&gt;"Por comprobar"))),1,0))),2)</f>
      </c>
      <c r="P124" s="29">
        <f>IFERROR(IF(N124=0,"",IF(NOT(Y124=1),1,IF('REFERENCIAS'!$Q$8&lt;&gt;1,2,IF(ABS('DATOS'!J124-ROUND('DATOS'!G124*'DATOS'!H124,'REFERENCIAS'!$K$8))&gt;0.00000001,2,IF('DATOS'!O124="No existe",IF(LEN(TRIM('DATOS'!I124&amp;""))=0,0,2),IF('DATOS'!O124="Comparamos",IF(LEN(TRIM('DATOS'!I124&amp;""))=0,1,IF(ISNUMBER('DATOS'!I124),IF(ABS('DATOS'!H124-'DATOS'!I124)&gt;0.00000001,2,0),2)),1)))))),2)</f>
      </c>
      <c r="Q124" s="29">
        <f>IFERROR(IF(N124=0,"",IF(NOT(Y124=1),1,IF('DATOS'!K124="Sin valorar",2,IF('DATOS'!G124=0,1,IF(OR('DATOS'!H124=0,'DATOS'!J124=0),IF(AND(OR('DATOS'!K124="Sin coste documentado",'DATOS'!K124="Incluido en otra partida"),AND(LEN(TRIM('DATOS'!L124&amp;""))&gt;0,TRIM('DATOS'!L124&amp;"")&lt;&gt;"Pendiente",TRIM('DATOS'!L124&amp;"")&lt;&gt;"Por confirmar",TRIM('DATOS'!L124&amp;"")&lt;&gt;"No consta",TRIM('DATOS'!L124&amp;"")&lt;&gt;"Desconocido",TRIM('DATOS'!L124&amp;"")&lt;&gt;"Sin confirmar",TRIM('DATOS'!L124&amp;"")&lt;&gt;"Por decidir",TRIM('DATOS'!L124&amp;"")&lt;&gt;"Por comprobar")),0,1),0))))),2)</f>
      </c>
      <c r="R124" s="29">
        <f>IFERROR(IF(N124=0,"",IF(OR(NOT(AND(LEN(TRIM('DATOS'!D124&amp;""))&gt;0,TRIM('DATOS'!D124&amp;"")&lt;&gt;"Pendiente",TRIM('DATOS'!D124&amp;"")&lt;&gt;"Por confirmar",TRIM('DATOS'!D124&amp;"")&lt;&gt;"No consta",TRIM('DATOS'!D124&amp;"")&lt;&gt;"Desconocido",TRIM('DATOS'!D124&amp;"")&lt;&gt;"Sin confirmar",TRIM('DATOS'!D124&amp;"")&lt;&gt;"Por decidir",TRIM('DATOS'!D124&amp;"")&lt;&gt;"Por comprobar")),NOT(AND(LEN(TRIM('DATOS'!E124&amp;""))&gt;0,TRIM('DATOS'!E124&amp;"")&lt;&gt;"Pendiente",TRIM('DATOS'!E124&amp;"")&lt;&gt;"Por confirmar",TRIM('DATOS'!E124&amp;"")&lt;&gt;"No consta",TRIM('DATOS'!E124&amp;"")&lt;&gt;"Desconocido",TRIM('DATOS'!E124&amp;"")&lt;&gt;"Sin confirmar",TRIM('DATOS'!E124&amp;"")&lt;&gt;"Por decidir",TRIM('DATOS'!E124&amp;"")&lt;&gt;"Por comprobar"))),2,IF('DATOS'!M124="No",2,IF('DATOS'!M124="Sí",0,IF(OR('DATOS'!D124&lt;&gt;'DATOS'!E124,LEN('DATOS'!E124)&gt;300,RIGHT(TRIM('DATOS'!E124),3)="...",RIGHT(TRIM('DATOS'!E124),1)="…"),1,0))))),2)</f>
      </c>
      <c r="S124" s="29">
        <f>IFERROR(IF(N124=0,"",IF('REFERENCIAS'!$Q$8&lt;&gt;1,2,IF(NOT(Y124=1),1,IF(OR(ABS('DATOS'!G124-ROUND('DATOS'!G124,'REFERENCIAS'!$E$8))&gt;0.00000001,ABS('DATOS'!H124-ROUND('DATOS'!H124,'REFERENCIAS'!$H$8))&gt;0.00000001,ABS('DATOS'!J124-ROUND('DATOS'!J124,'REFERENCIAS'!$K$8))&gt;0.00000001,IF(ISNUMBER('DATOS'!I124),ABS('DATOS'!I124-ROUND('DATOS'!I124,'REFERENCIAS'!$H$8))&gt;0.00000001,FALSE)),1,0)))),2)</f>
      </c>
      <c r="T124" s="29">
        <f>IFERROR(IF(N124=0,"",IF(NOT(AND(LEN(TRIM('DATOS'!F124&amp;""))&gt;0,TRIM('DATOS'!F124&amp;"")&lt;&gt;"Pendiente",TRIM('DATOS'!F124&amp;"")&lt;&gt;"Por confirmar",TRIM('DATOS'!F124&amp;"")&lt;&gt;"No consta",TRIM('DATOS'!F124&amp;"")&lt;&gt;"Desconocido",TRIM('DATOS'!F124&amp;"")&lt;&gt;"Sin confirmar",TRIM('DATOS'!F124&amp;"")&lt;&gt;"Por decidir",TRIM('DATOS'!F124&amp;"")&lt;&gt;"Por comprobar")),2,IF(COUNTIFS('REFERENCIAS'!$T$15:$T$34,"ID:"&amp;SUBSTITUTE(SUBSTITUTE(SUBSTITUTE(SUBSTITUTE(UPPER(TRIM('DATOS'!F124&amp;"")),"!","!E"),"*","!A"),"?","!B"),"~","!C"),'REFERENCIAS'!$H$15:$H$34,"&lt;&gt;")&gt;0,0,1))),2)</f>
      </c>
      <c r="U124" s="29" t="str">
        <f>'DATOS'!R124</f>
        <v>ID:</v>
      </c>
      <c r="V124" s="29" t="str">
        <f>'DATOS'!S124</f>
        <v>ID:</v>
      </c>
      <c r="W124" s="29" t="n">
        <f>IF(N124=0,0,COUNTIFS('REFERENCIAS'!$R$15:$R$64,U124))</f>
        <v>0</v>
      </c>
      <c r="X124" s="29" t="n">
        <f>IF(N124=0,0,COUNTIFS('DATOS'!$R$10:$R$509,U124,'DATOS'!$S$10:$S$509,V124))</f>
        <v>0</v>
      </c>
      <c r="Y124" s="29" t="n">
        <f>IF(AND(ISNUMBER('DATOS'!G124),ISNUMBER('DATOS'!H124),ISNUMBER('DATOS'!J124)),1,0)</f>
        <v>0</v>
      </c>
    </row>
    <row r="125" ht="64" customHeight="1">
      <c r="B125" s="26">
        <f>IF(N125=1,116,"")</f>
      </c>
      <c r="C125" s="26">
        <f>IF(AND(N125=1,LEN(TRIM('DATOS'!B125&amp;""))&gt;0),'DATOS'!B125,"")</f>
      </c>
      <c r="D125" s="26">
        <f>IF(AND(N125=1,LEN(TRIM('DATOS'!C125&amp;""))&gt;0),'DATOS'!C125,"")</f>
      </c>
      <c r="E125" s="26">
        <f>IF(NOT(ISNUMBER(P125)),"",IF(P125=2,"ROJO",IF(P125=1,"ÁMBAR","VERDE")))</f>
      </c>
      <c r="F125" s="26">
        <f>IF(NOT(ISNUMBER(Q125)),"",IF(Q125=2,"ROJO",IF(Q125=1,"ÁMBAR","VERDE")))</f>
      </c>
      <c r="G125" s="26">
        <f>IF(NOT(ISNUMBER(R125)),"",IF(R125=2,"ROJO",IF(R125=1,"ÁMBAR","VERDE")))</f>
      </c>
      <c r="H125" s="26">
        <f>IF(NOT(ISNUMBER(S125)),"",IF(S125=2,"ROJO",IF(S125=1,"ÁMBAR","VERDE")))</f>
      </c>
      <c r="I125" s="26">
        <f>IF(NOT(ISNUMBER(T125)),"",IF(T125=2,"ROJO",IF(T125=1,"ÁMBAR","VERDE")))</f>
      </c>
      <c r="J125" s="26">
        <f>IF(NOT(ISNUMBER(O125)),"",IF(O125=2,"ROJO",IF(O125=1,"ÁMBAR","VERDE")))</f>
      </c>
      <c r="K125" s="26">
        <f>IFERROR(IF(AND(N125=1,LEN(TRIM('DATOS'!N125&amp;""))&gt;0),'DATOS'!N125,""),"Hay una entrada con error. Corregimos el dato antes de cerrar la comprobación.")</f>
      </c>
      <c r="L125" s="26">
        <f>IFERROR(IF(N125=0,"",IF(O125&gt;0,"Completamos datos, claves o motivo. ","")&amp;IF(P125&gt;0,"Cotejamos precios e importe. ","")&amp;IF(Q125&gt;0,"Aclaramos el cero. ","")&amp;IF(R125&gt;0,"Comprobamos el texto. ","")&amp;IF(S125&gt;0,"Revisamos decimales visibles. ","")&amp;IF(T125&gt;0,"Confirmamos la unidad.","")),"Hay una entrada con error. Corregimos el dato antes de cerrar la comprobación.")</f>
      </c>
      <c r="N125" s="29" t="n">
        <f>IF(COUNTA('DATOS'!B125:O125)&gt;0,1,0)</f>
        <v>0</v>
      </c>
      <c r="O125" s="29">
        <f>IFERROR(IF(N125=0,"",IF(OR(NOT(AND(LEN(TRIM('DATOS'!B125&amp;""))&gt;0,TRIM('DATOS'!B125&amp;"")&lt;&gt;"Pendiente",TRIM('DATOS'!B125&amp;"")&lt;&gt;"Por confirmar",TRIM('DATOS'!B125&amp;"")&lt;&gt;"No consta",TRIM('DATOS'!B125&amp;"")&lt;&gt;"Desconocido",TRIM('DATOS'!B125&amp;"")&lt;&gt;"Sin confirmar",TRIM('DATOS'!B125&amp;"")&lt;&gt;"Por decidir",TRIM('DATOS'!B125&amp;"")&lt;&gt;"Por comprobar")),NOT(AND(LEN(TRIM('DATOS'!C125&amp;""))&gt;0,TRIM('DATOS'!C125&amp;"")&lt;&gt;"Pendiente",TRIM('DATOS'!C125&amp;"")&lt;&gt;"Por confirmar",TRIM('DATOS'!C125&amp;"")&lt;&gt;"No consta",TRIM('DATOS'!C125&amp;"")&lt;&gt;"Desconocido",TRIM('DATOS'!C125&amp;"")&lt;&gt;"Sin confirmar",TRIM('DATOS'!C125&amp;"")&lt;&gt;"Por decidir",TRIM('DATOS'!C125&amp;"")&lt;&gt;"Por comprobar")),NOT(AND(LEN(TRIM('DATOS'!D125&amp;""))&gt;0,TRIM('DATOS'!D125&amp;"")&lt;&gt;"Pendiente",TRIM('DATOS'!D125&amp;"")&lt;&gt;"Por confirmar",TRIM('DATOS'!D125&amp;"")&lt;&gt;"No consta",TRIM('DATOS'!D125&amp;"")&lt;&gt;"Desconocido",TRIM('DATOS'!D125&amp;"")&lt;&gt;"Sin confirmar",TRIM('DATOS'!D125&amp;"")&lt;&gt;"Por decidir",TRIM('DATOS'!D125&amp;"")&lt;&gt;"Por comprobar")),NOT(AND(LEN(TRIM('DATOS'!E125&amp;""))&gt;0,TRIM('DATOS'!E125&amp;"")&lt;&gt;"Pendiente",TRIM('DATOS'!E125&amp;"")&lt;&gt;"Por confirmar",TRIM('DATOS'!E125&amp;"")&lt;&gt;"No consta",TRIM('DATOS'!E125&amp;"")&lt;&gt;"Desconocido",TRIM('DATOS'!E125&amp;"")&lt;&gt;"Sin confirmar",TRIM('DATOS'!E125&amp;"")&lt;&gt;"Por decidir",TRIM('DATOS'!E125&amp;"")&lt;&gt;"Por comprobar")),NOT(AND(LEN(TRIM('DATOS'!F125&amp;""))&gt;0,TRIM('DATOS'!F125&amp;"")&lt;&gt;"Pendiente",TRIM('DATOS'!F125&amp;"")&lt;&gt;"Por confirmar",TRIM('DATOS'!F125&amp;"")&lt;&gt;"No consta",TRIM('DATOS'!F125&amp;"")&lt;&gt;"Desconocido",TRIM('DATOS'!F125&amp;"")&lt;&gt;"Sin confirmar",TRIM('DATOS'!F125&amp;"")&lt;&gt;"Por decidir",TRIM('DATOS'!F125&amp;"")&lt;&gt;"Por comprobar")),NOT(AND(LEN(TRIM('DATOS'!N125&amp;""))&gt;0,TRIM('DATOS'!N125&amp;"")&lt;&gt;"Pendiente",TRIM('DATOS'!N125&amp;"")&lt;&gt;"Por confirmar",TRIM('DATOS'!N125&amp;"")&lt;&gt;"No consta",TRIM('DATOS'!N125&amp;"")&lt;&gt;"Desconocido",TRIM('DATOS'!N125&amp;"")&lt;&gt;"Sin confirmar",TRIM('DATOS'!N125&amp;"")&lt;&gt;"Por decidir",TRIM('DATOS'!N125&amp;"")&lt;&gt;"Por comprobar")),NOT(Y125=1),W125&lt;&gt;1,X125&gt;1,NOT(OR(LEN(TRIM('DATOS'!K125&amp;""))=0,'DATOS'!K125="Sin valorar",'DATOS'!K125="Sin coste documentado",'DATOS'!K125="Incluido en otra partida",'DATOS'!K125="Por confirmar")),NOT(OR(LEN(TRIM('DATOS'!M125&amp;""))=0,'DATOS'!M125="Sí",'DATOS'!M125="No",'DATOS'!M125="Por confirmar")),NOT(OR(LEN(TRIM('DATOS'!O125&amp;""))=0,'DATOS'!O125="Comparamos",'DATOS'!O125="No existe",'DATOS'!O125="Por confirmar"))),2,IF(AND(OR('DATOS'!G125&lt;0,'DATOS'!H125&lt;0,'DATOS'!J125&lt;0),NOT(AND(LEN(TRIM('DATOS'!L125&amp;""))&gt;0,TRIM('DATOS'!L125&amp;"")&lt;&gt;"Pendiente",TRIM('DATOS'!L125&amp;"")&lt;&gt;"Por confirmar",TRIM('DATOS'!L125&amp;"")&lt;&gt;"No consta",TRIM('DATOS'!L125&amp;"")&lt;&gt;"Desconocido",TRIM('DATOS'!L125&amp;"")&lt;&gt;"Sin confirmar",TRIM('DATOS'!L125&amp;"")&lt;&gt;"Por decidir",TRIM('DATOS'!L125&amp;"")&lt;&gt;"Por comprobar"))),1,0))),2)</f>
      </c>
      <c r="P125" s="29">
        <f>IFERROR(IF(N125=0,"",IF(NOT(Y125=1),1,IF('REFERENCIAS'!$Q$8&lt;&gt;1,2,IF(ABS('DATOS'!J125-ROUND('DATOS'!G125*'DATOS'!H125,'REFERENCIAS'!$K$8))&gt;0.00000001,2,IF('DATOS'!O125="No existe",IF(LEN(TRIM('DATOS'!I125&amp;""))=0,0,2),IF('DATOS'!O125="Comparamos",IF(LEN(TRIM('DATOS'!I125&amp;""))=0,1,IF(ISNUMBER('DATOS'!I125),IF(ABS('DATOS'!H125-'DATOS'!I125)&gt;0.00000001,2,0),2)),1)))))),2)</f>
      </c>
      <c r="Q125" s="29">
        <f>IFERROR(IF(N125=0,"",IF(NOT(Y125=1),1,IF('DATOS'!K125="Sin valorar",2,IF('DATOS'!G125=0,1,IF(OR('DATOS'!H125=0,'DATOS'!J125=0),IF(AND(OR('DATOS'!K125="Sin coste documentado",'DATOS'!K125="Incluido en otra partida"),AND(LEN(TRIM('DATOS'!L125&amp;""))&gt;0,TRIM('DATOS'!L125&amp;"")&lt;&gt;"Pendiente",TRIM('DATOS'!L125&amp;"")&lt;&gt;"Por confirmar",TRIM('DATOS'!L125&amp;"")&lt;&gt;"No consta",TRIM('DATOS'!L125&amp;"")&lt;&gt;"Desconocido",TRIM('DATOS'!L125&amp;"")&lt;&gt;"Sin confirmar",TRIM('DATOS'!L125&amp;"")&lt;&gt;"Por decidir",TRIM('DATOS'!L125&amp;"")&lt;&gt;"Por comprobar")),0,1),0))))),2)</f>
      </c>
      <c r="R125" s="29">
        <f>IFERROR(IF(N125=0,"",IF(OR(NOT(AND(LEN(TRIM('DATOS'!D125&amp;""))&gt;0,TRIM('DATOS'!D125&amp;"")&lt;&gt;"Pendiente",TRIM('DATOS'!D125&amp;"")&lt;&gt;"Por confirmar",TRIM('DATOS'!D125&amp;"")&lt;&gt;"No consta",TRIM('DATOS'!D125&amp;"")&lt;&gt;"Desconocido",TRIM('DATOS'!D125&amp;"")&lt;&gt;"Sin confirmar",TRIM('DATOS'!D125&amp;"")&lt;&gt;"Por decidir",TRIM('DATOS'!D125&amp;"")&lt;&gt;"Por comprobar")),NOT(AND(LEN(TRIM('DATOS'!E125&amp;""))&gt;0,TRIM('DATOS'!E125&amp;"")&lt;&gt;"Pendiente",TRIM('DATOS'!E125&amp;"")&lt;&gt;"Por confirmar",TRIM('DATOS'!E125&amp;"")&lt;&gt;"No consta",TRIM('DATOS'!E125&amp;"")&lt;&gt;"Desconocido",TRIM('DATOS'!E125&amp;"")&lt;&gt;"Sin confirmar",TRIM('DATOS'!E125&amp;"")&lt;&gt;"Por decidir",TRIM('DATOS'!E125&amp;"")&lt;&gt;"Por comprobar"))),2,IF('DATOS'!M125="No",2,IF('DATOS'!M125="Sí",0,IF(OR('DATOS'!D125&lt;&gt;'DATOS'!E125,LEN('DATOS'!E125)&gt;300,RIGHT(TRIM('DATOS'!E125),3)="...",RIGHT(TRIM('DATOS'!E125),1)="…"),1,0))))),2)</f>
      </c>
      <c r="S125" s="29">
        <f>IFERROR(IF(N125=0,"",IF('REFERENCIAS'!$Q$8&lt;&gt;1,2,IF(NOT(Y125=1),1,IF(OR(ABS('DATOS'!G125-ROUND('DATOS'!G125,'REFERENCIAS'!$E$8))&gt;0.00000001,ABS('DATOS'!H125-ROUND('DATOS'!H125,'REFERENCIAS'!$H$8))&gt;0.00000001,ABS('DATOS'!J125-ROUND('DATOS'!J125,'REFERENCIAS'!$K$8))&gt;0.00000001,IF(ISNUMBER('DATOS'!I125),ABS('DATOS'!I125-ROUND('DATOS'!I125,'REFERENCIAS'!$H$8))&gt;0.00000001,FALSE)),1,0)))),2)</f>
      </c>
      <c r="T125" s="29">
        <f>IFERROR(IF(N125=0,"",IF(NOT(AND(LEN(TRIM('DATOS'!F125&amp;""))&gt;0,TRIM('DATOS'!F125&amp;"")&lt;&gt;"Pendiente",TRIM('DATOS'!F125&amp;"")&lt;&gt;"Por confirmar",TRIM('DATOS'!F125&amp;"")&lt;&gt;"No consta",TRIM('DATOS'!F125&amp;"")&lt;&gt;"Desconocido",TRIM('DATOS'!F125&amp;"")&lt;&gt;"Sin confirmar",TRIM('DATOS'!F125&amp;"")&lt;&gt;"Por decidir",TRIM('DATOS'!F125&amp;"")&lt;&gt;"Por comprobar")),2,IF(COUNTIFS('REFERENCIAS'!$T$15:$T$34,"ID:"&amp;SUBSTITUTE(SUBSTITUTE(SUBSTITUTE(SUBSTITUTE(UPPER(TRIM('DATOS'!F125&amp;"")),"!","!E"),"*","!A"),"?","!B"),"~","!C"),'REFERENCIAS'!$H$15:$H$34,"&lt;&gt;")&gt;0,0,1))),2)</f>
      </c>
      <c r="U125" s="29" t="str">
        <f>'DATOS'!R125</f>
        <v>ID:</v>
      </c>
      <c r="V125" s="29" t="str">
        <f>'DATOS'!S125</f>
        <v>ID:</v>
      </c>
      <c r="W125" s="29" t="n">
        <f>IF(N125=0,0,COUNTIFS('REFERENCIAS'!$R$15:$R$64,U125))</f>
        <v>0</v>
      </c>
      <c r="X125" s="29" t="n">
        <f>IF(N125=0,0,COUNTIFS('DATOS'!$R$10:$R$509,U125,'DATOS'!$S$10:$S$509,V125))</f>
        <v>0</v>
      </c>
      <c r="Y125" s="29" t="n">
        <f>IF(AND(ISNUMBER('DATOS'!G125),ISNUMBER('DATOS'!H125),ISNUMBER('DATOS'!J125)),1,0)</f>
        <v>0</v>
      </c>
    </row>
    <row r="126" ht="64" customHeight="1">
      <c r="B126" s="26">
        <f>IF(N126=1,117,"")</f>
      </c>
      <c r="C126" s="26">
        <f>IF(AND(N126=1,LEN(TRIM('DATOS'!B126&amp;""))&gt;0),'DATOS'!B126,"")</f>
      </c>
      <c r="D126" s="26">
        <f>IF(AND(N126=1,LEN(TRIM('DATOS'!C126&amp;""))&gt;0),'DATOS'!C126,"")</f>
      </c>
      <c r="E126" s="26">
        <f>IF(NOT(ISNUMBER(P126)),"",IF(P126=2,"ROJO",IF(P126=1,"ÁMBAR","VERDE")))</f>
      </c>
      <c r="F126" s="26">
        <f>IF(NOT(ISNUMBER(Q126)),"",IF(Q126=2,"ROJO",IF(Q126=1,"ÁMBAR","VERDE")))</f>
      </c>
      <c r="G126" s="26">
        <f>IF(NOT(ISNUMBER(R126)),"",IF(R126=2,"ROJO",IF(R126=1,"ÁMBAR","VERDE")))</f>
      </c>
      <c r="H126" s="26">
        <f>IF(NOT(ISNUMBER(S126)),"",IF(S126=2,"ROJO",IF(S126=1,"ÁMBAR","VERDE")))</f>
      </c>
      <c r="I126" s="26">
        <f>IF(NOT(ISNUMBER(T126)),"",IF(T126=2,"ROJO",IF(T126=1,"ÁMBAR","VERDE")))</f>
      </c>
      <c r="J126" s="26">
        <f>IF(NOT(ISNUMBER(O126)),"",IF(O126=2,"ROJO",IF(O126=1,"ÁMBAR","VERDE")))</f>
      </c>
      <c r="K126" s="26">
        <f>IFERROR(IF(AND(N126=1,LEN(TRIM('DATOS'!N126&amp;""))&gt;0),'DATOS'!N126,""),"Hay una entrada con error. Corregimos el dato antes de cerrar la comprobación.")</f>
      </c>
      <c r="L126" s="26">
        <f>IFERROR(IF(N126=0,"",IF(O126&gt;0,"Completamos datos, claves o motivo. ","")&amp;IF(P126&gt;0,"Cotejamos precios e importe. ","")&amp;IF(Q126&gt;0,"Aclaramos el cero. ","")&amp;IF(R126&gt;0,"Comprobamos el texto. ","")&amp;IF(S126&gt;0,"Revisamos decimales visibles. ","")&amp;IF(T126&gt;0,"Confirmamos la unidad.","")),"Hay una entrada con error. Corregimos el dato antes de cerrar la comprobación.")</f>
      </c>
      <c r="N126" s="29" t="n">
        <f>IF(COUNTA('DATOS'!B126:O126)&gt;0,1,0)</f>
        <v>0</v>
      </c>
      <c r="O126" s="29">
        <f>IFERROR(IF(N126=0,"",IF(OR(NOT(AND(LEN(TRIM('DATOS'!B126&amp;""))&gt;0,TRIM('DATOS'!B126&amp;"")&lt;&gt;"Pendiente",TRIM('DATOS'!B126&amp;"")&lt;&gt;"Por confirmar",TRIM('DATOS'!B126&amp;"")&lt;&gt;"No consta",TRIM('DATOS'!B126&amp;"")&lt;&gt;"Desconocido",TRIM('DATOS'!B126&amp;"")&lt;&gt;"Sin confirmar",TRIM('DATOS'!B126&amp;"")&lt;&gt;"Por decidir",TRIM('DATOS'!B126&amp;"")&lt;&gt;"Por comprobar")),NOT(AND(LEN(TRIM('DATOS'!C126&amp;""))&gt;0,TRIM('DATOS'!C126&amp;"")&lt;&gt;"Pendiente",TRIM('DATOS'!C126&amp;"")&lt;&gt;"Por confirmar",TRIM('DATOS'!C126&amp;"")&lt;&gt;"No consta",TRIM('DATOS'!C126&amp;"")&lt;&gt;"Desconocido",TRIM('DATOS'!C126&amp;"")&lt;&gt;"Sin confirmar",TRIM('DATOS'!C126&amp;"")&lt;&gt;"Por decidir",TRIM('DATOS'!C126&amp;"")&lt;&gt;"Por comprobar")),NOT(AND(LEN(TRIM('DATOS'!D126&amp;""))&gt;0,TRIM('DATOS'!D126&amp;"")&lt;&gt;"Pendiente",TRIM('DATOS'!D126&amp;"")&lt;&gt;"Por confirmar",TRIM('DATOS'!D126&amp;"")&lt;&gt;"No consta",TRIM('DATOS'!D126&amp;"")&lt;&gt;"Desconocido",TRIM('DATOS'!D126&amp;"")&lt;&gt;"Sin confirmar",TRIM('DATOS'!D126&amp;"")&lt;&gt;"Por decidir",TRIM('DATOS'!D126&amp;"")&lt;&gt;"Por comprobar")),NOT(AND(LEN(TRIM('DATOS'!E126&amp;""))&gt;0,TRIM('DATOS'!E126&amp;"")&lt;&gt;"Pendiente",TRIM('DATOS'!E126&amp;"")&lt;&gt;"Por confirmar",TRIM('DATOS'!E126&amp;"")&lt;&gt;"No consta",TRIM('DATOS'!E126&amp;"")&lt;&gt;"Desconocido",TRIM('DATOS'!E126&amp;"")&lt;&gt;"Sin confirmar",TRIM('DATOS'!E126&amp;"")&lt;&gt;"Por decidir",TRIM('DATOS'!E126&amp;"")&lt;&gt;"Por comprobar")),NOT(AND(LEN(TRIM('DATOS'!F126&amp;""))&gt;0,TRIM('DATOS'!F126&amp;"")&lt;&gt;"Pendiente",TRIM('DATOS'!F126&amp;"")&lt;&gt;"Por confirmar",TRIM('DATOS'!F126&amp;"")&lt;&gt;"No consta",TRIM('DATOS'!F126&amp;"")&lt;&gt;"Desconocido",TRIM('DATOS'!F126&amp;"")&lt;&gt;"Sin confirmar",TRIM('DATOS'!F126&amp;"")&lt;&gt;"Por decidir",TRIM('DATOS'!F126&amp;"")&lt;&gt;"Por comprobar")),NOT(AND(LEN(TRIM('DATOS'!N126&amp;""))&gt;0,TRIM('DATOS'!N126&amp;"")&lt;&gt;"Pendiente",TRIM('DATOS'!N126&amp;"")&lt;&gt;"Por confirmar",TRIM('DATOS'!N126&amp;"")&lt;&gt;"No consta",TRIM('DATOS'!N126&amp;"")&lt;&gt;"Desconocido",TRIM('DATOS'!N126&amp;"")&lt;&gt;"Sin confirmar",TRIM('DATOS'!N126&amp;"")&lt;&gt;"Por decidir",TRIM('DATOS'!N126&amp;"")&lt;&gt;"Por comprobar")),NOT(Y126=1),W126&lt;&gt;1,X126&gt;1,NOT(OR(LEN(TRIM('DATOS'!K126&amp;""))=0,'DATOS'!K126="Sin valorar",'DATOS'!K126="Sin coste documentado",'DATOS'!K126="Incluido en otra partida",'DATOS'!K126="Por confirmar")),NOT(OR(LEN(TRIM('DATOS'!M126&amp;""))=0,'DATOS'!M126="Sí",'DATOS'!M126="No",'DATOS'!M126="Por confirmar")),NOT(OR(LEN(TRIM('DATOS'!O126&amp;""))=0,'DATOS'!O126="Comparamos",'DATOS'!O126="No existe",'DATOS'!O126="Por confirmar"))),2,IF(AND(OR('DATOS'!G126&lt;0,'DATOS'!H126&lt;0,'DATOS'!J126&lt;0),NOT(AND(LEN(TRIM('DATOS'!L126&amp;""))&gt;0,TRIM('DATOS'!L126&amp;"")&lt;&gt;"Pendiente",TRIM('DATOS'!L126&amp;"")&lt;&gt;"Por confirmar",TRIM('DATOS'!L126&amp;"")&lt;&gt;"No consta",TRIM('DATOS'!L126&amp;"")&lt;&gt;"Desconocido",TRIM('DATOS'!L126&amp;"")&lt;&gt;"Sin confirmar",TRIM('DATOS'!L126&amp;"")&lt;&gt;"Por decidir",TRIM('DATOS'!L126&amp;"")&lt;&gt;"Por comprobar"))),1,0))),2)</f>
      </c>
      <c r="P126" s="29">
        <f>IFERROR(IF(N126=0,"",IF(NOT(Y126=1),1,IF('REFERENCIAS'!$Q$8&lt;&gt;1,2,IF(ABS('DATOS'!J126-ROUND('DATOS'!G126*'DATOS'!H126,'REFERENCIAS'!$K$8))&gt;0.00000001,2,IF('DATOS'!O126="No existe",IF(LEN(TRIM('DATOS'!I126&amp;""))=0,0,2),IF('DATOS'!O126="Comparamos",IF(LEN(TRIM('DATOS'!I126&amp;""))=0,1,IF(ISNUMBER('DATOS'!I126),IF(ABS('DATOS'!H126-'DATOS'!I126)&gt;0.00000001,2,0),2)),1)))))),2)</f>
      </c>
      <c r="Q126" s="29">
        <f>IFERROR(IF(N126=0,"",IF(NOT(Y126=1),1,IF('DATOS'!K126="Sin valorar",2,IF('DATOS'!G126=0,1,IF(OR('DATOS'!H126=0,'DATOS'!J126=0),IF(AND(OR('DATOS'!K126="Sin coste documentado",'DATOS'!K126="Incluido en otra partida"),AND(LEN(TRIM('DATOS'!L126&amp;""))&gt;0,TRIM('DATOS'!L126&amp;"")&lt;&gt;"Pendiente",TRIM('DATOS'!L126&amp;"")&lt;&gt;"Por confirmar",TRIM('DATOS'!L126&amp;"")&lt;&gt;"No consta",TRIM('DATOS'!L126&amp;"")&lt;&gt;"Desconocido",TRIM('DATOS'!L126&amp;"")&lt;&gt;"Sin confirmar",TRIM('DATOS'!L126&amp;"")&lt;&gt;"Por decidir",TRIM('DATOS'!L126&amp;"")&lt;&gt;"Por comprobar")),0,1),0))))),2)</f>
      </c>
      <c r="R126" s="29">
        <f>IFERROR(IF(N126=0,"",IF(OR(NOT(AND(LEN(TRIM('DATOS'!D126&amp;""))&gt;0,TRIM('DATOS'!D126&amp;"")&lt;&gt;"Pendiente",TRIM('DATOS'!D126&amp;"")&lt;&gt;"Por confirmar",TRIM('DATOS'!D126&amp;"")&lt;&gt;"No consta",TRIM('DATOS'!D126&amp;"")&lt;&gt;"Desconocido",TRIM('DATOS'!D126&amp;"")&lt;&gt;"Sin confirmar",TRIM('DATOS'!D126&amp;"")&lt;&gt;"Por decidir",TRIM('DATOS'!D126&amp;"")&lt;&gt;"Por comprobar")),NOT(AND(LEN(TRIM('DATOS'!E126&amp;""))&gt;0,TRIM('DATOS'!E126&amp;"")&lt;&gt;"Pendiente",TRIM('DATOS'!E126&amp;"")&lt;&gt;"Por confirmar",TRIM('DATOS'!E126&amp;"")&lt;&gt;"No consta",TRIM('DATOS'!E126&amp;"")&lt;&gt;"Desconocido",TRIM('DATOS'!E126&amp;"")&lt;&gt;"Sin confirmar",TRIM('DATOS'!E126&amp;"")&lt;&gt;"Por decidir",TRIM('DATOS'!E126&amp;"")&lt;&gt;"Por comprobar"))),2,IF('DATOS'!M126="No",2,IF('DATOS'!M126="Sí",0,IF(OR('DATOS'!D126&lt;&gt;'DATOS'!E126,LEN('DATOS'!E126)&gt;300,RIGHT(TRIM('DATOS'!E126),3)="...",RIGHT(TRIM('DATOS'!E126),1)="…"),1,0))))),2)</f>
      </c>
      <c r="S126" s="29">
        <f>IFERROR(IF(N126=0,"",IF('REFERENCIAS'!$Q$8&lt;&gt;1,2,IF(NOT(Y126=1),1,IF(OR(ABS('DATOS'!G126-ROUND('DATOS'!G126,'REFERENCIAS'!$E$8))&gt;0.00000001,ABS('DATOS'!H126-ROUND('DATOS'!H126,'REFERENCIAS'!$H$8))&gt;0.00000001,ABS('DATOS'!J126-ROUND('DATOS'!J126,'REFERENCIAS'!$K$8))&gt;0.00000001,IF(ISNUMBER('DATOS'!I126),ABS('DATOS'!I126-ROUND('DATOS'!I126,'REFERENCIAS'!$H$8))&gt;0.00000001,FALSE)),1,0)))),2)</f>
      </c>
      <c r="T126" s="29">
        <f>IFERROR(IF(N126=0,"",IF(NOT(AND(LEN(TRIM('DATOS'!F126&amp;""))&gt;0,TRIM('DATOS'!F126&amp;"")&lt;&gt;"Pendiente",TRIM('DATOS'!F126&amp;"")&lt;&gt;"Por confirmar",TRIM('DATOS'!F126&amp;"")&lt;&gt;"No consta",TRIM('DATOS'!F126&amp;"")&lt;&gt;"Desconocido",TRIM('DATOS'!F126&amp;"")&lt;&gt;"Sin confirmar",TRIM('DATOS'!F126&amp;"")&lt;&gt;"Por decidir",TRIM('DATOS'!F126&amp;"")&lt;&gt;"Por comprobar")),2,IF(COUNTIFS('REFERENCIAS'!$T$15:$T$34,"ID:"&amp;SUBSTITUTE(SUBSTITUTE(SUBSTITUTE(SUBSTITUTE(UPPER(TRIM('DATOS'!F126&amp;"")),"!","!E"),"*","!A"),"?","!B"),"~","!C"),'REFERENCIAS'!$H$15:$H$34,"&lt;&gt;")&gt;0,0,1))),2)</f>
      </c>
      <c r="U126" s="29" t="str">
        <f>'DATOS'!R126</f>
        <v>ID:</v>
      </c>
      <c r="V126" s="29" t="str">
        <f>'DATOS'!S126</f>
        <v>ID:</v>
      </c>
      <c r="W126" s="29" t="n">
        <f>IF(N126=0,0,COUNTIFS('REFERENCIAS'!$R$15:$R$64,U126))</f>
        <v>0</v>
      </c>
      <c r="X126" s="29" t="n">
        <f>IF(N126=0,0,COUNTIFS('DATOS'!$R$10:$R$509,U126,'DATOS'!$S$10:$S$509,V126))</f>
        <v>0</v>
      </c>
      <c r="Y126" s="29" t="n">
        <f>IF(AND(ISNUMBER('DATOS'!G126),ISNUMBER('DATOS'!H126),ISNUMBER('DATOS'!J126)),1,0)</f>
        <v>0</v>
      </c>
    </row>
    <row r="127" ht="64" customHeight="1">
      <c r="B127" s="26">
        <f>IF(N127=1,118,"")</f>
      </c>
      <c r="C127" s="26">
        <f>IF(AND(N127=1,LEN(TRIM('DATOS'!B127&amp;""))&gt;0),'DATOS'!B127,"")</f>
      </c>
      <c r="D127" s="26">
        <f>IF(AND(N127=1,LEN(TRIM('DATOS'!C127&amp;""))&gt;0),'DATOS'!C127,"")</f>
      </c>
      <c r="E127" s="26">
        <f>IF(NOT(ISNUMBER(P127)),"",IF(P127=2,"ROJO",IF(P127=1,"ÁMBAR","VERDE")))</f>
      </c>
      <c r="F127" s="26">
        <f>IF(NOT(ISNUMBER(Q127)),"",IF(Q127=2,"ROJO",IF(Q127=1,"ÁMBAR","VERDE")))</f>
      </c>
      <c r="G127" s="26">
        <f>IF(NOT(ISNUMBER(R127)),"",IF(R127=2,"ROJO",IF(R127=1,"ÁMBAR","VERDE")))</f>
      </c>
      <c r="H127" s="26">
        <f>IF(NOT(ISNUMBER(S127)),"",IF(S127=2,"ROJO",IF(S127=1,"ÁMBAR","VERDE")))</f>
      </c>
      <c r="I127" s="26">
        <f>IF(NOT(ISNUMBER(T127)),"",IF(T127=2,"ROJO",IF(T127=1,"ÁMBAR","VERDE")))</f>
      </c>
      <c r="J127" s="26">
        <f>IF(NOT(ISNUMBER(O127)),"",IF(O127=2,"ROJO",IF(O127=1,"ÁMBAR","VERDE")))</f>
      </c>
      <c r="K127" s="26">
        <f>IFERROR(IF(AND(N127=1,LEN(TRIM('DATOS'!N127&amp;""))&gt;0),'DATOS'!N127,""),"Hay una entrada con error. Corregimos el dato antes de cerrar la comprobación.")</f>
      </c>
      <c r="L127" s="26">
        <f>IFERROR(IF(N127=0,"",IF(O127&gt;0,"Completamos datos, claves o motivo. ","")&amp;IF(P127&gt;0,"Cotejamos precios e importe. ","")&amp;IF(Q127&gt;0,"Aclaramos el cero. ","")&amp;IF(R127&gt;0,"Comprobamos el texto. ","")&amp;IF(S127&gt;0,"Revisamos decimales visibles. ","")&amp;IF(T127&gt;0,"Confirmamos la unidad.","")),"Hay una entrada con error. Corregimos el dato antes de cerrar la comprobación.")</f>
      </c>
      <c r="N127" s="29" t="n">
        <f>IF(COUNTA('DATOS'!B127:O127)&gt;0,1,0)</f>
        <v>0</v>
      </c>
      <c r="O127" s="29">
        <f>IFERROR(IF(N127=0,"",IF(OR(NOT(AND(LEN(TRIM('DATOS'!B127&amp;""))&gt;0,TRIM('DATOS'!B127&amp;"")&lt;&gt;"Pendiente",TRIM('DATOS'!B127&amp;"")&lt;&gt;"Por confirmar",TRIM('DATOS'!B127&amp;"")&lt;&gt;"No consta",TRIM('DATOS'!B127&amp;"")&lt;&gt;"Desconocido",TRIM('DATOS'!B127&amp;"")&lt;&gt;"Sin confirmar",TRIM('DATOS'!B127&amp;"")&lt;&gt;"Por decidir",TRIM('DATOS'!B127&amp;"")&lt;&gt;"Por comprobar")),NOT(AND(LEN(TRIM('DATOS'!C127&amp;""))&gt;0,TRIM('DATOS'!C127&amp;"")&lt;&gt;"Pendiente",TRIM('DATOS'!C127&amp;"")&lt;&gt;"Por confirmar",TRIM('DATOS'!C127&amp;"")&lt;&gt;"No consta",TRIM('DATOS'!C127&amp;"")&lt;&gt;"Desconocido",TRIM('DATOS'!C127&amp;"")&lt;&gt;"Sin confirmar",TRIM('DATOS'!C127&amp;"")&lt;&gt;"Por decidir",TRIM('DATOS'!C127&amp;"")&lt;&gt;"Por comprobar")),NOT(AND(LEN(TRIM('DATOS'!D127&amp;""))&gt;0,TRIM('DATOS'!D127&amp;"")&lt;&gt;"Pendiente",TRIM('DATOS'!D127&amp;"")&lt;&gt;"Por confirmar",TRIM('DATOS'!D127&amp;"")&lt;&gt;"No consta",TRIM('DATOS'!D127&amp;"")&lt;&gt;"Desconocido",TRIM('DATOS'!D127&amp;"")&lt;&gt;"Sin confirmar",TRIM('DATOS'!D127&amp;"")&lt;&gt;"Por decidir",TRIM('DATOS'!D127&amp;"")&lt;&gt;"Por comprobar")),NOT(AND(LEN(TRIM('DATOS'!E127&amp;""))&gt;0,TRIM('DATOS'!E127&amp;"")&lt;&gt;"Pendiente",TRIM('DATOS'!E127&amp;"")&lt;&gt;"Por confirmar",TRIM('DATOS'!E127&amp;"")&lt;&gt;"No consta",TRIM('DATOS'!E127&amp;"")&lt;&gt;"Desconocido",TRIM('DATOS'!E127&amp;"")&lt;&gt;"Sin confirmar",TRIM('DATOS'!E127&amp;"")&lt;&gt;"Por decidir",TRIM('DATOS'!E127&amp;"")&lt;&gt;"Por comprobar")),NOT(AND(LEN(TRIM('DATOS'!F127&amp;""))&gt;0,TRIM('DATOS'!F127&amp;"")&lt;&gt;"Pendiente",TRIM('DATOS'!F127&amp;"")&lt;&gt;"Por confirmar",TRIM('DATOS'!F127&amp;"")&lt;&gt;"No consta",TRIM('DATOS'!F127&amp;"")&lt;&gt;"Desconocido",TRIM('DATOS'!F127&amp;"")&lt;&gt;"Sin confirmar",TRIM('DATOS'!F127&amp;"")&lt;&gt;"Por decidir",TRIM('DATOS'!F127&amp;"")&lt;&gt;"Por comprobar")),NOT(AND(LEN(TRIM('DATOS'!N127&amp;""))&gt;0,TRIM('DATOS'!N127&amp;"")&lt;&gt;"Pendiente",TRIM('DATOS'!N127&amp;"")&lt;&gt;"Por confirmar",TRIM('DATOS'!N127&amp;"")&lt;&gt;"No consta",TRIM('DATOS'!N127&amp;"")&lt;&gt;"Desconocido",TRIM('DATOS'!N127&amp;"")&lt;&gt;"Sin confirmar",TRIM('DATOS'!N127&amp;"")&lt;&gt;"Por decidir",TRIM('DATOS'!N127&amp;"")&lt;&gt;"Por comprobar")),NOT(Y127=1),W127&lt;&gt;1,X127&gt;1,NOT(OR(LEN(TRIM('DATOS'!K127&amp;""))=0,'DATOS'!K127="Sin valorar",'DATOS'!K127="Sin coste documentado",'DATOS'!K127="Incluido en otra partida",'DATOS'!K127="Por confirmar")),NOT(OR(LEN(TRIM('DATOS'!M127&amp;""))=0,'DATOS'!M127="Sí",'DATOS'!M127="No",'DATOS'!M127="Por confirmar")),NOT(OR(LEN(TRIM('DATOS'!O127&amp;""))=0,'DATOS'!O127="Comparamos",'DATOS'!O127="No existe",'DATOS'!O127="Por confirmar"))),2,IF(AND(OR('DATOS'!G127&lt;0,'DATOS'!H127&lt;0,'DATOS'!J127&lt;0),NOT(AND(LEN(TRIM('DATOS'!L127&amp;""))&gt;0,TRIM('DATOS'!L127&amp;"")&lt;&gt;"Pendiente",TRIM('DATOS'!L127&amp;"")&lt;&gt;"Por confirmar",TRIM('DATOS'!L127&amp;"")&lt;&gt;"No consta",TRIM('DATOS'!L127&amp;"")&lt;&gt;"Desconocido",TRIM('DATOS'!L127&amp;"")&lt;&gt;"Sin confirmar",TRIM('DATOS'!L127&amp;"")&lt;&gt;"Por decidir",TRIM('DATOS'!L127&amp;"")&lt;&gt;"Por comprobar"))),1,0))),2)</f>
      </c>
      <c r="P127" s="29">
        <f>IFERROR(IF(N127=0,"",IF(NOT(Y127=1),1,IF('REFERENCIAS'!$Q$8&lt;&gt;1,2,IF(ABS('DATOS'!J127-ROUND('DATOS'!G127*'DATOS'!H127,'REFERENCIAS'!$K$8))&gt;0.00000001,2,IF('DATOS'!O127="No existe",IF(LEN(TRIM('DATOS'!I127&amp;""))=0,0,2),IF('DATOS'!O127="Comparamos",IF(LEN(TRIM('DATOS'!I127&amp;""))=0,1,IF(ISNUMBER('DATOS'!I127),IF(ABS('DATOS'!H127-'DATOS'!I127)&gt;0.00000001,2,0),2)),1)))))),2)</f>
      </c>
      <c r="Q127" s="29">
        <f>IFERROR(IF(N127=0,"",IF(NOT(Y127=1),1,IF('DATOS'!K127="Sin valorar",2,IF('DATOS'!G127=0,1,IF(OR('DATOS'!H127=0,'DATOS'!J127=0),IF(AND(OR('DATOS'!K127="Sin coste documentado",'DATOS'!K127="Incluido en otra partida"),AND(LEN(TRIM('DATOS'!L127&amp;""))&gt;0,TRIM('DATOS'!L127&amp;"")&lt;&gt;"Pendiente",TRIM('DATOS'!L127&amp;"")&lt;&gt;"Por confirmar",TRIM('DATOS'!L127&amp;"")&lt;&gt;"No consta",TRIM('DATOS'!L127&amp;"")&lt;&gt;"Desconocido",TRIM('DATOS'!L127&amp;"")&lt;&gt;"Sin confirmar",TRIM('DATOS'!L127&amp;"")&lt;&gt;"Por decidir",TRIM('DATOS'!L127&amp;"")&lt;&gt;"Por comprobar")),0,1),0))))),2)</f>
      </c>
      <c r="R127" s="29">
        <f>IFERROR(IF(N127=0,"",IF(OR(NOT(AND(LEN(TRIM('DATOS'!D127&amp;""))&gt;0,TRIM('DATOS'!D127&amp;"")&lt;&gt;"Pendiente",TRIM('DATOS'!D127&amp;"")&lt;&gt;"Por confirmar",TRIM('DATOS'!D127&amp;"")&lt;&gt;"No consta",TRIM('DATOS'!D127&amp;"")&lt;&gt;"Desconocido",TRIM('DATOS'!D127&amp;"")&lt;&gt;"Sin confirmar",TRIM('DATOS'!D127&amp;"")&lt;&gt;"Por decidir",TRIM('DATOS'!D127&amp;"")&lt;&gt;"Por comprobar")),NOT(AND(LEN(TRIM('DATOS'!E127&amp;""))&gt;0,TRIM('DATOS'!E127&amp;"")&lt;&gt;"Pendiente",TRIM('DATOS'!E127&amp;"")&lt;&gt;"Por confirmar",TRIM('DATOS'!E127&amp;"")&lt;&gt;"No consta",TRIM('DATOS'!E127&amp;"")&lt;&gt;"Desconocido",TRIM('DATOS'!E127&amp;"")&lt;&gt;"Sin confirmar",TRIM('DATOS'!E127&amp;"")&lt;&gt;"Por decidir",TRIM('DATOS'!E127&amp;"")&lt;&gt;"Por comprobar"))),2,IF('DATOS'!M127="No",2,IF('DATOS'!M127="Sí",0,IF(OR('DATOS'!D127&lt;&gt;'DATOS'!E127,LEN('DATOS'!E127)&gt;300,RIGHT(TRIM('DATOS'!E127),3)="...",RIGHT(TRIM('DATOS'!E127),1)="…"),1,0))))),2)</f>
      </c>
      <c r="S127" s="29">
        <f>IFERROR(IF(N127=0,"",IF('REFERENCIAS'!$Q$8&lt;&gt;1,2,IF(NOT(Y127=1),1,IF(OR(ABS('DATOS'!G127-ROUND('DATOS'!G127,'REFERENCIAS'!$E$8))&gt;0.00000001,ABS('DATOS'!H127-ROUND('DATOS'!H127,'REFERENCIAS'!$H$8))&gt;0.00000001,ABS('DATOS'!J127-ROUND('DATOS'!J127,'REFERENCIAS'!$K$8))&gt;0.00000001,IF(ISNUMBER('DATOS'!I127),ABS('DATOS'!I127-ROUND('DATOS'!I127,'REFERENCIAS'!$H$8))&gt;0.00000001,FALSE)),1,0)))),2)</f>
      </c>
      <c r="T127" s="29">
        <f>IFERROR(IF(N127=0,"",IF(NOT(AND(LEN(TRIM('DATOS'!F127&amp;""))&gt;0,TRIM('DATOS'!F127&amp;"")&lt;&gt;"Pendiente",TRIM('DATOS'!F127&amp;"")&lt;&gt;"Por confirmar",TRIM('DATOS'!F127&amp;"")&lt;&gt;"No consta",TRIM('DATOS'!F127&amp;"")&lt;&gt;"Desconocido",TRIM('DATOS'!F127&amp;"")&lt;&gt;"Sin confirmar",TRIM('DATOS'!F127&amp;"")&lt;&gt;"Por decidir",TRIM('DATOS'!F127&amp;"")&lt;&gt;"Por comprobar")),2,IF(COUNTIFS('REFERENCIAS'!$T$15:$T$34,"ID:"&amp;SUBSTITUTE(SUBSTITUTE(SUBSTITUTE(SUBSTITUTE(UPPER(TRIM('DATOS'!F127&amp;"")),"!","!E"),"*","!A"),"?","!B"),"~","!C"),'REFERENCIAS'!$H$15:$H$34,"&lt;&gt;")&gt;0,0,1))),2)</f>
      </c>
      <c r="U127" s="29" t="str">
        <f>'DATOS'!R127</f>
        <v>ID:</v>
      </c>
      <c r="V127" s="29" t="str">
        <f>'DATOS'!S127</f>
        <v>ID:</v>
      </c>
      <c r="W127" s="29" t="n">
        <f>IF(N127=0,0,COUNTIFS('REFERENCIAS'!$R$15:$R$64,U127))</f>
        <v>0</v>
      </c>
      <c r="X127" s="29" t="n">
        <f>IF(N127=0,0,COUNTIFS('DATOS'!$R$10:$R$509,U127,'DATOS'!$S$10:$S$509,V127))</f>
        <v>0</v>
      </c>
      <c r="Y127" s="29" t="n">
        <f>IF(AND(ISNUMBER('DATOS'!G127),ISNUMBER('DATOS'!H127),ISNUMBER('DATOS'!J127)),1,0)</f>
        <v>0</v>
      </c>
    </row>
    <row r="128" ht="64" customHeight="1">
      <c r="B128" s="26">
        <f>IF(N128=1,119,"")</f>
      </c>
      <c r="C128" s="26">
        <f>IF(AND(N128=1,LEN(TRIM('DATOS'!B128&amp;""))&gt;0),'DATOS'!B128,"")</f>
      </c>
      <c r="D128" s="26">
        <f>IF(AND(N128=1,LEN(TRIM('DATOS'!C128&amp;""))&gt;0),'DATOS'!C128,"")</f>
      </c>
      <c r="E128" s="26">
        <f>IF(NOT(ISNUMBER(P128)),"",IF(P128=2,"ROJO",IF(P128=1,"ÁMBAR","VERDE")))</f>
      </c>
      <c r="F128" s="26">
        <f>IF(NOT(ISNUMBER(Q128)),"",IF(Q128=2,"ROJO",IF(Q128=1,"ÁMBAR","VERDE")))</f>
      </c>
      <c r="G128" s="26">
        <f>IF(NOT(ISNUMBER(R128)),"",IF(R128=2,"ROJO",IF(R128=1,"ÁMBAR","VERDE")))</f>
      </c>
      <c r="H128" s="26">
        <f>IF(NOT(ISNUMBER(S128)),"",IF(S128=2,"ROJO",IF(S128=1,"ÁMBAR","VERDE")))</f>
      </c>
      <c r="I128" s="26">
        <f>IF(NOT(ISNUMBER(T128)),"",IF(T128=2,"ROJO",IF(T128=1,"ÁMBAR","VERDE")))</f>
      </c>
      <c r="J128" s="26">
        <f>IF(NOT(ISNUMBER(O128)),"",IF(O128=2,"ROJO",IF(O128=1,"ÁMBAR","VERDE")))</f>
      </c>
      <c r="K128" s="26">
        <f>IFERROR(IF(AND(N128=1,LEN(TRIM('DATOS'!N128&amp;""))&gt;0),'DATOS'!N128,""),"Hay una entrada con error. Corregimos el dato antes de cerrar la comprobación.")</f>
      </c>
      <c r="L128" s="26">
        <f>IFERROR(IF(N128=0,"",IF(O128&gt;0,"Completamos datos, claves o motivo. ","")&amp;IF(P128&gt;0,"Cotejamos precios e importe. ","")&amp;IF(Q128&gt;0,"Aclaramos el cero. ","")&amp;IF(R128&gt;0,"Comprobamos el texto. ","")&amp;IF(S128&gt;0,"Revisamos decimales visibles. ","")&amp;IF(T128&gt;0,"Confirmamos la unidad.","")),"Hay una entrada con error. Corregimos el dato antes de cerrar la comprobación.")</f>
      </c>
      <c r="N128" s="29" t="n">
        <f>IF(COUNTA('DATOS'!B128:O128)&gt;0,1,0)</f>
        <v>0</v>
      </c>
      <c r="O128" s="29">
        <f>IFERROR(IF(N128=0,"",IF(OR(NOT(AND(LEN(TRIM('DATOS'!B128&amp;""))&gt;0,TRIM('DATOS'!B128&amp;"")&lt;&gt;"Pendiente",TRIM('DATOS'!B128&amp;"")&lt;&gt;"Por confirmar",TRIM('DATOS'!B128&amp;"")&lt;&gt;"No consta",TRIM('DATOS'!B128&amp;"")&lt;&gt;"Desconocido",TRIM('DATOS'!B128&amp;"")&lt;&gt;"Sin confirmar",TRIM('DATOS'!B128&amp;"")&lt;&gt;"Por decidir",TRIM('DATOS'!B128&amp;"")&lt;&gt;"Por comprobar")),NOT(AND(LEN(TRIM('DATOS'!C128&amp;""))&gt;0,TRIM('DATOS'!C128&amp;"")&lt;&gt;"Pendiente",TRIM('DATOS'!C128&amp;"")&lt;&gt;"Por confirmar",TRIM('DATOS'!C128&amp;"")&lt;&gt;"No consta",TRIM('DATOS'!C128&amp;"")&lt;&gt;"Desconocido",TRIM('DATOS'!C128&amp;"")&lt;&gt;"Sin confirmar",TRIM('DATOS'!C128&amp;"")&lt;&gt;"Por decidir",TRIM('DATOS'!C128&amp;"")&lt;&gt;"Por comprobar")),NOT(AND(LEN(TRIM('DATOS'!D128&amp;""))&gt;0,TRIM('DATOS'!D128&amp;"")&lt;&gt;"Pendiente",TRIM('DATOS'!D128&amp;"")&lt;&gt;"Por confirmar",TRIM('DATOS'!D128&amp;"")&lt;&gt;"No consta",TRIM('DATOS'!D128&amp;"")&lt;&gt;"Desconocido",TRIM('DATOS'!D128&amp;"")&lt;&gt;"Sin confirmar",TRIM('DATOS'!D128&amp;"")&lt;&gt;"Por decidir",TRIM('DATOS'!D128&amp;"")&lt;&gt;"Por comprobar")),NOT(AND(LEN(TRIM('DATOS'!E128&amp;""))&gt;0,TRIM('DATOS'!E128&amp;"")&lt;&gt;"Pendiente",TRIM('DATOS'!E128&amp;"")&lt;&gt;"Por confirmar",TRIM('DATOS'!E128&amp;"")&lt;&gt;"No consta",TRIM('DATOS'!E128&amp;"")&lt;&gt;"Desconocido",TRIM('DATOS'!E128&amp;"")&lt;&gt;"Sin confirmar",TRIM('DATOS'!E128&amp;"")&lt;&gt;"Por decidir",TRIM('DATOS'!E128&amp;"")&lt;&gt;"Por comprobar")),NOT(AND(LEN(TRIM('DATOS'!F128&amp;""))&gt;0,TRIM('DATOS'!F128&amp;"")&lt;&gt;"Pendiente",TRIM('DATOS'!F128&amp;"")&lt;&gt;"Por confirmar",TRIM('DATOS'!F128&amp;"")&lt;&gt;"No consta",TRIM('DATOS'!F128&amp;"")&lt;&gt;"Desconocido",TRIM('DATOS'!F128&amp;"")&lt;&gt;"Sin confirmar",TRIM('DATOS'!F128&amp;"")&lt;&gt;"Por decidir",TRIM('DATOS'!F128&amp;"")&lt;&gt;"Por comprobar")),NOT(AND(LEN(TRIM('DATOS'!N128&amp;""))&gt;0,TRIM('DATOS'!N128&amp;"")&lt;&gt;"Pendiente",TRIM('DATOS'!N128&amp;"")&lt;&gt;"Por confirmar",TRIM('DATOS'!N128&amp;"")&lt;&gt;"No consta",TRIM('DATOS'!N128&amp;"")&lt;&gt;"Desconocido",TRIM('DATOS'!N128&amp;"")&lt;&gt;"Sin confirmar",TRIM('DATOS'!N128&amp;"")&lt;&gt;"Por decidir",TRIM('DATOS'!N128&amp;"")&lt;&gt;"Por comprobar")),NOT(Y128=1),W128&lt;&gt;1,X128&gt;1,NOT(OR(LEN(TRIM('DATOS'!K128&amp;""))=0,'DATOS'!K128="Sin valorar",'DATOS'!K128="Sin coste documentado",'DATOS'!K128="Incluido en otra partida",'DATOS'!K128="Por confirmar")),NOT(OR(LEN(TRIM('DATOS'!M128&amp;""))=0,'DATOS'!M128="Sí",'DATOS'!M128="No",'DATOS'!M128="Por confirmar")),NOT(OR(LEN(TRIM('DATOS'!O128&amp;""))=0,'DATOS'!O128="Comparamos",'DATOS'!O128="No existe",'DATOS'!O128="Por confirmar"))),2,IF(AND(OR('DATOS'!G128&lt;0,'DATOS'!H128&lt;0,'DATOS'!J128&lt;0),NOT(AND(LEN(TRIM('DATOS'!L128&amp;""))&gt;0,TRIM('DATOS'!L128&amp;"")&lt;&gt;"Pendiente",TRIM('DATOS'!L128&amp;"")&lt;&gt;"Por confirmar",TRIM('DATOS'!L128&amp;"")&lt;&gt;"No consta",TRIM('DATOS'!L128&amp;"")&lt;&gt;"Desconocido",TRIM('DATOS'!L128&amp;"")&lt;&gt;"Sin confirmar",TRIM('DATOS'!L128&amp;"")&lt;&gt;"Por decidir",TRIM('DATOS'!L128&amp;"")&lt;&gt;"Por comprobar"))),1,0))),2)</f>
      </c>
      <c r="P128" s="29">
        <f>IFERROR(IF(N128=0,"",IF(NOT(Y128=1),1,IF('REFERENCIAS'!$Q$8&lt;&gt;1,2,IF(ABS('DATOS'!J128-ROUND('DATOS'!G128*'DATOS'!H128,'REFERENCIAS'!$K$8))&gt;0.00000001,2,IF('DATOS'!O128="No existe",IF(LEN(TRIM('DATOS'!I128&amp;""))=0,0,2),IF('DATOS'!O128="Comparamos",IF(LEN(TRIM('DATOS'!I128&amp;""))=0,1,IF(ISNUMBER('DATOS'!I128),IF(ABS('DATOS'!H128-'DATOS'!I128)&gt;0.00000001,2,0),2)),1)))))),2)</f>
      </c>
      <c r="Q128" s="29">
        <f>IFERROR(IF(N128=0,"",IF(NOT(Y128=1),1,IF('DATOS'!K128="Sin valorar",2,IF('DATOS'!G128=0,1,IF(OR('DATOS'!H128=0,'DATOS'!J128=0),IF(AND(OR('DATOS'!K128="Sin coste documentado",'DATOS'!K128="Incluido en otra partida"),AND(LEN(TRIM('DATOS'!L128&amp;""))&gt;0,TRIM('DATOS'!L128&amp;"")&lt;&gt;"Pendiente",TRIM('DATOS'!L128&amp;"")&lt;&gt;"Por confirmar",TRIM('DATOS'!L128&amp;"")&lt;&gt;"No consta",TRIM('DATOS'!L128&amp;"")&lt;&gt;"Desconocido",TRIM('DATOS'!L128&amp;"")&lt;&gt;"Sin confirmar",TRIM('DATOS'!L128&amp;"")&lt;&gt;"Por decidir",TRIM('DATOS'!L128&amp;"")&lt;&gt;"Por comprobar")),0,1),0))))),2)</f>
      </c>
      <c r="R128" s="29">
        <f>IFERROR(IF(N128=0,"",IF(OR(NOT(AND(LEN(TRIM('DATOS'!D128&amp;""))&gt;0,TRIM('DATOS'!D128&amp;"")&lt;&gt;"Pendiente",TRIM('DATOS'!D128&amp;"")&lt;&gt;"Por confirmar",TRIM('DATOS'!D128&amp;"")&lt;&gt;"No consta",TRIM('DATOS'!D128&amp;"")&lt;&gt;"Desconocido",TRIM('DATOS'!D128&amp;"")&lt;&gt;"Sin confirmar",TRIM('DATOS'!D128&amp;"")&lt;&gt;"Por decidir",TRIM('DATOS'!D128&amp;"")&lt;&gt;"Por comprobar")),NOT(AND(LEN(TRIM('DATOS'!E128&amp;""))&gt;0,TRIM('DATOS'!E128&amp;"")&lt;&gt;"Pendiente",TRIM('DATOS'!E128&amp;"")&lt;&gt;"Por confirmar",TRIM('DATOS'!E128&amp;"")&lt;&gt;"No consta",TRIM('DATOS'!E128&amp;"")&lt;&gt;"Desconocido",TRIM('DATOS'!E128&amp;"")&lt;&gt;"Sin confirmar",TRIM('DATOS'!E128&amp;"")&lt;&gt;"Por decidir",TRIM('DATOS'!E128&amp;"")&lt;&gt;"Por comprobar"))),2,IF('DATOS'!M128="No",2,IF('DATOS'!M128="Sí",0,IF(OR('DATOS'!D128&lt;&gt;'DATOS'!E128,LEN('DATOS'!E128)&gt;300,RIGHT(TRIM('DATOS'!E128),3)="...",RIGHT(TRIM('DATOS'!E128),1)="…"),1,0))))),2)</f>
      </c>
      <c r="S128" s="29">
        <f>IFERROR(IF(N128=0,"",IF('REFERENCIAS'!$Q$8&lt;&gt;1,2,IF(NOT(Y128=1),1,IF(OR(ABS('DATOS'!G128-ROUND('DATOS'!G128,'REFERENCIAS'!$E$8))&gt;0.00000001,ABS('DATOS'!H128-ROUND('DATOS'!H128,'REFERENCIAS'!$H$8))&gt;0.00000001,ABS('DATOS'!J128-ROUND('DATOS'!J128,'REFERENCIAS'!$K$8))&gt;0.00000001,IF(ISNUMBER('DATOS'!I128),ABS('DATOS'!I128-ROUND('DATOS'!I128,'REFERENCIAS'!$H$8))&gt;0.00000001,FALSE)),1,0)))),2)</f>
      </c>
      <c r="T128" s="29">
        <f>IFERROR(IF(N128=0,"",IF(NOT(AND(LEN(TRIM('DATOS'!F128&amp;""))&gt;0,TRIM('DATOS'!F128&amp;"")&lt;&gt;"Pendiente",TRIM('DATOS'!F128&amp;"")&lt;&gt;"Por confirmar",TRIM('DATOS'!F128&amp;"")&lt;&gt;"No consta",TRIM('DATOS'!F128&amp;"")&lt;&gt;"Desconocido",TRIM('DATOS'!F128&amp;"")&lt;&gt;"Sin confirmar",TRIM('DATOS'!F128&amp;"")&lt;&gt;"Por decidir",TRIM('DATOS'!F128&amp;"")&lt;&gt;"Por comprobar")),2,IF(COUNTIFS('REFERENCIAS'!$T$15:$T$34,"ID:"&amp;SUBSTITUTE(SUBSTITUTE(SUBSTITUTE(SUBSTITUTE(UPPER(TRIM('DATOS'!F128&amp;"")),"!","!E"),"*","!A"),"?","!B"),"~","!C"),'REFERENCIAS'!$H$15:$H$34,"&lt;&gt;")&gt;0,0,1))),2)</f>
      </c>
      <c r="U128" s="29" t="str">
        <f>'DATOS'!R128</f>
        <v>ID:</v>
      </c>
      <c r="V128" s="29" t="str">
        <f>'DATOS'!S128</f>
        <v>ID:</v>
      </c>
      <c r="W128" s="29" t="n">
        <f>IF(N128=0,0,COUNTIFS('REFERENCIAS'!$R$15:$R$64,U128))</f>
        <v>0</v>
      </c>
      <c r="X128" s="29" t="n">
        <f>IF(N128=0,0,COUNTIFS('DATOS'!$R$10:$R$509,U128,'DATOS'!$S$10:$S$509,V128))</f>
        <v>0</v>
      </c>
      <c r="Y128" s="29" t="n">
        <f>IF(AND(ISNUMBER('DATOS'!G128),ISNUMBER('DATOS'!H128),ISNUMBER('DATOS'!J128)),1,0)</f>
        <v>0</v>
      </c>
    </row>
    <row r="129" ht="64" customHeight="1">
      <c r="B129" s="26">
        <f>IF(N129=1,120,"")</f>
      </c>
      <c r="C129" s="26">
        <f>IF(AND(N129=1,LEN(TRIM('DATOS'!B129&amp;""))&gt;0),'DATOS'!B129,"")</f>
      </c>
      <c r="D129" s="26">
        <f>IF(AND(N129=1,LEN(TRIM('DATOS'!C129&amp;""))&gt;0),'DATOS'!C129,"")</f>
      </c>
      <c r="E129" s="26">
        <f>IF(NOT(ISNUMBER(P129)),"",IF(P129=2,"ROJO",IF(P129=1,"ÁMBAR","VERDE")))</f>
      </c>
      <c r="F129" s="26">
        <f>IF(NOT(ISNUMBER(Q129)),"",IF(Q129=2,"ROJO",IF(Q129=1,"ÁMBAR","VERDE")))</f>
      </c>
      <c r="G129" s="26">
        <f>IF(NOT(ISNUMBER(R129)),"",IF(R129=2,"ROJO",IF(R129=1,"ÁMBAR","VERDE")))</f>
      </c>
      <c r="H129" s="26">
        <f>IF(NOT(ISNUMBER(S129)),"",IF(S129=2,"ROJO",IF(S129=1,"ÁMBAR","VERDE")))</f>
      </c>
      <c r="I129" s="26">
        <f>IF(NOT(ISNUMBER(T129)),"",IF(T129=2,"ROJO",IF(T129=1,"ÁMBAR","VERDE")))</f>
      </c>
      <c r="J129" s="26">
        <f>IF(NOT(ISNUMBER(O129)),"",IF(O129=2,"ROJO",IF(O129=1,"ÁMBAR","VERDE")))</f>
      </c>
      <c r="K129" s="26">
        <f>IFERROR(IF(AND(N129=1,LEN(TRIM('DATOS'!N129&amp;""))&gt;0),'DATOS'!N129,""),"Hay una entrada con error. Corregimos el dato antes de cerrar la comprobación.")</f>
      </c>
      <c r="L129" s="26">
        <f>IFERROR(IF(N129=0,"",IF(O129&gt;0,"Completamos datos, claves o motivo. ","")&amp;IF(P129&gt;0,"Cotejamos precios e importe. ","")&amp;IF(Q129&gt;0,"Aclaramos el cero. ","")&amp;IF(R129&gt;0,"Comprobamos el texto. ","")&amp;IF(S129&gt;0,"Revisamos decimales visibles. ","")&amp;IF(T129&gt;0,"Confirmamos la unidad.","")),"Hay una entrada con error. Corregimos el dato antes de cerrar la comprobación.")</f>
      </c>
      <c r="N129" s="29" t="n">
        <f>IF(COUNTA('DATOS'!B129:O129)&gt;0,1,0)</f>
        <v>0</v>
      </c>
      <c r="O129" s="29">
        <f>IFERROR(IF(N129=0,"",IF(OR(NOT(AND(LEN(TRIM('DATOS'!B129&amp;""))&gt;0,TRIM('DATOS'!B129&amp;"")&lt;&gt;"Pendiente",TRIM('DATOS'!B129&amp;"")&lt;&gt;"Por confirmar",TRIM('DATOS'!B129&amp;"")&lt;&gt;"No consta",TRIM('DATOS'!B129&amp;"")&lt;&gt;"Desconocido",TRIM('DATOS'!B129&amp;"")&lt;&gt;"Sin confirmar",TRIM('DATOS'!B129&amp;"")&lt;&gt;"Por decidir",TRIM('DATOS'!B129&amp;"")&lt;&gt;"Por comprobar")),NOT(AND(LEN(TRIM('DATOS'!C129&amp;""))&gt;0,TRIM('DATOS'!C129&amp;"")&lt;&gt;"Pendiente",TRIM('DATOS'!C129&amp;"")&lt;&gt;"Por confirmar",TRIM('DATOS'!C129&amp;"")&lt;&gt;"No consta",TRIM('DATOS'!C129&amp;"")&lt;&gt;"Desconocido",TRIM('DATOS'!C129&amp;"")&lt;&gt;"Sin confirmar",TRIM('DATOS'!C129&amp;"")&lt;&gt;"Por decidir",TRIM('DATOS'!C129&amp;"")&lt;&gt;"Por comprobar")),NOT(AND(LEN(TRIM('DATOS'!D129&amp;""))&gt;0,TRIM('DATOS'!D129&amp;"")&lt;&gt;"Pendiente",TRIM('DATOS'!D129&amp;"")&lt;&gt;"Por confirmar",TRIM('DATOS'!D129&amp;"")&lt;&gt;"No consta",TRIM('DATOS'!D129&amp;"")&lt;&gt;"Desconocido",TRIM('DATOS'!D129&amp;"")&lt;&gt;"Sin confirmar",TRIM('DATOS'!D129&amp;"")&lt;&gt;"Por decidir",TRIM('DATOS'!D129&amp;"")&lt;&gt;"Por comprobar")),NOT(AND(LEN(TRIM('DATOS'!E129&amp;""))&gt;0,TRIM('DATOS'!E129&amp;"")&lt;&gt;"Pendiente",TRIM('DATOS'!E129&amp;"")&lt;&gt;"Por confirmar",TRIM('DATOS'!E129&amp;"")&lt;&gt;"No consta",TRIM('DATOS'!E129&amp;"")&lt;&gt;"Desconocido",TRIM('DATOS'!E129&amp;"")&lt;&gt;"Sin confirmar",TRIM('DATOS'!E129&amp;"")&lt;&gt;"Por decidir",TRIM('DATOS'!E129&amp;"")&lt;&gt;"Por comprobar")),NOT(AND(LEN(TRIM('DATOS'!F129&amp;""))&gt;0,TRIM('DATOS'!F129&amp;"")&lt;&gt;"Pendiente",TRIM('DATOS'!F129&amp;"")&lt;&gt;"Por confirmar",TRIM('DATOS'!F129&amp;"")&lt;&gt;"No consta",TRIM('DATOS'!F129&amp;"")&lt;&gt;"Desconocido",TRIM('DATOS'!F129&amp;"")&lt;&gt;"Sin confirmar",TRIM('DATOS'!F129&amp;"")&lt;&gt;"Por decidir",TRIM('DATOS'!F129&amp;"")&lt;&gt;"Por comprobar")),NOT(AND(LEN(TRIM('DATOS'!N129&amp;""))&gt;0,TRIM('DATOS'!N129&amp;"")&lt;&gt;"Pendiente",TRIM('DATOS'!N129&amp;"")&lt;&gt;"Por confirmar",TRIM('DATOS'!N129&amp;"")&lt;&gt;"No consta",TRIM('DATOS'!N129&amp;"")&lt;&gt;"Desconocido",TRIM('DATOS'!N129&amp;"")&lt;&gt;"Sin confirmar",TRIM('DATOS'!N129&amp;"")&lt;&gt;"Por decidir",TRIM('DATOS'!N129&amp;"")&lt;&gt;"Por comprobar")),NOT(Y129=1),W129&lt;&gt;1,X129&gt;1,NOT(OR(LEN(TRIM('DATOS'!K129&amp;""))=0,'DATOS'!K129="Sin valorar",'DATOS'!K129="Sin coste documentado",'DATOS'!K129="Incluido en otra partida",'DATOS'!K129="Por confirmar")),NOT(OR(LEN(TRIM('DATOS'!M129&amp;""))=0,'DATOS'!M129="Sí",'DATOS'!M129="No",'DATOS'!M129="Por confirmar")),NOT(OR(LEN(TRIM('DATOS'!O129&amp;""))=0,'DATOS'!O129="Comparamos",'DATOS'!O129="No existe",'DATOS'!O129="Por confirmar"))),2,IF(AND(OR('DATOS'!G129&lt;0,'DATOS'!H129&lt;0,'DATOS'!J129&lt;0),NOT(AND(LEN(TRIM('DATOS'!L129&amp;""))&gt;0,TRIM('DATOS'!L129&amp;"")&lt;&gt;"Pendiente",TRIM('DATOS'!L129&amp;"")&lt;&gt;"Por confirmar",TRIM('DATOS'!L129&amp;"")&lt;&gt;"No consta",TRIM('DATOS'!L129&amp;"")&lt;&gt;"Desconocido",TRIM('DATOS'!L129&amp;"")&lt;&gt;"Sin confirmar",TRIM('DATOS'!L129&amp;"")&lt;&gt;"Por decidir",TRIM('DATOS'!L129&amp;"")&lt;&gt;"Por comprobar"))),1,0))),2)</f>
      </c>
      <c r="P129" s="29">
        <f>IFERROR(IF(N129=0,"",IF(NOT(Y129=1),1,IF('REFERENCIAS'!$Q$8&lt;&gt;1,2,IF(ABS('DATOS'!J129-ROUND('DATOS'!G129*'DATOS'!H129,'REFERENCIAS'!$K$8))&gt;0.00000001,2,IF('DATOS'!O129="No existe",IF(LEN(TRIM('DATOS'!I129&amp;""))=0,0,2),IF('DATOS'!O129="Comparamos",IF(LEN(TRIM('DATOS'!I129&amp;""))=0,1,IF(ISNUMBER('DATOS'!I129),IF(ABS('DATOS'!H129-'DATOS'!I129)&gt;0.00000001,2,0),2)),1)))))),2)</f>
      </c>
      <c r="Q129" s="29">
        <f>IFERROR(IF(N129=0,"",IF(NOT(Y129=1),1,IF('DATOS'!K129="Sin valorar",2,IF('DATOS'!G129=0,1,IF(OR('DATOS'!H129=0,'DATOS'!J129=0),IF(AND(OR('DATOS'!K129="Sin coste documentado",'DATOS'!K129="Incluido en otra partida"),AND(LEN(TRIM('DATOS'!L129&amp;""))&gt;0,TRIM('DATOS'!L129&amp;"")&lt;&gt;"Pendiente",TRIM('DATOS'!L129&amp;"")&lt;&gt;"Por confirmar",TRIM('DATOS'!L129&amp;"")&lt;&gt;"No consta",TRIM('DATOS'!L129&amp;"")&lt;&gt;"Desconocido",TRIM('DATOS'!L129&amp;"")&lt;&gt;"Sin confirmar",TRIM('DATOS'!L129&amp;"")&lt;&gt;"Por decidir",TRIM('DATOS'!L129&amp;"")&lt;&gt;"Por comprobar")),0,1),0))))),2)</f>
      </c>
      <c r="R129" s="29">
        <f>IFERROR(IF(N129=0,"",IF(OR(NOT(AND(LEN(TRIM('DATOS'!D129&amp;""))&gt;0,TRIM('DATOS'!D129&amp;"")&lt;&gt;"Pendiente",TRIM('DATOS'!D129&amp;"")&lt;&gt;"Por confirmar",TRIM('DATOS'!D129&amp;"")&lt;&gt;"No consta",TRIM('DATOS'!D129&amp;"")&lt;&gt;"Desconocido",TRIM('DATOS'!D129&amp;"")&lt;&gt;"Sin confirmar",TRIM('DATOS'!D129&amp;"")&lt;&gt;"Por decidir",TRIM('DATOS'!D129&amp;"")&lt;&gt;"Por comprobar")),NOT(AND(LEN(TRIM('DATOS'!E129&amp;""))&gt;0,TRIM('DATOS'!E129&amp;"")&lt;&gt;"Pendiente",TRIM('DATOS'!E129&amp;"")&lt;&gt;"Por confirmar",TRIM('DATOS'!E129&amp;"")&lt;&gt;"No consta",TRIM('DATOS'!E129&amp;"")&lt;&gt;"Desconocido",TRIM('DATOS'!E129&amp;"")&lt;&gt;"Sin confirmar",TRIM('DATOS'!E129&amp;"")&lt;&gt;"Por decidir",TRIM('DATOS'!E129&amp;"")&lt;&gt;"Por comprobar"))),2,IF('DATOS'!M129="No",2,IF('DATOS'!M129="Sí",0,IF(OR('DATOS'!D129&lt;&gt;'DATOS'!E129,LEN('DATOS'!E129)&gt;300,RIGHT(TRIM('DATOS'!E129),3)="...",RIGHT(TRIM('DATOS'!E129),1)="…"),1,0))))),2)</f>
      </c>
      <c r="S129" s="29">
        <f>IFERROR(IF(N129=0,"",IF('REFERENCIAS'!$Q$8&lt;&gt;1,2,IF(NOT(Y129=1),1,IF(OR(ABS('DATOS'!G129-ROUND('DATOS'!G129,'REFERENCIAS'!$E$8))&gt;0.00000001,ABS('DATOS'!H129-ROUND('DATOS'!H129,'REFERENCIAS'!$H$8))&gt;0.00000001,ABS('DATOS'!J129-ROUND('DATOS'!J129,'REFERENCIAS'!$K$8))&gt;0.00000001,IF(ISNUMBER('DATOS'!I129),ABS('DATOS'!I129-ROUND('DATOS'!I129,'REFERENCIAS'!$H$8))&gt;0.00000001,FALSE)),1,0)))),2)</f>
      </c>
      <c r="T129" s="29">
        <f>IFERROR(IF(N129=0,"",IF(NOT(AND(LEN(TRIM('DATOS'!F129&amp;""))&gt;0,TRIM('DATOS'!F129&amp;"")&lt;&gt;"Pendiente",TRIM('DATOS'!F129&amp;"")&lt;&gt;"Por confirmar",TRIM('DATOS'!F129&amp;"")&lt;&gt;"No consta",TRIM('DATOS'!F129&amp;"")&lt;&gt;"Desconocido",TRIM('DATOS'!F129&amp;"")&lt;&gt;"Sin confirmar",TRIM('DATOS'!F129&amp;"")&lt;&gt;"Por decidir",TRIM('DATOS'!F129&amp;"")&lt;&gt;"Por comprobar")),2,IF(COUNTIFS('REFERENCIAS'!$T$15:$T$34,"ID:"&amp;SUBSTITUTE(SUBSTITUTE(SUBSTITUTE(SUBSTITUTE(UPPER(TRIM('DATOS'!F129&amp;"")),"!","!E"),"*","!A"),"?","!B"),"~","!C"),'REFERENCIAS'!$H$15:$H$34,"&lt;&gt;")&gt;0,0,1))),2)</f>
      </c>
      <c r="U129" s="29" t="str">
        <f>'DATOS'!R129</f>
        <v>ID:</v>
      </c>
      <c r="V129" s="29" t="str">
        <f>'DATOS'!S129</f>
        <v>ID:</v>
      </c>
      <c r="W129" s="29" t="n">
        <f>IF(N129=0,0,COUNTIFS('REFERENCIAS'!$R$15:$R$64,U129))</f>
        <v>0</v>
      </c>
      <c r="X129" s="29" t="n">
        <f>IF(N129=0,0,COUNTIFS('DATOS'!$R$10:$R$509,U129,'DATOS'!$S$10:$S$509,V129))</f>
        <v>0</v>
      </c>
      <c r="Y129" s="29" t="n">
        <f>IF(AND(ISNUMBER('DATOS'!G129),ISNUMBER('DATOS'!H129),ISNUMBER('DATOS'!J129)),1,0)</f>
        <v>0</v>
      </c>
    </row>
    <row r="130" ht="64" customHeight="1">
      <c r="B130" s="26">
        <f>IF(N130=1,121,"")</f>
      </c>
      <c r="C130" s="26">
        <f>IF(AND(N130=1,LEN(TRIM('DATOS'!B130&amp;""))&gt;0),'DATOS'!B130,"")</f>
      </c>
      <c r="D130" s="26">
        <f>IF(AND(N130=1,LEN(TRIM('DATOS'!C130&amp;""))&gt;0),'DATOS'!C130,"")</f>
      </c>
      <c r="E130" s="26">
        <f>IF(NOT(ISNUMBER(P130)),"",IF(P130=2,"ROJO",IF(P130=1,"ÁMBAR","VERDE")))</f>
      </c>
      <c r="F130" s="26">
        <f>IF(NOT(ISNUMBER(Q130)),"",IF(Q130=2,"ROJO",IF(Q130=1,"ÁMBAR","VERDE")))</f>
      </c>
      <c r="G130" s="26">
        <f>IF(NOT(ISNUMBER(R130)),"",IF(R130=2,"ROJO",IF(R130=1,"ÁMBAR","VERDE")))</f>
      </c>
      <c r="H130" s="26">
        <f>IF(NOT(ISNUMBER(S130)),"",IF(S130=2,"ROJO",IF(S130=1,"ÁMBAR","VERDE")))</f>
      </c>
      <c r="I130" s="26">
        <f>IF(NOT(ISNUMBER(T130)),"",IF(T130=2,"ROJO",IF(T130=1,"ÁMBAR","VERDE")))</f>
      </c>
      <c r="J130" s="26">
        <f>IF(NOT(ISNUMBER(O130)),"",IF(O130=2,"ROJO",IF(O130=1,"ÁMBAR","VERDE")))</f>
      </c>
      <c r="K130" s="26">
        <f>IFERROR(IF(AND(N130=1,LEN(TRIM('DATOS'!N130&amp;""))&gt;0),'DATOS'!N130,""),"Hay una entrada con error. Corregimos el dato antes de cerrar la comprobación.")</f>
      </c>
      <c r="L130" s="26">
        <f>IFERROR(IF(N130=0,"",IF(O130&gt;0,"Completamos datos, claves o motivo. ","")&amp;IF(P130&gt;0,"Cotejamos precios e importe. ","")&amp;IF(Q130&gt;0,"Aclaramos el cero. ","")&amp;IF(R130&gt;0,"Comprobamos el texto. ","")&amp;IF(S130&gt;0,"Revisamos decimales visibles. ","")&amp;IF(T130&gt;0,"Confirmamos la unidad.","")),"Hay una entrada con error. Corregimos el dato antes de cerrar la comprobación.")</f>
      </c>
      <c r="N130" s="29" t="n">
        <f>IF(COUNTA('DATOS'!B130:O130)&gt;0,1,0)</f>
        <v>0</v>
      </c>
      <c r="O130" s="29">
        <f>IFERROR(IF(N130=0,"",IF(OR(NOT(AND(LEN(TRIM('DATOS'!B130&amp;""))&gt;0,TRIM('DATOS'!B130&amp;"")&lt;&gt;"Pendiente",TRIM('DATOS'!B130&amp;"")&lt;&gt;"Por confirmar",TRIM('DATOS'!B130&amp;"")&lt;&gt;"No consta",TRIM('DATOS'!B130&amp;"")&lt;&gt;"Desconocido",TRIM('DATOS'!B130&amp;"")&lt;&gt;"Sin confirmar",TRIM('DATOS'!B130&amp;"")&lt;&gt;"Por decidir",TRIM('DATOS'!B130&amp;"")&lt;&gt;"Por comprobar")),NOT(AND(LEN(TRIM('DATOS'!C130&amp;""))&gt;0,TRIM('DATOS'!C130&amp;"")&lt;&gt;"Pendiente",TRIM('DATOS'!C130&amp;"")&lt;&gt;"Por confirmar",TRIM('DATOS'!C130&amp;"")&lt;&gt;"No consta",TRIM('DATOS'!C130&amp;"")&lt;&gt;"Desconocido",TRIM('DATOS'!C130&amp;"")&lt;&gt;"Sin confirmar",TRIM('DATOS'!C130&amp;"")&lt;&gt;"Por decidir",TRIM('DATOS'!C130&amp;"")&lt;&gt;"Por comprobar")),NOT(AND(LEN(TRIM('DATOS'!D130&amp;""))&gt;0,TRIM('DATOS'!D130&amp;"")&lt;&gt;"Pendiente",TRIM('DATOS'!D130&amp;"")&lt;&gt;"Por confirmar",TRIM('DATOS'!D130&amp;"")&lt;&gt;"No consta",TRIM('DATOS'!D130&amp;"")&lt;&gt;"Desconocido",TRIM('DATOS'!D130&amp;"")&lt;&gt;"Sin confirmar",TRIM('DATOS'!D130&amp;"")&lt;&gt;"Por decidir",TRIM('DATOS'!D130&amp;"")&lt;&gt;"Por comprobar")),NOT(AND(LEN(TRIM('DATOS'!E130&amp;""))&gt;0,TRIM('DATOS'!E130&amp;"")&lt;&gt;"Pendiente",TRIM('DATOS'!E130&amp;"")&lt;&gt;"Por confirmar",TRIM('DATOS'!E130&amp;"")&lt;&gt;"No consta",TRIM('DATOS'!E130&amp;"")&lt;&gt;"Desconocido",TRIM('DATOS'!E130&amp;"")&lt;&gt;"Sin confirmar",TRIM('DATOS'!E130&amp;"")&lt;&gt;"Por decidir",TRIM('DATOS'!E130&amp;"")&lt;&gt;"Por comprobar")),NOT(AND(LEN(TRIM('DATOS'!F130&amp;""))&gt;0,TRIM('DATOS'!F130&amp;"")&lt;&gt;"Pendiente",TRIM('DATOS'!F130&amp;"")&lt;&gt;"Por confirmar",TRIM('DATOS'!F130&amp;"")&lt;&gt;"No consta",TRIM('DATOS'!F130&amp;"")&lt;&gt;"Desconocido",TRIM('DATOS'!F130&amp;"")&lt;&gt;"Sin confirmar",TRIM('DATOS'!F130&amp;"")&lt;&gt;"Por decidir",TRIM('DATOS'!F130&amp;"")&lt;&gt;"Por comprobar")),NOT(AND(LEN(TRIM('DATOS'!N130&amp;""))&gt;0,TRIM('DATOS'!N130&amp;"")&lt;&gt;"Pendiente",TRIM('DATOS'!N130&amp;"")&lt;&gt;"Por confirmar",TRIM('DATOS'!N130&amp;"")&lt;&gt;"No consta",TRIM('DATOS'!N130&amp;"")&lt;&gt;"Desconocido",TRIM('DATOS'!N130&amp;"")&lt;&gt;"Sin confirmar",TRIM('DATOS'!N130&amp;"")&lt;&gt;"Por decidir",TRIM('DATOS'!N130&amp;"")&lt;&gt;"Por comprobar")),NOT(Y130=1),W130&lt;&gt;1,X130&gt;1,NOT(OR(LEN(TRIM('DATOS'!K130&amp;""))=0,'DATOS'!K130="Sin valorar",'DATOS'!K130="Sin coste documentado",'DATOS'!K130="Incluido en otra partida",'DATOS'!K130="Por confirmar")),NOT(OR(LEN(TRIM('DATOS'!M130&amp;""))=0,'DATOS'!M130="Sí",'DATOS'!M130="No",'DATOS'!M130="Por confirmar")),NOT(OR(LEN(TRIM('DATOS'!O130&amp;""))=0,'DATOS'!O130="Comparamos",'DATOS'!O130="No existe",'DATOS'!O130="Por confirmar"))),2,IF(AND(OR('DATOS'!G130&lt;0,'DATOS'!H130&lt;0,'DATOS'!J130&lt;0),NOT(AND(LEN(TRIM('DATOS'!L130&amp;""))&gt;0,TRIM('DATOS'!L130&amp;"")&lt;&gt;"Pendiente",TRIM('DATOS'!L130&amp;"")&lt;&gt;"Por confirmar",TRIM('DATOS'!L130&amp;"")&lt;&gt;"No consta",TRIM('DATOS'!L130&amp;"")&lt;&gt;"Desconocido",TRIM('DATOS'!L130&amp;"")&lt;&gt;"Sin confirmar",TRIM('DATOS'!L130&amp;"")&lt;&gt;"Por decidir",TRIM('DATOS'!L130&amp;"")&lt;&gt;"Por comprobar"))),1,0))),2)</f>
      </c>
      <c r="P130" s="29">
        <f>IFERROR(IF(N130=0,"",IF(NOT(Y130=1),1,IF('REFERENCIAS'!$Q$8&lt;&gt;1,2,IF(ABS('DATOS'!J130-ROUND('DATOS'!G130*'DATOS'!H130,'REFERENCIAS'!$K$8))&gt;0.00000001,2,IF('DATOS'!O130="No existe",IF(LEN(TRIM('DATOS'!I130&amp;""))=0,0,2),IF('DATOS'!O130="Comparamos",IF(LEN(TRIM('DATOS'!I130&amp;""))=0,1,IF(ISNUMBER('DATOS'!I130),IF(ABS('DATOS'!H130-'DATOS'!I130)&gt;0.00000001,2,0),2)),1)))))),2)</f>
      </c>
      <c r="Q130" s="29">
        <f>IFERROR(IF(N130=0,"",IF(NOT(Y130=1),1,IF('DATOS'!K130="Sin valorar",2,IF('DATOS'!G130=0,1,IF(OR('DATOS'!H130=0,'DATOS'!J130=0),IF(AND(OR('DATOS'!K130="Sin coste documentado",'DATOS'!K130="Incluido en otra partida"),AND(LEN(TRIM('DATOS'!L130&amp;""))&gt;0,TRIM('DATOS'!L130&amp;"")&lt;&gt;"Pendiente",TRIM('DATOS'!L130&amp;"")&lt;&gt;"Por confirmar",TRIM('DATOS'!L130&amp;"")&lt;&gt;"No consta",TRIM('DATOS'!L130&amp;"")&lt;&gt;"Desconocido",TRIM('DATOS'!L130&amp;"")&lt;&gt;"Sin confirmar",TRIM('DATOS'!L130&amp;"")&lt;&gt;"Por decidir",TRIM('DATOS'!L130&amp;"")&lt;&gt;"Por comprobar")),0,1),0))))),2)</f>
      </c>
      <c r="R130" s="29">
        <f>IFERROR(IF(N130=0,"",IF(OR(NOT(AND(LEN(TRIM('DATOS'!D130&amp;""))&gt;0,TRIM('DATOS'!D130&amp;"")&lt;&gt;"Pendiente",TRIM('DATOS'!D130&amp;"")&lt;&gt;"Por confirmar",TRIM('DATOS'!D130&amp;"")&lt;&gt;"No consta",TRIM('DATOS'!D130&amp;"")&lt;&gt;"Desconocido",TRIM('DATOS'!D130&amp;"")&lt;&gt;"Sin confirmar",TRIM('DATOS'!D130&amp;"")&lt;&gt;"Por decidir",TRIM('DATOS'!D130&amp;"")&lt;&gt;"Por comprobar")),NOT(AND(LEN(TRIM('DATOS'!E130&amp;""))&gt;0,TRIM('DATOS'!E130&amp;"")&lt;&gt;"Pendiente",TRIM('DATOS'!E130&amp;"")&lt;&gt;"Por confirmar",TRIM('DATOS'!E130&amp;"")&lt;&gt;"No consta",TRIM('DATOS'!E130&amp;"")&lt;&gt;"Desconocido",TRIM('DATOS'!E130&amp;"")&lt;&gt;"Sin confirmar",TRIM('DATOS'!E130&amp;"")&lt;&gt;"Por decidir",TRIM('DATOS'!E130&amp;"")&lt;&gt;"Por comprobar"))),2,IF('DATOS'!M130="No",2,IF('DATOS'!M130="Sí",0,IF(OR('DATOS'!D130&lt;&gt;'DATOS'!E130,LEN('DATOS'!E130)&gt;300,RIGHT(TRIM('DATOS'!E130),3)="...",RIGHT(TRIM('DATOS'!E130),1)="…"),1,0))))),2)</f>
      </c>
      <c r="S130" s="29">
        <f>IFERROR(IF(N130=0,"",IF('REFERENCIAS'!$Q$8&lt;&gt;1,2,IF(NOT(Y130=1),1,IF(OR(ABS('DATOS'!G130-ROUND('DATOS'!G130,'REFERENCIAS'!$E$8))&gt;0.00000001,ABS('DATOS'!H130-ROUND('DATOS'!H130,'REFERENCIAS'!$H$8))&gt;0.00000001,ABS('DATOS'!J130-ROUND('DATOS'!J130,'REFERENCIAS'!$K$8))&gt;0.00000001,IF(ISNUMBER('DATOS'!I130),ABS('DATOS'!I130-ROUND('DATOS'!I130,'REFERENCIAS'!$H$8))&gt;0.00000001,FALSE)),1,0)))),2)</f>
      </c>
      <c r="T130" s="29">
        <f>IFERROR(IF(N130=0,"",IF(NOT(AND(LEN(TRIM('DATOS'!F130&amp;""))&gt;0,TRIM('DATOS'!F130&amp;"")&lt;&gt;"Pendiente",TRIM('DATOS'!F130&amp;"")&lt;&gt;"Por confirmar",TRIM('DATOS'!F130&amp;"")&lt;&gt;"No consta",TRIM('DATOS'!F130&amp;"")&lt;&gt;"Desconocido",TRIM('DATOS'!F130&amp;"")&lt;&gt;"Sin confirmar",TRIM('DATOS'!F130&amp;"")&lt;&gt;"Por decidir",TRIM('DATOS'!F130&amp;"")&lt;&gt;"Por comprobar")),2,IF(COUNTIFS('REFERENCIAS'!$T$15:$T$34,"ID:"&amp;SUBSTITUTE(SUBSTITUTE(SUBSTITUTE(SUBSTITUTE(UPPER(TRIM('DATOS'!F130&amp;"")),"!","!E"),"*","!A"),"?","!B"),"~","!C"),'REFERENCIAS'!$H$15:$H$34,"&lt;&gt;")&gt;0,0,1))),2)</f>
      </c>
      <c r="U130" s="29" t="str">
        <f>'DATOS'!R130</f>
        <v>ID:</v>
      </c>
      <c r="V130" s="29" t="str">
        <f>'DATOS'!S130</f>
        <v>ID:</v>
      </c>
      <c r="W130" s="29" t="n">
        <f>IF(N130=0,0,COUNTIFS('REFERENCIAS'!$R$15:$R$64,U130))</f>
        <v>0</v>
      </c>
      <c r="X130" s="29" t="n">
        <f>IF(N130=0,0,COUNTIFS('DATOS'!$R$10:$R$509,U130,'DATOS'!$S$10:$S$509,V130))</f>
        <v>0</v>
      </c>
      <c r="Y130" s="29" t="n">
        <f>IF(AND(ISNUMBER('DATOS'!G130),ISNUMBER('DATOS'!H130),ISNUMBER('DATOS'!J130)),1,0)</f>
        <v>0</v>
      </c>
    </row>
    <row r="131" ht="64" customHeight="1">
      <c r="B131" s="26">
        <f>IF(N131=1,122,"")</f>
      </c>
      <c r="C131" s="26">
        <f>IF(AND(N131=1,LEN(TRIM('DATOS'!B131&amp;""))&gt;0),'DATOS'!B131,"")</f>
      </c>
      <c r="D131" s="26">
        <f>IF(AND(N131=1,LEN(TRIM('DATOS'!C131&amp;""))&gt;0),'DATOS'!C131,"")</f>
      </c>
      <c r="E131" s="26">
        <f>IF(NOT(ISNUMBER(P131)),"",IF(P131=2,"ROJO",IF(P131=1,"ÁMBAR","VERDE")))</f>
      </c>
      <c r="F131" s="26">
        <f>IF(NOT(ISNUMBER(Q131)),"",IF(Q131=2,"ROJO",IF(Q131=1,"ÁMBAR","VERDE")))</f>
      </c>
      <c r="G131" s="26">
        <f>IF(NOT(ISNUMBER(R131)),"",IF(R131=2,"ROJO",IF(R131=1,"ÁMBAR","VERDE")))</f>
      </c>
      <c r="H131" s="26">
        <f>IF(NOT(ISNUMBER(S131)),"",IF(S131=2,"ROJO",IF(S131=1,"ÁMBAR","VERDE")))</f>
      </c>
      <c r="I131" s="26">
        <f>IF(NOT(ISNUMBER(T131)),"",IF(T131=2,"ROJO",IF(T131=1,"ÁMBAR","VERDE")))</f>
      </c>
      <c r="J131" s="26">
        <f>IF(NOT(ISNUMBER(O131)),"",IF(O131=2,"ROJO",IF(O131=1,"ÁMBAR","VERDE")))</f>
      </c>
      <c r="K131" s="26">
        <f>IFERROR(IF(AND(N131=1,LEN(TRIM('DATOS'!N131&amp;""))&gt;0),'DATOS'!N131,""),"Hay una entrada con error. Corregimos el dato antes de cerrar la comprobación.")</f>
      </c>
      <c r="L131" s="26">
        <f>IFERROR(IF(N131=0,"",IF(O131&gt;0,"Completamos datos, claves o motivo. ","")&amp;IF(P131&gt;0,"Cotejamos precios e importe. ","")&amp;IF(Q131&gt;0,"Aclaramos el cero. ","")&amp;IF(R131&gt;0,"Comprobamos el texto. ","")&amp;IF(S131&gt;0,"Revisamos decimales visibles. ","")&amp;IF(T131&gt;0,"Confirmamos la unidad.","")),"Hay una entrada con error. Corregimos el dato antes de cerrar la comprobación.")</f>
      </c>
      <c r="N131" s="29" t="n">
        <f>IF(COUNTA('DATOS'!B131:O131)&gt;0,1,0)</f>
        <v>0</v>
      </c>
      <c r="O131" s="29">
        <f>IFERROR(IF(N131=0,"",IF(OR(NOT(AND(LEN(TRIM('DATOS'!B131&amp;""))&gt;0,TRIM('DATOS'!B131&amp;"")&lt;&gt;"Pendiente",TRIM('DATOS'!B131&amp;"")&lt;&gt;"Por confirmar",TRIM('DATOS'!B131&amp;"")&lt;&gt;"No consta",TRIM('DATOS'!B131&amp;"")&lt;&gt;"Desconocido",TRIM('DATOS'!B131&amp;"")&lt;&gt;"Sin confirmar",TRIM('DATOS'!B131&amp;"")&lt;&gt;"Por decidir",TRIM('DATOS'!B131&amp;"")&lt;&gt;"Por comprobar")),NOT(AND(LEN(TRIM('DATOS'!C131&amp;""))&gt;0,TRIM('DATOS'!C131&amp;"")&lt;&gt;"Pendiente",TRIM('DATOS'!C131&amp;"")&lt;&gt;"Por confirmar",TRIM('DATOS'!C131&amp;"")&lt;&gt;"No consta",TRIM('DATOS'!C131&amp;"")&lt;&gt;"Desconocido",TRIM('DATOS'!C131&amp;"")&lt;&gt;"Sin confirmar",TRIM('DATOS'!C131&amp;"")&lt;&gt;"Por decidir",TRIM('DATOS'!C131&amp;"")&lt;&gt;"Por comprobar")),NOT(AND(LEN(TRIM('DATOS'!D131&amp;""))&gt;0,TRIM('DATOS'!D131&amp;"")&lt;&gt;"Pendiente",TRIM('DATOS'!D131&amp;"")&lt;&gt;"Por confirmar",TRIM('DATOS'!D131&amp;"")&lt;&gt;"No consta",TRIM('DATOS'!D131&amp;"")&lt;&gt;"Desconocido",TRIM('DATOS'!D131&amp;"")&lt;&gt;"Sin confirmar",TRIM('DATOS'!D131&amp;"")&lt;&gt;"Por decidir",TRIM('DATOS'!D131&amp;"")&lt;&gt;"Por comprobar")),NOT(AND(LEN(TRIM('DATOS'!E131&amp;""))&gt;0,TRIM('DATOS'!E131&amp;"")&lt;&gt;"Pendiente",TRIM('DATOS'!E131&amp;"")&lt;&gt;"Por confirmar",TRIM('DATOS'!E131&amp;"")&lt;&gt;"No consta",TRIM('DATOS'!E131&amp;"")&lt;&gt;"Desconocido",TRIM('DATOS'!E131&amp;"")&lt;&gt;"Sin confirmar",TRIM('DATOS'!E131&amp;"")&lt;&gt;"Por decidir",TRIM('DATOS'!E131&amp;"")&lt;&gt;"Por comprobar")),NOT(AND(LEN(TRIM('DATOS'!F131&amp;""))&gt;0,TRIM('DATOS'!F131&amp;"")&lt;&gt;"Pendiente",TRIM('DATOS'!F131&amp;"")&lt;&gt;"Por confirmar",TRIM('DATOS'!F131&amp;"")&lt;&gt;"No consta",TRIM('DATOS'!F131&amp;"")&lt;&gt;"Desconocido",TRIM('DATOS'!F131&amp;"")&lt;&gt;"Sin confirmar",TRIM('DATOS'!F131&amp;"")&lt;&gt;"Por decidir",TRIM('DATOS'!F131&amp;"")&lt;&gt;"Por comprobar")),NOT(AND(LEN(TRIM('DATOS'!N131&amp;""))&gt;0,TRIM('DATOS'!N131&amp;"")&lt;&gt;"Pendiente",TRIM('DATOS'!N131&amp;"")&lt;&gt;"Por confirmar",TRIM('DATOS'!N131&amp;"")&lt;&gt;"No consta",TRIM('DATOS'!N131&amp;"")&lt;&gt;"Desconocido",TRIM('DATOS'!N131&amp;"")&lt;&gt;"Sin confirmar",TRIM('DATOS'!N131&amp;"")&lt;&gt;"Por decidir",TRIM('DATOS'!N131&amp;"")&lt;&gt;"Por comprobar")),NOT(Y131=1),W131&lt;&gt;1,X131&gt;1,NOT(OR(LEN(TRIM('DATOS'!K131&amp;""))=0,'DATOS'!K131="Sin valorar",'DATOS'!K131="Sin coste documentado",'DATOS'!K131="Incluido en otra partida",'DATOS'!K131="Por confirmar")),NOT(OR(LEN(TRIM('DATOS'!M131&amp;""))=0,'DATOS'!M131="Sí",'DATOS'!M131="No",'DATOS'!M131="Por confirmar")),NOT(OR(LEN(TRIM('DATOS'!O131&amp;""))=0,'DATOS'!O131="Comparamos",'DATOS'!O131="No existe",'DATOS'!O131="Por confirmar"))),2,IF(AND(OR('DATOS'!G131&lt;0,'DATOS'!H131&lt;0,'DATOS'!J131&lt;0),NOT(AND(LEN(TRIM('DATOS'!L131&amp;""))&gt;0,TRIM('DATOS'!L131&amp;"")&lt;&gt;"Pendiente",TRIM('DATOS'!L131&amp;"")&lt;&gt;"Por confirmar",TRIM('DATOS'!L131&amp;"")&lt;&gt;"No consta",TRIM('DATOS'!L131&amp;"")&lt;&gt;"Desconocido",TRIM('DATOS'!L131&amp;"")&lt;&gt;"Sin confirmar",TRIM('DATOS'!L131&amp;"")&lt;&gt;"Por decidir",TRIM('DATOS'!L131&amp;"")&lt;&gt;"Por comprobar"))),1,0))),2)</f>
      </c>
      <c r="P131" s="29">
        <f>IFERROR(IF(N131=0,"",IF(NOT(Y131=1),1,IF('REFERENCIAS'!$Q$8&lt;&gt;1,2,IF(ABS('DATOS'!J131-ROUND('DATOS'!G131*'DATOS'!H131,'REFERENCIAS'!$K$8))&gt;0.00000001,2,IF('DATOS'!O131="No existe",IF(LEN(TRIM('DATOS'!I131&amp;""))=0,0,2),IF('DATOS'!O131="Comparamos",IF(LEN(TRIM('DATOS'!I131&amp;""))=0,1,IF(ISNUMBER('DATOS'!I131),IF(ABS('DATOS'!H131-'DATOS'!I131)&gt;0.00000001,2,0),2)),1)))))),2)</f>
      </c>
      <c r="Q131" s="29">
        <f>IFERROR(IF(N131=0,"",IF(NOT(Y131=1),1,IF('DATOS'!K131="Sin valorar",2,IF('DATOS'!G131=0,1,IF(OR('DATOS'!H131=0,'DATOS'!J131=0),IF(AND(OR('DATOS'!K131="Sin coste documentado",'DATOS'!K131="Incluido en otra partida"),AND(LEN(TRIM('DATOS'!L131&amp;""))&gt;0,TRIM('DATOS'!L131&amp;"")&lt;&gt;"Pendiente",TRIM('DATOS'!L131&amp;"")&lt;&gt;"Por confirmar",TRIM('DATOS'!L131&amp;"")&lt;&gt;"No consta",TRIM('DATOS'!L131&amp;"")&lt;&gt;"Desconocido",TRIM('DATOS'!L131&amp;"")&lt;&gt;"Sin confirmar",TRIM('DATOS'!L131&amp;"")&lt;&gt;"Por decidir",TRIM('DATOS'!L131&amp;"")&lt;&gt;"Por comprobar")),0,1),0))))),2)</f>
      </c>
      <c r="R131" s="29">
        <f>IFERROR(IF(N131=0,"",IF(OR(NOT(AND(LEN(TRIM('DATOS'!D131&amp;""))&gt;0,TRIM('DATOS'!D131&amp;"")&lt;&gt;"Pendiente",TRIM('DATOS'!D131&amp;"")&lt;&gt;"Por confirmar",TRIM('DATOS'!D131&amp;"")&lt;&gt;"No consta",TRIM('DATOS'!D131&amp;"")&lt;&gt;"Desconocido",TRIM('DATOS'!D131&amp;"")&lt;&gt;"Sin confirmar",TRIM('DATOS'!D131&amp;"")&lt;&gt;"Por decidir",TRIM('DATOS'!D131&amp;"")&lt;&gt;"Por comprobar")),NOT(AND(LEN(TRIM('DATOS'!E131&amp;""))&gt;0,TRIM('DATOS'!E131&amp;"")&lt;&gt;"Pendiente",TRIM('DATOS'!E131&amp;"")&lt;&gt;"Por confirmar",TRIM('DATOS'!E131&amp;"")&lt;&gt;"No consta",TRIM('DATOS'!E131&amp;"")&lt;&gt;"Desconocido",TRIM('DATOS'!E131&amp;"")&lt;&gt;"Sin confirmar",TRIM('DATOS'!E131&amp;"")&lt;&gt;"Por decidir",TRIM('DATOS'!E131&amp;"")&lt;&gt;"Por comprobar"))),2,IF('DATOS'!M131="No",2,IF('DATOS'!M131="Sí",0,IF(OR('DATOS'!D131&lt;&gt;'DATOS'!E131,LEN('DATOS'!E131)&gt;300,RIGHT(TRIM('DATOS'!E131),3)="...",RIGHT(TRIM('DATOS'!E131),1)="…"),1,0))))),2)</f>
      </c>
      <c r="S131" s="29">
        <f>IFERROR(IF(N131=0,"",IF('REFERENCIAS'!$Q$8&lt;&gt;1,2,IF(NOT(Y131=1),1,IF(OR(ABS('DATOS'!G131-ROUND('DATOS'!G131,'REFERENCIAS'!$E$8))&gt;0.00000001,ABS('DATOS'!H131-ROUND('DATOS'!H131,'REFERENCIAS'!$H$8))&gt;0.00000001,ABS('DATOS'!J131-ROUND('DATOS'!J131,'REFERENCIAS'!$K$8))&gt;0.00000001,IF(ISNUMBER('DATOS'!I131),ABS('DATOS'!I131-ROUND('DATOS'!I131,'REFERENCIAS'!$H$8))&gt;0.00000001,FALSE)),1,0)))),2)</f>
      </c>
      <c r="T131" s="29">
        <f>IFERROR(IF(N131=0,"",IF(NOT(AND(LEN(TRIM('DATOS'!F131&amp;""))&gt;0,TRIM('DATOS'!F131&amp;"")&lt;&gt;"Pendiente",TRIM('DATOS'!F131&amp;"")&lt;&gt;"Por confirmar",TRIM('DATOS'!F131&amp;"")&lt;&gt;"No consta",TRIM('DATOS'!F131&amp;"")&lt;&gt;"Desconocido",TRIM('DATOS'!F131&amp;"")&lt;&gt;"Sin confirmar",TRIM('DATOS'!F131&amp;"")&lt;&gt;"Por decidir",TRIM('DATOS'!F131&amp;"")&lt;&gt;"Por comprobar")),2,IF(COUNTIFS('REFERENCIAS'!$T$15:$T$34,"ID:"&amp;SUBSTITUTE(SUBSTITUTE(SUBSTITUTE(SUBSTITUTE(UPPER(TRIM('DATOS'!F131&amp;"")),"!","!E"),"*","!A"),"?","!B"),"~","!C"),'REFERENCIAS'!$H$15:$H$34,"&lt;&gt;")&gt;0,0,1))),2)</f>
      </c>
      <c r="U131" s="29" t="str">
        <f>'DATOS'!R131</f>
        <v>ID:</v>
      </c>
      <c r="V131" s="29" t="str">
        <f>'DATOS'!S131</f>
        <v>ID:</v>
      </c>
      <c r="W131" s="29" t="n">
        <f>IF(N131=0,0,COUNTIFS('REFERENCIAS'!$R$15:$R$64,U131))</f>
        <v>0</v>
      </c>
      <c r="X131" s="29" t="n">
        <f>IF(N131=0,0,COUNTIFS('DATOS'!$R$10:$R$509,U131,'DATOS'!$S$10:$S$509,V131))</f>
        <v>0</v>
      </c>
      <c r="Y131" s="29" t="n">
        <f>IF(AND(ISNUMBER('DATOS'!G131),ISNUMBER('DATOS'!H131),ISNUMBER('DATOS'!J131)),1,0)</f>
        <v>0</v>
      </c>
    </row>
    <row r="132" ht="64" customHeight="1">
      <c r="B132" s="26">
        <f>IF(N132=1,123,"")</f>
      </c>
      <c r="C132" s="26">
        <f>IF(AND(N132=1,LEN(TRIM('DATOS'!B132&amp;""))&gt;0),'DATOS'!B132,"")</f>
      </c>
      <c r="D132" s="26">
        <f>IF(AND(N132=1,LEN(TRIM('DATOS'!C132&amp;""))&gt;0),'DATOS'!C132,"")</f>
      </c>
      <c r="E132" s="26">
        <f>IF(NOT(ISNUMBER(P132)),"",IF(P132=2,"ROJO",IF(P132=1,"ÁMBAR","VERDE")))</f>
      </c>
      <c r="F132" s="26">
        <f>IF(NOT(ISNUMBER(Q132)),"",IF(Q132=2,"ROJO",IF(Q132=1,"ÁMBAR","VERDE")))</f>
      </c>
      <c r="G132" s="26">
        <f>IF(NOT(ISNUMBER(R132)),"",IF(R132=2,"ROJO",IF(R132=1,"ÁMBAR","VERDE")))</f>
      </c>
      <c r="H132" s="26">
        <f>IF(NOT(ISNUMBER(S132)),"",IF(S132=2,"ROJO",IF(S132=1,"ÁMBAR","VERDE")))</f>
      </c>
      <c r="I132" s="26">
        <f>IF(NOT(ISNUMBER(T132)),"",IF(T132=2,"ROJO",IF(T132=1,"ÁMBAR","VERDE")))</f>
      </c>
      <c r="J132" s="26">
        <f>IF(NOT(ISNUMBER(O132)),"",IF(O132=2,"ROJO",IF(O132=1,"ÁMBAR","VERDE")))</f>
      </c>
      <c r="K132" s="26">
        <f>IFERROR(IF(AND(N132=1,LEN(TRIM('DATOS'!N132&amp;""))&gt;0),'DATOS'!N132,""),"Hay una entrada con error. Corregimos el dato antes de cerrar la comprobación.")</f>
      </c>
      <c r="L132" s="26">
        <f>IFERROR(IF(N132=0,"",IF(O132&gt;0,"Completamos datos, claves o motivo. ","")&amp;IF(P132&gt;0,"Cotejamos precios e importe. ","")&amp;IF(Q132&gt;0,"Aclaramos el cero. ","")&amp;IF(R132&gt;0,"Comprobamos el texto. ","")&amp;IF(S132&gt;0,"Revisamos decimales visibles. ","")&amp;IF(T132&gt;0,"Confirmamos la unidad.","")),"Hay una entrada con error. Corregimos el dato antes de cerrar la comprobación.")</f>
      </c>
      <c r="N132" s="29" t="n">
        <f>IF(COUNTA('DATOS'!B132:O132)&gt;0,1,0)</f>
        <v>0</v>
      </c>
      <c r="O132" s="29">
        <f>IFERROR(IF(N132=0,"",IF(OR(NOT(AND(LEN(TRIM('DATOS'!B132&amp;""))&gt;0,TRIM('DATOS'!B132&amp;"")&lt;&gt;"Pendiente",TRIM('DATOS'!B132&amp;"")&lt;&gt;"Por confirmar",TRIM('DATOS'!B132&amp;"")&lt;&gt;"No consta",TRIM('DATOS'!B132&amp;"")&lt;&gt;"Desconocido",TRIM('DATOS'!B132&amp;"")&lt;&gt;"Sin confirmar",TRIM('DATOS'!B132&amp;"")&lt;&gt;"Por decidir",TRIM('DATOS'!B132&amp;"")&lt;&gt;"Por comprobar")),NOT(AND(LEN(TRIM('DATOS'!C132&amp;""))&gt;0,TRIM('DATOS'!C132&amp;"")&lt;&gt;"Pendiente",TRIM('DATOS'!C132&amp;"")&lt;&gt;"Por confirmar",TRIM('DATOS'!C132&amp;"")&lt;&gt;"No consta",TRIM('DATOS'!C132&amp;"")&lt;&gt;"Desconocido",TRIM('DATOS'!C132&amp;"")&lt;&gt;"Sin confirmar",TRIM('DATOS'!C132&amp;"")&lt;&gt;"Por decidir",TRIM('DATOS'!C132&amp;"")&lt;&gt;"Por comprobar")),NOT(AND(LEN(TRIM('DATOS'!D132&amp;""))&gt;0,TRIM('DATOS'!D132&amp;"")&lt;&gt;"Pendiente",TRIM('DATOS'!D132&amp;"")&lt;&gt;"Por confirmar",TRIM('DATOS'!D132&amp;"")&lt;&gt;"No consta",TRIM('DATOS'!D132&amp;"")&lt;&gt;"Desconocido",TRIM('DATOS'!D132&amp;"")&lt;&gt;"Sin confirmar",TRIM('DATOS'!D132&amp;"")&lt;&gt;"Por decidir",TRIM('DATOS'!D132&amp;"")&lt;&gt;"Por comprobar")),NOT(AND(LEN(TRIM('DATOS'!E132&amp;""))&gt;0,TRIM('DATOS'!E132&amp;"")&lt;&gt;"Pendiente",TRIM('DATOS'!E132&amp;"")&lt;&gt;"Por confirmar",TRIM('DATOS'!E132&amp;"")&lt;&gt;"No consta",TRIM('DATOS'!E132&amp;"")&lt;&gt;"Desconocido",TRIM('DATOS'!E132&amp;"")&lt;&gt;"Sin confirmar",TRIM('DATOS'!E132&amp;"")&lt;&gt;"Por decidir",TRIM('DATOS'!E132&amp;"")&lt;&gt;"Por comprobar")),NOT(AND(LEN(TRIM('DATOS'!F132&amp;""))&gt;0,TRIM('DATOS'!F132&amp;"")&lt;&gt;"Pendiente",TRIM('DATOS'!F132&amp;"")&lt;&gt;"Por confirmar",TRIM('DATOS'!F132&amp;"")&lt;&gt;"No consta",TRIM('DATOS'!F132&amp;"")&lt;&gt;"Desconocido",TRIM('DATOS'!F132&amp;"")&lt;&gt;"Sin confirmar",TRIM('DATOS'!F132&amp;"")&lt;&gt;"Por decidir",TRIM('DATOS'!F132&amp;"")&lt;&gt;"Por comprobar")),NOT(AND(LEN(TRIM('DATOS'!N132&amp;""))&gt;0,TRIM('DATOS'!N132&amp;"")&lt;&gt;"Pendiente",TRIM('DATOS'!N132&amp;"")&lt;&gt;"Por confirmar",TRIM('DATOS'!N132&amp;"")&lt;&gt;"No consta",TRIM('DATOS'!N132&amp;"")&lt;&gt;"Desconocido",TRIM('DATOS'!N132&amp;"")&lt;&gt;"Sin confirmar",TRIM('DATOS'!N132&amp;"")&lt;&gt;"Por decidir",TRIM('DATOS'!N132&amp;"")&lt;&gt;"Por comprobar")),NOT(Y132=1),W132&lt;&gt;1,X132&gt;1,NOT(OR(LEN(TRIM('DATOS'!K132&amp;""))=0,'DATOS'!K132="Sin valorar",'DATOS'!K132="Sin coste documentado",'DATOS'!K132="Incluido en otra partida",'DATOS'!K132="Por confirmar")),NOT(OR(LEN(TRIM('DATOS'!M132&amp;""))=0,'DATOS'!M132="Sí",'DATOS'!M132="No",'DATOS'!M132="Por confirmar")),NOT(OR(LEN(TRIM('DATOS'!O132&amp;""))=0,'DATOS'!O132="Comparamos",'DATOS'!O132="No existe",'DATOS'!O132="Por confirmar"))),2,IF(AND(OR('DATOS'!G132&lt;0,'DATOS'!H132&lt;0,'DATOS'!J132&lt;0),NOT(AND(LEN(TRIM('DATOS'!L132&amp;""))&gt;0,TRIM('DATOS'!L132&amp;"")&lt;&gt;"Pendiente",TRIM('DATOS'!L132&amp;"")&lt;&gt;"Por confirmar",TRIM('DATOS'!L132&amp;"")&lt;&gt;"No consta",TRIM('DATOS'!L132&amp;"")&lt;&gt;"Desconocido",TRIM('DATOS'!L132&amp;"")&lt;&gt;"Sin confirmar",TRIM('DATOS'!L132&amp;"")&lt;&gt;"Por decidir",TRIM('DATOS'!L132&amp;"")&lt;&gt;"Por comprobar"))),1,0))),2)</f>
      </c>
      <c r="P132" s="29">
        <f>IFERROR(IF(N132=0,"",IF(NOT(Y132=1),1,IF('REFERENCIAS'!$Q$8&lt;&gt;1,2,IF(ABS('DATOS'!J132-ROUND('DATOS'!G132*'DATOS'!H132,'REFERENCIAS'!$K$8))&gt;0.00000001,2,IF('DATOS'!O132="No existe",IF(LEN(TRIM('DATOS'!I132&amp;""))=0,0,2),IF('DATOS'!O132="Comparamos",IF(LEN(TRIM('DATOS'!I132&amp;""))=0,1,IF(ISNUMBER('DATOS'!I132),IF(ABS('DATOS'!H132-'DATOS'!I132)&gt;0.00000001,2,0),2)),1)))))),2)</f>
      </c>
      <c r="Q132" s="29">
        <f>IFERROR(IF(N132=0,"",IF(NOT(Y132=1),1,IF('DATOS'!K132="Sin valorar",2,IF('DATOS'!G132=0,1,IF(OR('DATOS'!H132=0,'DATOS'!J132=0),IF(AND(OR('DATOS'!K132="Sin coste documentado",'DATOS'!K132="Incluido en otra partida"),AND(LEN(TRIM('DATOS'!L132&amp;""))&gt;0,TRIM('DATOS'!L132&amp;"")&lt;&gt;"Pendiente",TRIM('DATOS'!L132&amp;"")&lt;&gt;"Por confirmar",TRIM('DATOS'!L132&amp;"")&lt;&gt;"No consta",TRIM('DATOS'!L132&amp;"")&lt;&gt;"Desconocido",TRIM('DATOS'!L132&amp;"")&lt;&gt;"Sin confirmar",TRIM('DATOS'!L132&amp;"")&lt;&gt;"Por decidir",TRIM('DATOS'!L132&amp;"")&lt;&gt;"Por comprobar")),0,1),0))))),2)</f>
      </c>
      <c r="R132" s="29">
        <f>IFERROR(IF(N132=0,"",IF(OR(NOT(AND(LEN(TRIM('DATOS'!D132&amp;""))&gt;0,TRIM('DATOS'!D132&amp;"")&lt;&gt;"Pendiente",TRIM('DATOS'!D132&amp;"")&lt;&gt;"Por confirmar",TRIM('DATOS'!D132&amp;"")&lt;&gt;"No consta",TRIM('DATOS'!D132&amp;"")&lt;&gt;"Desconocido",TRIM('DATOS'!D132&amp;"")&lt;&gt;"Sin confirmar",TRIM('DATOS'!D132&amp;"")&lt;&gt;"Por decidir",TRIM('DATOS'!D132&amp;"")&lt;&gt;"Por comprobar")),NOT(AND(LEN(TRIM('DATOS'!E132&amp;""))&gt;0,TRIM('DATOS'!E132&amp;"")&lt;&gt;"Pendiente",TRIM('DATOS'!E132&amp;"")&lt;&gt;"Por confirmar",TRIM('DATOS'!E132&amp;"")&lt;&gt;"No consta",TRIM('DATOS'!E132&amp;"")&lt;&gt;"Desconocido",TRIM('DATOS'!E132&amp;"")&lt;&gt;"Sin confirmar",TRIM('DATOS'!E132&amp;"")&lt;&gt;"Por decidir",TRIM('DATOS'!E132&amp;"")&lt;&gt;"Por comprobar"))),2,IF('DATOS'!M132="No",2,IF('DATOS'!M132="Sí",0,IF(OR('DATOS'!D132&lt;&gt;'DATOS'!E132,LEN('DATOS'!E132)&gt;300,RIGHT(TRIM('DATOS'!E132),3)="...",RIGHT(TRIM('DATOS'!E132),1)="…"),1,0))))),2)</f>
      </c>
      <c r="S132" s="29">
        <f>IFERROR(IF(N132=0,"",IF('REFERENCIAS'!$Q$8&lt;&gt;1,2,IF(NOT(Y132=1),1,IF(OR(ABS('DATOS'!G132-ROUND('DATOS'!G132,'REFERENCIAS'!$E$8))&gt;0.00000001,ABS('DATOS'!H132-ROUND('DATOS'!H132,'REFERENCIAS'!$H$8))&gt;0.00000001,ABS('DATOS'!J132-ROUND('DATOS'!J132,'REFERENCIAS'!$K$8))&gt;0.00000001,IF(ISNUMBER('DATOS'!I132),ABS('DATOS'!I132-ROUND('DATOS'!I132,'REFERENCIAS'!$H$8))&gt;0.00000001,FALSE)),1,0)))),2)</f>
      </c>
      <c r="T132" s="29">
        <f>IFERROR(IF(N132=0,"",IF(NOT(AND(LEN(TRIM('DATOS'!F132&amp;""))&gt;0,TRIM('DATOS'!F132&amp;"")&lt;&gt;"Pendiente",TRIM('DATOS'!F132&amp;"")&lt;&gt;"Por confirmar",TRIM('DATOS'!F132&amp;"")&lt;&gt;"No consta",TRIM('DATOS'!F132&amp;"")&lt;&gt;"Desconocido",TRIM('DATOS'!F132&amp;"")&lt;&gt;"Sin confirmar",TRIM('DATOS'!F132&amp;"")&lt;&gt;"Por decidir",TRIM('DATOS'!F132&amp;"")&lt;&gt;"Por comprobar")),2,IF(COUNTIFS('REFERENCIAS'!$T$15:$T$34,"ID:"&amp;SUBSTITUTE(SUBSTITUTE(SUBSTITUTE(SUBSTITUTE(UPPER(TRIM('DATOS'!F132&amp;"")),"!","!E"),"*","!A"),"?","!B"),"~","!C"),'REFERENCIAS'!$H$15:$H$34,"&lt;&gt;")&gt;0,0,1))),2)</f>
      </c>
      <c r="U132" s="29" t="str">
        <f>'DATOS'!R132</f>
        <v>ID:</v>
      </c>
      <c r="V132" s="29" t="str">
        <f>'DATOS'!S132</f>
        <v>ID:</v>
      </c>
      <c r="W132" s="29" t="n">
        <f>IF(N132=0,0,COUNTIFS('REFERENCIAS'!$R$15:$R$64,U132))</f>
        <v>0</v>
      </c>
      <c r="X132" s="29" t="n">
        <f>IF(N132=0,0,COUNTIFS('DATOS'!$R$10:$R$509,U132,'DATOS'!$S$10:$S$509,V132))</f>
        <v>0</v>
      </c>
      <c r="Y132" s="29" t="n">
        <f>IF(AND(ISNUMBER('DATOS'!G132),ISNUMBER('DATOS'!H132),ISNUMBER('DATOS'!J132)),1,0)</f>
        <v>0</v>
      </c>
    </row>
    <row r="133" ht="64" customHeight="1">
      <c r="B133" s="26">
        <f>IF(N133=1,124,"")</f>
      </c>
      <c r="C133" s="26">
        <f>IF(AND(N133=1,LEN(TRIM('DATOS'!B133&amp;""))&gt;0),'DATOS'!B133,"")</f>
      </c>
      <c r="D133" s="26">
        <f>IF(AND(N133=1,LEN(TRIM('DATOS'!C133&amp;""))&gt;0),'DATOS'!C133,"")</f>
      </c>
      <c r="E133" s="26">
        <f>IF(NOT(ISNUMBER(P133)),"",IF(P133=2,"ROJO",IF(P133=1,"ÁMBAR","VERDE")))</f>
      </c>
      <c r="F133" s="26">
        <f>IF(NOT(ISNUMBER(Q133)),"",IF(Q133=2,"ROJO",IF(Q133=1,"ÁMBAR","VERDE")))</f>
      </c>
      <c r="G133" s="26">
        <f>IF(NOT(ISNUMBER(R133)),"",IF(R133=2,"ROJO",IF(R133=1,"ÁMBAR","VERDE")))</f>
      </c>
      <c r="H133" s="26">
        <f>IF(NOT(ISNUMBER(S133)),"",IF(S133=2,"ROJO",IF(S133=1,"ÁMBAR","VERDE")))</f>
      </c>
      <c r="I133" s="26">
        <f>IF(NOT(ISNUMBER(T133)),"",IF(T133=2,"ROJO",IF(T133=1,"ÁMBAR","VERDE")))</f>
      </c>
      <c r="J133" s="26">
        <f>IF(NOT(ISNUMBER(O133)),"",IF(O133=2,"ROJO",IF(O133=1,"ÁMBAR","VERDE")))</f>
      </c>
      <c r="K133" s="26">
        <f>IFERROR(IF(AND(N133=1,LEN(TRIM('DATOS'!N133&amp;""))&gt;0),'DATOS'!N133,""),"Hay una entrada con error. Corregimos el dato antes de cerrar la comprobación.")</f>
      </c>
      <c r="L133" s="26">
        <f>IFERROR(IF(N133=0,"",IF(O133&gt;0,"Completamos datos, claves o motivo. ","")&amp;IF(P133&gt;0,"Cotejamos precios e importe. ","")&amp;IF(Q133&gt;0,"Aclaramos el cero. ","")&amp;IF(R133&gt;0,"Comprobamos el texto. ","")&amp;IF(S133&gt;0,"Revisamos decimales visibles. ","")&amp;IF(T133&gt;0,"Confirmamos la unidad.","")),"Hay una entrada con error. Corregimos el dato antes de cerrar la comprobación.")</f>
      </c>
      <c r="N133" s="29" t="n">
        <f>IF(COUNTA('DATOS'!B133:O133)&gt;0,1,0)</f>
        <v>0</v>
      </c>
      <c r="O133" s="29">
        <f>IFERROR(IF(N133=0,"",IF(OR(NOT(AND(LEN(TRIM('DATOS'!B133&amp;""))&gt;0,TRIM('DATOS'!B133&amp;"")&lt;&gt;"Pendiente",TRIM('DATOS'!B133&amp;"")&lt;&gt;"Por confirmar",TRIM('DATOS'!B133&amp;"")&lt;&gt;"No consta",TRIM('DATOS'!B133&amp;"")&lt;&gt;"Desconocido",TRIM('DATOS'!B133&amp;"")&lt;&gt;"Sin confirmar",TRIM('DATOS'!B133&amp;"")&lt;&gt;"Por decidir",TRIM('DATOS'!B133&amp;"")&lt;&gt;"Por comprobar")),NOT(AND(LEN(TRIM('DATOS'!C133&amp;""))&gt;0,TRIM('DATOS'!C133&amp;"")&lt;&gt;"Pendiente",TRIM('DATOS'!C133&amp;"")&lt;&gt;"Por confirmar",TRIM('DATOS'!C133&amp;"")&lt;&gt;"No consta",TRIM('DATOS'!C133&amp;"")&lt;&gt;"Desconocido",TRIM('DATOS'!C133&amp;"")&lt;&gt;"Sin confirmar",TRIM('DATOS'!C133&amp;"")&lt;&gt;"Por decidir",TRIM('DATOS'!C133&amp;"")&lt;&gt;"Por comprobar")),NOT(AND(LEN(TRIM('DATOS'!D133&amp;""))&gt;0,TRIM('DATOS'!D133&amp;"")&lt;&gt;"Pendiente",TRIM('DATOS'!D133&amp;"")&lt;&gt;"Por confirmar",TRIM('DATOS'!D133&amp;"")&lt;&gt;"No consta",TRIM('DATOS'!D133&amp;"")&lt;&gt;"Desconocido",TRIM('DATOS'!D133&amp;"")&lt;&gt;"Sin confirmar",TRIM('DATOS'!D133&amp;"")&lt;&gt;"Por decidir",TRIM('DATOS'!D133&amp;"")&lt;&gt;"Por comprobar")),NOT(AND(LEN(TRIM('DATOS'!E133&amp;""))&gt;0,TRIM('DATOS'!E133&amp;"")&lt;&gt;"Pendiente",TRIM('DATOS'!E133&amp;"")&lt;&gt;"Por confirmar",TRIM('DATOS'!E133&amp;"")&lt;&gt;"No consta",TRIM('DATOS'!E133&amp;"")&lt;&gt;"Desconocido",TRIM('DATOS'!E133&amp;"")&lt;&gt;"Sin confirmar",TRIM('DATOS'!E133&amp;"")&lt;&gt;"Por decidir",TRIM('DATOS'!E133&amp;"")&lt;&gt;"Por comprobar")),NOT(AND(LEN(TRIM('DATOS'!F133&amp;""))&gt;0,TRIM('DATOS'!F133&amp;"")&lt;&gt;"Pendiente",TRIM('DATOS'!F133&amp;"")&lt;&gt;"Por confirmar",TRIM('DATOS'!F133&amp;"")&lt;&gt;"No consta",TRIM('DATOS'!F133&amp;"")&lt;&gt;"Desconocido",TRIM('DATOS'!F133&amp;"")&lt;&gt;"Sin confirmar",TRIM('DATOS'!F133&amp;"")&lt;&gt;"Por decidir",TRIM('DATOS'!F133&amp;"")&lt;&gt;"Por comprobar")),NOT(AND(LEN(TRIM('DATOS'!N133&amp;""))&gt;0,TRIM('DATOS'!N133&amp;"")&lt;&gt;"Pendiente",TRIM('DATOS'!N133&amp;"")&lt;&gt;"Por confirmar",TRIM('DATOS'!N133&amp;"")&lt;&gt;"No consta",TRIM('DATOS'!N133&amp;"")&lt;&gt;"Desconocido",TRIM('DATOS'!N133&amp;"")&lt;&gt;"Sin confirmar",TRIM('DATOS'!N133&amp;"")&lt;&gt;"Por decidir",TRIM('DATOS'!N133&amp;"")&lt;&gt;"Por comprobar")),NOT(Y133=1),W133&lt;&gt;1,X133&gt;1,NOT(OR(LEN(TRIM('DATOS'!K133&amp;""))=0,'DATOS'!K133="Sin valorar",'DATOS'!K133="Sin coste documentado",'DATOS'!K133="Incluido en otra partida",'DATOS'!K133="Por confirmar")),NOT(OR(LEN(TRIM('DATOS'!M133&amp;""))=0,'DATOS'!M133="Sí",'DATOS'!M133="No",'DATOS'!M133="Por confirmar")),NOT(OR(LEN(TRIM('DATOS'!O133&amp;""))=0,'DATOS'!O133="Comparamos",'DATOS'!O133="No existe",'DATOS'!O133="Por confirmar"))),2,IF(AND(OR('DATOS'!G133&lt;0,'DATOS'!H133&lt;0,'DATOS'!J133&lt;0),NOT(AND(LEN(TRIM('DATOS'!L133&amp;""))&gt;0,TRIM('DATOS'!L133&amp;"")&lt;&gt;"Pendiente",TRIM('DATOS'!L133&amp;"")&lt;&gt;"Por confirmar",TRIM('DATOS'!L133&amp;"")&lt;&gt;"No consta",TRIM('DATOS'!L133&amp;"")&lt;&gt;"Desconocido",TRIM('DATOS'!L133&amp;"")&lt;&gt;"Sin confirmar",TRIM('DATOS'!L133&amp;"")&lt;&gt;"Por decidir",TRIM('DATOS'!L133&amp;"")&lt;&gt;"Por comprobar"))),1,0))),2)</f>
      </c>
      <c r="P133" s="29">
        <f>IFERROR(IF(N133=0,"",IF(NOT(Y133=1),1,IF('REFERENCIAS'!$Q$8&lt;&gt;1,2,IF(ABS('DATOS'!J133-ROUND('DATOS'!G133*'DATOS'!H133,'REFERENCIAS'!$K$8))&gt;0.00000001,2,IF('DATOS'!O133="No existe",IF(LEN(TRIM('DATOS'!I133&amp;""))=0,0,2),IF('DATOS'!O133="Comparamos",IF(LEN(TRIM('DATOS'!I133&amp;""))=0,1,IF(ISNUMBER('DATOS'!I133),IF(ABS('DATOS'!H133-'DATOS'!I133)&gt;0.00000001,2,0),2)),1)))))),2)</f>
      </c>
      <c r="Q133" s="29">
        <f>IFERROR(IF(N133=0,"",IF(NOT(Y133=1),1,IF('DATOS'!K133="Sin valorar",2,IF('DATOS'!G133=0,1,IF(OR('DATOS'!H133=0,'DATOS'!J133=0),IF(AND(OR('DATOS'!K133="Sin coste documentado",'DATOS'!K133="Incluido en otra partida"),AND(LEN(TRIM('DATOS'!L133&amp;""))&gt;0,TRIM('DATOS'!L133&amp;"")&lt;&gt;"Pendiente",TRIM('DATOS'!L133&amp;"")&lt;&gt;"Por confirmar",TRIM('DATOS'!L133&amp;"")&lt;&gt;"No consta",TRIM('DATOS'!L133&amp;"")&lt;&gt;"Desconocido",TRIM('DATOS'!L133&amp;"")&lt;&gt;"Sin confirmar",TRIM('DATOS'!L133&amp;"")&lt;&gt;"Por decidir",TRIM('DATOS'!L133&amp;"")&lt;&gt;"Por comprobar")),0,1),0))))),2)</f>
      </c>
      <c r="R133" s="29">
        <f>IFERROR(IF(N133=0,"",IF(OR(NOT(AND(LEN(TRIM('DATOS'!D133&amp;""))&gt;0,TRIM('DATOS'!D133&amp;"")&lt;&gt;"Pendiente",TRIM('DATOS'!D133&amp;"")&lt;&gt;"Por confirmar",TRIM('DATOS'!D133&amp;"")&lt;&gt;"No consta",TRIM('DATOS'!D133&amp;"")&lt;&gt;"Desconocido",TRIM('DATOS'!D133&amp;"")&lt;&gt;"Sin confirmar",TRIM('DATOS'!D133&amp;"")&lt;&gt;"Por decidir",TRIM('DATOS'!D133&amp;"")&lt;&gt;"Por comprobar")),NOT(AND(LEN(TRIM('DATOS'!E133&amp;""))&gt;0,TRIM('DATOS'!E133&amp;"")&lt;&gt;"Pendiente",TRIM('DATOS'!E133&amp;"")&lt;&gt;"Por confirmar",TRIM('DATOS'!E133&amp;"")&lt;&gt;"No consta",TRIM('DATOS'!E133&amp;"")&lt;&gt;"Desconocido",TRIM('DATOS'!E133&amp;"")&lt;&gt;"Sin confirmar",TRIM('DATOS'!E133&amp;"")&lt;&gt;"Por decidir",TRIM('DATOS'!E133&amp;"")&lt;&gt;"Por comprobar"))),2,IF('DATOS'!M133="No",2,IF('DATOS'!M133="Sí",0,IF(OR('DATOS'!D133&lt;&gt;'DATOS'!E133,LEN('DATOS'!E133)&gt;300,RIGHT(TRIM('DATOS'!E133),3)="...",RIGHT(TRIM('DATOS'!E133),1)="…"),1,0))))),2)</f>
      </c>
      <c r="S133" s="29">
        <f>IFERROR(IF(N133=0,"",IF('REFERENCIAS'!$Q$8&lt;&gt;1,2,IF(NOT(Y133=1),1,IF(OR(ABS('DATOS'!G133-ROUND('DATOS'!G133,'REFERENCIAS'!$E$8))&gt;0.00000001,ABS('DATOS'!H133-ROUND('DATOS'!H133,'REFERENCIAS'!$H$8))&gt;0.00000001,ABS('DATOS'!J133-ROUND('DATOS'!J133,'REFERENCIAS'!$K$8))&gt;0.00000001,IF(ISNUMBER('DATOS'!I133),ABS('DATOS'!I133-ROUND('DATOS'!I133,'REFERENCIAS'!$H$8))&gt;0.00000001,FALSE)),1,0)))),2)</f>
      </c>
      <c r="T133" s="29">
        <f>IFERROR(IF(N133=0,"",IF(NOT(AND(LEN(TRIM('DATOS'!F133&amp;""))&gt;0,TRIM('DATOS'!F133&amp;"")&lt;&gt;"Pendiente",TRIM('DATOS'!F133&amp;"")&lt;&gt;"Por confirmar",TRIM('DATOS'!F133&amp;"")&lt;&gt;"No consta",TRIM('DATOS'!F133&amp;"")&lt;&gt;"Desconocido",TRIM('DATOS'!F133&amp;"")&lt;&gt;"Sin confirmar",TRIM('DATOS'!F133&amp;"")&lt;&gt;"Por decidir",TRIM('DATOS'!F133&amp;"")&lt;&gt;"Por comprobar")),2,IF(COUNTIFS('REFERENCIAS'!$T$15:$T$34,"ID:"&amp;SUBSTITUTE(SUBSTITUTE(SUBSTITUTE(SUBSTITUTE(UPPER(TRIM('DATOS'!F133&amp;"")),"!","!E"),"*","!A"),"?","!B"),"~","!C"),'REFERENCIAS'!$H$15:$H$34,"&lt;&gt;")&gt;0,0,1))),2)</f>
      </c>
      <c r="U133" s="29" t="str">
        <f>'DATOS'!R133</f>
        <v>ID:</v>
      </c>
      <c r="V133" s="29" t="str">
        <f>'DATOS'!S133</f>
        <v>ID:</v>
      </c>
      <c r="W133" s="29" t="n">
        <f>IF(N133=0,0,COUNTIFS('REFERENCIAS'!$R$15:$R$64,U133))</f>
        <v>0</v>
      </c>
      <c r="X133" s="29" t="n">
        <f>IF(N133=0,0,COUNTIFS('DATOS'!$R$10:$R$509,U133,'DATOS'!$S$10:$S$509,V133))</f>
        <v>0</v>
      </c>
      <c r="Y133" s="29" t="n">
        <f>IF(AND(ISNUMBER('DATOS'!G133),ISNUMBER('DATOS'!H133),ISNUMBER('DATOS'!J133)),1,0)</f>
        <v>0</v>
      </c>
    </row>
    <row r="134" ht="64" customHeight="1">
      <c r="B134" s="26">
        <f>IF(N134=1,125,"")</f>
      </c>
      <c r="C134" s="26">
        <f>IF(AND(N134=1,LEN(TRIM('DATOS'!B134&amp;""))&gt;0),'DATOS'!B134,"")</f>
      </c>
      <c r="D134" s="26">
        <f>IF(AND(N134=1,LEN(TRIM('DATOS'!C134&amp;""))&gt;0),'DATOS'!C134,"")</f>
      </c>
      <c r="E134" s="26">
        <f>IF(NOT(ISNUMBER(P134)),"",IF(P134=2,"ROJO",IF(P134=1,"ÁMBAR","VERDE")))</f>
      </c>
      <c r="F134" s="26">
        <f>IF(NOT(ISNUMBER(Q134)),"",IF(Q134=2,"ROJO",IF(Q134=1,"ÁMBAR","VERDE")))</f>
      </c>
      <c r="G134" s="26">
        <f>IF(NOT(ISNUMBER(R134)),"",IF(R134=2,"ROJO",IF(R134=1,"ÁMBAR","VERDE")))</f>
      </c>
      <c r="H134" s="26">
        <f>IF(NOT(ISNUMBER(S134)),"",IF(S134=2,"ROJO",IF(S134=1,"ÁMBAR","VERDE")))</f>
      </c>
      <c r="I134" s="26">
        <f>IF(NOT(ISNUMBER(T134)),"",IF(T134=2,"ROJO",IF(T134=1,"ÁMBAR","VERDE")))</f>
      </c>
      <c r="J134" s="26">
        <f>IF(NOT(ISNUMBER(O134)),"",IF(O134=2,"ROJO",IF(O134=1,"ÁMBAR","VERDE")))</f>
      </c>
      <c r="K134" s="26">
        <f>IFERROR(IF(AND(N134=1,LEN(TRIM('DATOS'!N134&amp;""))&gt;0),'DATOS'!N134,""),"Hay una entrada con error. Corregimos el dato antes de cerrar la comprobación.")</f>
      </c>
      <c r="L134" s="26">
        <f>IFERROR(IF(N134=0,"",IF(O134&gt;0,"Completamos datos, claves o motivo. ","")&amp;IF(P134&gt;0,"Cotejamos precios e importe. ","")&amp;IF(Q134&gt;0,"Aclaramos el cero. ","")&amp;IF(R134&gt;0,"Comprobamos el texto. ","")&amp;IF(S134&gt;0,"Revisamos decimales visibles. ","")&amp;IF(T134&gt;0,"Confirmamos la unidad.","")),"Hay una entrada con error. Corregimos el dato antes de cerrar la comprobación.")</f>
      </c>
      <c r="N134" s="29" t="n">
        <f>IF(COUNTA('DATOS'!B134:O134)&gt;0,1,0)</f>
        <v>0</v>
      </c>
      <c r="O134" s="29">
        <f>IFERROR(IF(N134=0,"",IF(OR(NOT(AND(LEN(TRIM('DATOS'!B134&amp;""))&gt;0,TRIM('DATOS'!B134&amp;"")&lt;&gt;"Pendiente",TRIM('DATOS'!B134&amp;"")&lt;&gt;"Por confirmar",TRIM('DATOS'!B134&amp;"")&lt;&gt;"No consta",TRIM('DATOS'!B134&amp;"")&lt;&gt;"Desconocido",TRIM('DATOS'!B134&amp;"")&lt;&gt;"Sin confirmar",TRIM('DATOS'!B134&amp;"")&lt;&gt;"Por decidir",TRIM('DATOS'!B134&amp;"")&lt;&gt;"Por comprobar")),NOT(AND(LEN(TRIM('DATOS'!C134&amp;""))&gt;0,TRIM('DATOS'!C134&amp;"")&lt;&gt;"Pendiente",TRIM('DATOS'!C134&amp;"")&lt;&gt;"Por confirmar",TRIM('DATOS'!C134&amp;"")&lt;&gt;"No consta",TRIM('DATOS'!C134&amp;"")&lt;&gt;"Desconocido",TRIM('DATOS'!C134&amp;"")&lt;&gt;"Sin confirmar",TRIM('DATOS'!C134&amp;"")&lt;&gt;"Por decidir",TRIM('DATOS'!C134&amp;"")&lt;&gt;"Por comprobar")),NOT(AND(LEN(TRIM('DATOS'!D134&amp;""))&gt;0,TRIM('DATOS'!D134&amp;"")&lt;&gt;"Pendiente",TRIM('DATOS'!D134&amp;"")&lt;&gt;"Por confirmar",TRIM('DATOS'!D134&amp;"")&lt;&gt;"No consta",TRIM('DATOS'!D134&amp;"")&lt;&gt;"Desconocido",TRIM('DATOS'!D134&amp;"")&lt;&gt;"Sin confirmar",TRIM('DATOS'!D134&amp;"")&lt;&gt;"Por decidir",TRIM('DATOS'!D134&amp;"")&lt;&gt;"Por comprobar")),NOT(AND(LEN(TRIM('DATOS'!E134&amp;""))&gt;0,TRIM('DATOS'!E134&amp;"")&lt;&gt;"Pendiente",TRIM('DATOS'!E134&amp;"")&lt;&gt;"Por confirmar",TRIM('DATOS'!E134&amp;"")&lt;&gt;"No consta",TRIM('DATOS'!E134&amp;"")&lt;&gt;"Desconocido",TRIM('DATOS'!E134&amp;"")&lt;&gt;"Sin confirmar",TRIM('DATOS'!E134&amp;"")&lt;&gt;"Por decidir",TRIM('DATOS'!E134&amp;"")&lt;&gt;"Por comprobar")),NOT(AND(LEN(TRIM('DATOS'!F134&amp;""))&gt;0,TRIM('DATOS'!F134&amp;"")&lt;&gt;"Pendiente",TRIM('DATOS'!F134&amp;"")&lt;&gt;"Por confirmar",TRIM('DATOS'!F134&amp;"")&lt;&gt;"No consta",TRIM('DATOS'!F134&amp;"")&lt;&gt;"Desconocido",TRIM('DATOS'!F134&amp;"")&lt;&gt;"Sin confirmar",TRIM('DATOS'!F134&amp;"")&lt;&gt;"Por decidir",TRIM('DATOS'!F134&amp;"")&lt;&gt;"Por comprobar")),NOT(AND(LEN(TRIM('DATOS'!N134&amp;""))&gt;0,TRIM('DATOS'!N134&amp;"")&lt;&gt;"Pendiente",TRIM('DATOS'!N134&amp;"")&lt;&gt;"Por confirmar",TRIM('DATOS'!N134&amp;"")&lt;&gt;"No consta",TRIM('DATOS'!N134&amp;"")&lt;&gt;"Desconocido",TRIM('DATOS'!N134&amp;"")&lt;&gt;"Sin confirmar",TRIM('DATOS'!N134&amp;"")&lt;&gt;"Por decidir",TRIM('DATOS'!N134&amp;"")&lt;&gt;"Por comprobar")),NOT(Y134=1),W134&lt;&gt;1,X134&gt;1,NOT(OR(LEN(TRIM('DATOS'!K134&amp;""))=0,'DATOS'!K134="Sin valorar",'DATOS'!K134="Sin coste documentado",'DATOS'!K134="Incluido en otra partida",'DATOS'!K134="Por confirmar")),NOT(OR(LEN(TRIM('DATOS'!M134&amp;""))=0,'DATOS'!M134="Sí",'DATOS'!M134="No",'DATOS'!M134="Por confirmar")),NOT(OR(LEN(TRIM('DATOS'!O134&amp;""))=0,'DATOS'!O134="Comparamos",'DATOS'!O134="No existe",'DATOS'!O134="Por confirmar"))),2,IF(AND(OR('DATOS'!G134&lt;0,'DATOS'!H134&lt;0,'DATOS'!J134&lt;0),NOT(AND(LEN(TRIM('DATOS'!L134&amp;""))&gt;0,TRIM('DATOS'!L134&amp;"")&lt;&gt;"Pendiente",TRIM('DATOS'!L134&amp;"")&lt;&gt;"Por confirmar",TRIM('DATOS'!L134&amp;"")&lt;&gt;"No consta",TRIM('DATOS'!L134&amp;"")&lt;&gt;"Desconocido",TRIM('DATOS'!L134&amp;"")&lt;&gt;"Sin confirmar",TRIM('DATOS'!L134&amp;"")&lt;&gt;"Por decidir",TRIM('DATOS'!L134&amp;"")&lt;&gt;"Por comprobar"))),1,0))),2)</f>
      </c>
      <c r="P134" s="29">
        <f>IFERROR(IF(N134=0,"",IF(NOT(Y134=1),1,IF('REFERENCIAS'!$Q$8&lt;&gt;1,2,IF(ABS('DATOS'!J134-ROUND('DATOS'!G134*'DATOS'!H134,'REFERENCIAS'!$K$8))&gt;0.00000001,2,IF('DATOS'!O134="No existe",IF(LEN(TRIM('DATOS'!I134&amp;""))=0,0,2),IF('DATOS'!O134="Comparamos",IF(LEN(TRIM('DATOS'!I134&amp;""))=0,1,IF(ISNUMBER('DATOS'!I134),IF(ABS('DATOS'!H134-'DATOS'!I134)&gt;0.00000001,2,0),2)),1)))))),2)</f>
      </c>
      <c r="Q134" s="29">
        <f>IFERROR(IF(N134=0,"",IF(NOT(Y134=1),1,IF('DATOS'!K134="Sin valorar",2,IF('DATOS'!G134=0,1,IF(OR('DATOS'!H134=0,'DATOS'!J134=0),IF(AND(OR('DATOS'!K134="Sin coste documentado",'DATOS'!K134="Incluido en otra partida"),AND(LEN(TRIM('DATOS'!L134&amp;""))&gt;0,TRIM('DATOS'!L134&amp;"")&lt;&gt;"Pendiente",TRIM('DATOS'!L134&amp;"")&lt;&gt;"Por confirmar",TRIM('DATOS'!L134&amp;"")&lt;&gt;"No consta",TRIM('DATOS'!L134&amp;"")&lt;&gt;"Desconocido",TRIM('DATOS'!L134&amp;"")&lt;&gt;"Sin confirmar",TRIM('DATOS'!L134&amp;"")&lt;&gt;"Por decidir",TRIM('DATOS'!L134&amp;"")&lt;&gt;"Por comprobar")),0,1),0))))),2)</f>
      </c>
      <c r="R134" s="29">
        <f>IFERROR(IF(N134=0,"",IF(OR(NOT(AND(LEN(TRIM('DATOS'!D134&amp;""))&gt;0,TRIM('DATOS'!D134&amp;"")&lt;&gt;"Pendiente",TRIM('DATOS'!D134&amp;"")&lt;&gt;"Por confirmar",TRIM('DATOS'!D134&amp;"")&lt;&gt;"No consta",TRIM('DATOS'!D134&amp;"")&lt;&gt;"Desconocido",TRIM('DATOS'!D134&amp;"")&lt;&gt;"Sin confirmar",TRIM('DATOS'!D134&amp;"")&lt;&gt;"Por decidir",TRIM('DATOS'!D134&amp;"")&lt;&gt;"Por comprobar")),NOT(AND(LEN(TRIM('DATOS'!E134&amp;""))&gt;0,TRIM('DATOS'!E134&amp;"")&lt;&gt;"Pendiente",TRIM('DATOS'!E134&amp;"")&lt;&gt;"Por confirmar",TRIM('DATOS'!E134&amp;"")&lt;&gt;"No consta",TRIM('DATOS'!E134&amp;"")&lt;&gt;"Desconocido",TRIM('DATOS'!E134&amp;"")&lt;&gt;"Sin confirmar",TRIM('DATOS'!E134&amp;"")&lt;&gt;"Por decidir",TRIM('DATOS'!E134&amp;"")&lt;&gt;"Por comprobar"))),2,IF('DATOS'!M134="No",2,IF('DATOS'!M134="Sí",0,IF(OR('DATOS'!D134&lt;&gt;'DATOS'!E134,LEN('DATOS'!E134)&gt;300,RIGHT(TRIM('DATOS'!E134),3)="...",RIGHT(TRIM('DATOS'!E134),1)="…"),1,0))))),2)</f>
      </c>
      <c r="S134" s="29">
        <f>IFERROR(IF(N134=0,"",IF('REFERENCIAS'!$Q$8&lt;&gt;1,2,IF(NOT(Y134=1),1,IF(OR(ABS('DATOS'!G134-ROUND('DATOS'!G134,'REFERENCIAS'!$E$8))&gt;0.00000001,ABS('DATOS'!H134-ROUND('DATOS'!H134,'REFERENCIAS'!$H$8))&gt;0.00000001,ABS('DATOS'!J134-ROUND('DATOS'!J134,'REFERENCIAS'!$K$8))&gt;0.00000001,IF(ISNUMBER('DATOS'!I134),ABS('DATOS'!I134-ROUND('DATOS'!I134,'REFERENCIAS'!$H$8))&gt;0.00000001,FALSE)),1,0)))),2)</f>
      </c>
      <c r="T134" s="29">
        <f>IFERROR(IF(N134=0,"",IF(NOT(AND(LEN(TRIM('DATOS'!F134&amp;""))&gt;0,TRIM('DATOS'!F134&amp;"")&lt;&gt;"Pendiente",TRIM('DATOS'!F134&amp;"")&lt;&gt;"Por confirmar",TRIM('DATOS'!F134&amp;"")&lt;&gt;"No consta",TRIM('DATOS'!F134&amp;"")&lt;&gt;"Desconocido",TRIM('DATOS'!F134&amp;"")&lt;&gt;"Sin confirmar",TRIM('DATOS'!F134&amp;"")&lt;&gt;"Por decidir",TRIM('DATOS'!F134&amp;"")&lt;&gt;"Por comprobar")),2,IF(COUNTIFS('REFERENCIAS'!$T$15:$T$34,"ID:"&amp;SUBSTITUTE(SUBSTITUTE(SUBSTITUTE(SUBSTITUTE(UPPER(TRIM('DATOS'!F134&amp;"")),"!","!E"),"*","!A"),"?","!B"),"~","!C"),'REFERENCIAS'!$H$15:$H$34,"&lt;&gt;")&gt;0,0,1))),2)</f>
      </c>
      <c r="U134" s="29" t="str">
        <f>'DATOS'!R134</f>
        <v>ID:</v>
      </c>
      <c r="V134" s="29" t="str">
        <f>'DATOS'!S134</f>
        <v>ID:</v>
      </c>
      <c r="W134" s="29" t="n">
        <f>IF(N134=0,0,COUNTIFS('REFERENCIAS'!$R$15:$R$64,U134))</f>
        <v>0</v>
      </c>
      <c r="X134" s="29" t="n">
        <f>IF(N134=0,0,COUNTIFS('DATOS'!$R$10:$R$509,U134,'DATOS'!$S$10:$S$509,V134))</f>
        <v>0</v>
      </c>
      <c r="Y134" s="29" t="n">
        <f>IF(AND(ISNUMBER('DATOS'!G134),ISNUMBER('DATOS'!H134),ISNUMBER('DATOS'!J134)),1,0)</f>
        <v>0</v>
      </c>
    </row>
    <row r="135" ht="64" customHeight="1">
      <c r="B135" s="26">
        <f>IF(N135=1,126,"")</f>
      </c>
      <c r="C135" s="26">
        <f>IF(AND(N135=1,LEN(TRIM('DATOS'!B135&amp;""))&gt;0),'DATOS'!B135,"")</f>
      </c>
      <c r="D135" s="26">
        <f>IF(AND(N135=1,LEN(TRIM('DATOS'!C135&amp;""))&gt;0),'DATOS'!C135,"")</f>
      </c>
      <c r="E135" s="26">
        <f>IF(NOT(ISNUMBER(P135)),"",IF(P135=2,"ROJO",IF(P135=1,"ÁMBAR","VERDE")))</f>
      </c>
      <c r="F135" s="26">
        <f>IF(NOT(ISNUMBER(Q135)),"",IF(Q135=2,"ROJO",IF(Q135=1,"ÁMBAR","VERDE")))</f>
      </c>
      <c r="G135" s="26">
        <f>IF(NOT(ISNUMBER(R135)),"",IF(R135=2,"ROJO",IF(R135=1,"ÁMBAR","VERDE")))</f>
      </c>
      <c r="H135" s="26">
        <f>IF(NOT(ISNUMBER(S135)),"",IF(S135=2,"ROJO",IF(S135=1,"ÁMBAR","VERDE")))</f>
      </c>
      <c r="I135" s="26">
        <f>IF(NOT(ISNUMBER(T135)),"",IF(T135=2,"ROJO",IF(T135=1,"ÁMBAR","VERDE")))</f>
      </c>
      <c r="J135" s="26">
        <f>IF(NOT(ISNUMBER(O135)),"",IF(O135=2,"ROJO",IF(O135=1,"ÁMBAR","VERDE")))</f>
      </c>
      <c r="K135" s="26">
        <f>IFERROR(IF(AND(N135=1,LEN(TRIM('DATOS'!N135&amp;""))&gt;0),'DATOS'!N135,""),"Hay una entrada con error. Corregimos el dato antes de cerrar la comprobación.")</f>
      </c>
      <c r="L135" s="26">
        <f>IFERROR(IF(N135=0,"",IF(O135&gt;0,"Completamos datos, claves o motivo. ","")&amp;IF(P135&gt;0,"Cotejamos precios e importe. ","")&amp;IF(Q135&gt;0,"Aclaramos el cero. ","")&amp;IF(R135&gt;0,"Comprobamos el texto. ","")&amp;IF(S135&gt;0,"Revisamos decimales visibles. ","")&amp;IF(T135&gt;0,"Confirmamos la unidad.","")),"Hay una entrada con error. Corregimos el dato antes de cerrar la comprobación.")</f>
      </c>
      <c r="N135" s="29" t="n">
        <f>IF(COUNTA('DATOS'!B135:O135)&gt;0,1,0)</f>
        <v>0</v>
      </c>
      <c r="O135" s="29">
        <f>IFERROR(IF(N135=0,"",IF(OR(NOT(AND(LEN(TRIM('DATOS'!B135&amp;""))&gt;0,TRIM('DATOS'!B135&amp;"")&lt;&gt;"Pendiente",TRIM('DATOS'!B135&amp;"")&lt;&gt;"Por confirmar",TRIM('DATOS'!B135&amp;"")&lt;&gt;"No consta",TRIM('DATOS'!B135&amp;"")&lt;&gt;"Desconocido",TRIM('DATOS'!B135&amp;"")&lt;&gt;"Sin confirmar",TRIM('DATOS'!B135&amp;"")&lt;&gt;"Por decidir",TRIM('DATOS'!B135&amp;"")&lt;&gt;"Por comprobar")),NOT(AND(LEN(TRIM('DATOS'!C135&amp;""))&gt;0,TRIM('DATOS'!C135&amp;"")&lt;&gt;"Pendiente",TRIM('DATOS'!C135&amp;"")&lt;&gt;"Por confirmar",TRIM('DATOS'!C135&amp;"")&lt;&gt;"No consta",TRIM('DATOS'!C135&amp;"")&lt;&gt;"Desconocido",TRIM('DATOS'!C135&amp;"")&lt;&gt;"Sin confirmar",TRIM('DATOS'!C135&amp;"")&lt;&gt;"Por decidir",TRIM('DATOS'!C135&amp;"")&lt;&gt;"Por comprobar")),NOT(AND(LEN(TRIM('DATOS'!D135&amp;""))&gt;0,TRIM('DATOS'!D135&amp;"")&lt;&gt;"Pendiente",TRIM('DATOS'!D135&amp;"")&lt;&gt;"Por confirmar",TRIM('DATOS'!D135&amp;"")&lt;&gt;"No consta",TRIM('DATOS'!D135&amp;"")&lt;&gt;"Desconocido",TRIM('DATOS'!D135&amp;"")&lt;&gt;"Sin confirmar",TRIM('DATOS'!D135&amp;"")&lt;&gt;"Por decidir",TRIM('DATOS'!D135&amp;"")&lt;&gt;"Por comprobar")),NOT(AND(LEN(TRIM('DATOS'!E135&amp;""))&gt;0,TRIM('DATOS'!E135&amp;"")&lt;&gt;"Pendiente",TRIM('DATOS'!E135&amp;"")&lt;&gt;"Por confirmar",TRIM('DATOS'!E135&amp;"")&lt;&gt;"No consta",TRIM('DATOS'!E135&amp;"")&lt;&gt;"Desconocido",TRIM('DATOS'!E135&amp;"")&lt;&gt;"Sin confirmar",TRIM('DATOS'!E135&amp;"")&lt;&gt;"Por decidir",TRIM('DATOS'!E135&amp;"")&lt;&gt;"Por comprobar")),NOT(AND(LEN(TRIM('DATOS'!F135&amp;""))&gt;0,TRIM('DATOS'!F135&amp;"")&lt;&gt;"Pendiente",TRIM('DATOS'!F135&amp;"")&lt;&gt;"Por confirmar",TRIM('DATOS'!F135&amp;"")&lt;&gt;"No consta",TRIM('DATOS'!F135&amp;"")&lt;&gt;"Desconocido",TRIM('DATOS'!F135&amp;"")&lt;&gt;"Sin confirmar",TRIM('DATOS'!F135&amp;"")&lt;&gt;"Por decidir",TRIM('DATOS'!F135&amp;"")&lt;&gt;"Por comprobar")),NOT(AND(LEN(TRIM('DATOS'!N135&amp;""))&gt;0,TRIM('DATOS'!N135&amp;"")&lt;&gt;"Pendiente",TRIM('DATOS'!N135&amp;"")&lt;&gt;"Por confirmar",TRIM('DATOS'!N135&amp;"")&lt;&gt;"No consta",TRIM('DATOS'!N135&amp;"")&lt;&gt;"Desconocido",TRIM('DATOS'!N135&amp;"")&lt;&gt;"Sin confirmar",TRIM('DATOS'!N135&amp;"")&lt;&gt;"Por decidir",TRIM('DATOS'!N135&amp;"")&lt;&gt;"Por comprobar")),NOT(Y135=1),W135&lt;&gt;1,X135&gt;1,NOT(OR(LEN(TRIM('DATOS'!K135&amp;""))=0,'DATOS'!K135="Sin valorar",'DATOS'!K135="Sin coste documentado",'DATOS'!K135="Incluido en otra partida",'DATOS'!K135="Por confirmar")),NOT(OR(LEN(TRIM('DATOS'!M135&amp;""))=0,'DATOS'!M135="Sí",'DATOS'!M135="No",'DATOS'!M135="Por confirmar")),NOT(OR(LEN(TRIM('DATOS'!O135&amp;""))=0,'DATOS'!O135="Comparamos",'DATOS'!O135="No existe",'DATOS'!O135="Por confirmar"))),2,IF(AND(OR('DATOS'!G135&lt;0,'DATOS'!H135&lt;0,'DATOS'!J135&lt;0),NOT(AND(LEN(TRIM('DATOS'!L135&amp;""))&gt;0,TRIM('DATOS'!L135&amp;"")&lt;&gt;"Pendiente",TRIM('DATOS'!L135&amp;"")&lt;&gt;"Por confirmar",TRIM('DATOS'!L135&amp;"")&lt;&gt;"No consta",TRIM('DATOS'!L135&amp;"")&lt;&gt;"Desconocido",TRIM('DATOS'!L135&amp;"")&lt;&gt;"Sin confirmar",TRIM('DATOS'!L135&amp;"")&lt;&gt;"Por decidir",TRIM('DATOS'!L135&amp;"")&lt;&gt;"Por comprobar"))),1,0))),2)</f>
      </c>
      <c r="P135" s="29">
        <f>IFERROR(IF(N135=0,"",IF(NOT(Y135=1),1,IF('REFERENCIAS'!$Q$8&lt;&gt;1,2,IF(ABS('DATOS'!J135-ROUND('DATOS'!G135*'DATOS'!H135,'REFERENCIAS'!$K$8))&gt;0.00000001,2,IF('DATOS'!O135="No existe",IF(LEN(TRIM('DATOS'!I135&amp;""))=0,0,2),IF('DATOS'!O135="Comparamos",IF(LEN(TRIM('DATOS'!I135&amp;""))=0,1,IF(ISNUMBER('DATOS'!I135),IF(ABS('DATOS'!H135-'DATOS'!I135)&gt;0.00000001,2,0),2)),1)))))),2)</f>
      </c>
      <c r="Q135" s="29">
        <f>IFERROR(IF(N135=0,"",IF(NOT(Y135=1),1,IF('DATOS'!K135="Sin valorar",2,IF('DATOS'!G135=0,1,IF(OR('DATOS'!H135=0,'DATOS'!J135=0),IF(AND(OR('DATOS'!K135="Sin coste documentado",'DATOS'!K135="Incluido en otra partida"),AND(LEN(TRIM('DATOS'!L135&amp;""))&gt;0,TRIM('DATOS'!L135&amp;"")&lt;&gt;"Pendiente",TRIM('DATOS'!L135&amp;"")&lt;&gt;"Por confirmar",TRIM('DATOS'!L135&amp;"")&lt;&gt;"No consta",TRIM('DATOS'!L135&amp;"")&lt;&gt;"Desconocido",TRIM('DATOS'!L135&amp;"")&lt;&gt;"Sin confirmar",TRIM('DATOS'!L135&amp;"")&lt;&gt;"Por decidir",TRIM('DATOS'!L135&amp;"")&lt;&gt;"Por comprobar")),0,1),0))))),2)</f>
      </c>
      <c r="R135" s="29">
        <f>IFERROR(IF(N135=0,"",IF(OR(NOT(AND(LEN(TRIM('DATOS'!D135&amp;""))&gt;0,TRIM('DATOS'!D135&amp;"")&lt;&gt;"Pendiente",TRIM('DATOS'!D135&amp;"")&lt;&gt;"Por confirmar",TRIM('DATOS'!D135&amp;"")&lt;&gt;"No consta",TRIM('DATOS'!D135&amp;"")&lt;&gt;"Desconocido",TRIM('DATOS'!D135&amp;"")&lt;&gt;"Sin confirmar",TRIM('DATOS'!D135&amp;"")&lt;&gt;"Por decidir",TRIM('DATOS'!D135&amp;"")&lt;&gt;"Por comprobar")),NOT(AND(LEN(TRIM('DATOS'!E135&amp;""))&gt;0,TRIM('DATOS'!E135&amp;"")&lt;&gt;"Pendiente",TRIM('DATOS'!E135&amp;"")&lt;&gt;"Por confirmar",TRIM('DATOS'!E135&amp;"")&lt;&gt;"No consta",TRIM('DATOS'!E135&amp;"")&lt;&gt;"Desconocido",TRIM('DATOS'!E135&amp;"")&lt;&gt;"Sin confirmar",TRIM('DATOS'!E135&amp;"")&lt;&gt;"Por decidir",TRIM('DATOS'!E135&amp;"")&lt;&gt;"Por comprobar"))),2,IF('DATOS'!M135="No",2,IF('DATOS'!M135="Sí",0,IF(OR('DATOS'!D135&lt;&gt;'DATOS'!E135,LEN('DATOS'!E135)&gt;300,RIGHT(TRIM('DATOS'!E135),3)="...",RIGHT(TRIM('DATOS'!E135),1)="…"),1,0))))),2)</f>
      </c>
      <c r="S135" s="29">
        <f>IFERROR(IF(N135=0,"",IF('REFERENCIAS'!$Q$8&lt;&gt;1,2,IF(NOT(Y135=1),1,IF(OR(ABS('DATOS'!G135-ROUND('DATOS'!G135,'REFERENCIAS'!$E$8))&gt;0.00000001,ABS('DATOS'!H135-ROUND('DATOS'!H135,'REFERENCIAS'!$H$8))&gt;0.00000001,ABS('DATOS'!J135-ROUND('DATOS'!J135,'REFERENCIAS'!$K$8))&gt;0.00000001,IF(ISNUMBER('DATOS'!I135),ABS('DATOS'!I135-ROUND('DATOS'!I135,'REFERENCIAS'!$H$8))&gt;0.00000001,FALSE)),1,0)))),2)</f>
      </c>
      <c r="T135" s="29">
        <f>IFERROR(IF(N135=0,"",IF(NOT(AND(LEN(TRIM('DATOS'!F135&amp;""))&gt;0,TRIM('DATOS'!F135&amp;"")&lt;&gt;"Pendiente",TRIM('DATOS'!F135&amp;"")&lt;&gt;"Por confirmar",TRIM('DATOS'!F135&amp;"")&lt;&gt;"No consta",TRIM('DATOS'!F135&amp;"")&lt;&gt;"Desconocido",TRIM('DATOS'!F135&amp;"")&lt;&gt;"Sin confirmar",TRIM('DATOS'!F135&amp;"")&lt;&gt;"Por decidir",TRIM('DATOS'!F135&amp;"")&lt;&gt;"Por comprobar")),2,IF(COUNTIFS('REFERENCIAS'!$T$15:$T$34,"ID:"&amp;SUBSTITUTE(SUBSTITUTE(SUBSTITUTE(SUBSTITUTE(UPPER(TRIM('DATOS'!F135&amp;"")),"!","!E"),"*","!A"),"?","!B"),"~","!C"),'REFERENCIAS'!$H$15:$H$34,"&lt;&gt;")&gt;0,0,1))),2)</f>
      </c>
      <c r="U135" s="29" t="str">
        <f>'DATOS'!R135</f>
        <v>ID:</v>
      </c>
      <c r="V135" s="29" t="str">
        <f>'DATOS'!S135</f>
        <v>ID:</v>
      </c>
      <c r="W135" s="29" t="n">
        <f>IF(N135=0,0,COUNTIFS('REFERENCIAS'!$R$15:$R$64,U135))</f>
        <v>0</v>
      </c>
      <c r="X135" s="29" t="n">
        <f>IF(N135=0,0,COUNTIFS('DATOS'!$R$10:$R$509,U135,'DATOS'!$S$10:$S$509,V135))</f>
        <v>0</v>
      </c>
      <c r="Y135" s="29" t="n">
        <f>IF(AND(ISNUMBER('DATOS'!G135),ISNUMBER('DATOS'!H135),ISNUMBER('DATOS'!J135)),1,0)</f>
        <v>0</v>
      </c>
    </row>
    <row r="136" ht="64" customHeight="1">
      <c r="B136" s="26">
        <f>IF(N136=1,127,"")</f>
      </c>
      <c r="C136" s="26">
        <f>IF(AND(N136=1,LEN(TRIM('DATOS'!B136&amp;""))&gt;0),'DATOS'!B136,"")</f>
      </c>
      <c r="D136" s="26">
        <f>IF(AND(N136=1,LEN(TRIM('DATOS'!C136&amp;""))&gt;0),'DATOS'!C136,"")</f>
      </c>
      <c r="E136" s="26">
        <f>IF(NOT(ISNUMBER(P136)),"",IF(P136=2,"ROJO",IF(P136=1,"ÁMBAR","VERDE")))</f>
      </c>
      <c r="F136" s="26">
        <f>IF(NOT(ISNUMBER(Q136)),"",IF(Q136=2,"ROJO",IF(Q136=1,"ÁMBAR","VERDE")))</f>
      </c>
      <c r="G136" s="26">
        <f>IF(NOT(ISNUMBER(R136)),"",IF(R136=2,"ROJO",IF(R136=1,"ÁMBAR","VERDE")))</f>
      </c>
      <c r="H136" s="26">
        <f>IF(NOT(ISNUMBER(S136)),"",IF(S136=2,"ROJO",IF(S136=1,"ÁMBAR","VERDE")))</f>
      </c>
      <c r="I136" s="26">
        <f>IF(NOT(ISNUMBER(T136)),"",IF(T136=2,"ROJO",IF(T136=1,"ÁMBAR","VERDE")))</f>
      </c>
      <c r="J136" s="26">
        <f>IF(NOT(ISNUMBER(O136)),"",IF(O136=2,"ROJO",IF(O136=1,"ÁMBAR","VERDE")))</f>
      </c>
      <c r="K136" s="26">
        <f>IFERROR(IF(AND(N136=1,LEN(TRIM('DATOS'!N136&amp;""))&gt;0),'DATOS'!N136,""),"Hay una entrada con error. Corregimos el dato antes de cerrar la comprobación.")</f>
      </c>
      <c r="L136" s="26">
        <f>IFERROR(IF(N136=0,"",IF(O136&gt;0,"Completamos datos, claves o motivo. ","")&amp;IF(P136&gt;0,"Cotejamos precios e importe. ","")&amp;IF(Q136&gt;0,"Aclaramos el cero. ","")&amp;IF(R136&gt;0,"Comprobamos el texto. ","")&amp;IF(S136&gt;0,"Revisamos decimales visibles. ","")&amp;IF(T136&gt;0,"Confirmamos la unidad.","")),"Hay una entrada con error. Corregimos el dato antes de cerrar la comprobación.")</f>
      </c>
      <c r="N136" s="29" t="n">
        <f>IF(COUNTA('DATOS'!B136:O136)&gt;0,1,0)</f>
        <v>0</v>
      </c>
      <c r="O136" s="29">
        <f>IFERROR(IF(N136=0,"",IF(OR(NOT(AND(LEN(TRIM('DATOS'!B136&amp;""))&gt;0,TRIM('DATOS'!B136&amp;"")&lt;&gt;"Pendiente",TRIM('DATOS'!B136&amp;"")&lt;&gt;"Por confirmar",TRIM('DATOS'!B136&amp;"")&lt;&gt;"No consta",TRIM('DATOS'!B136&amp;"")&lt;&gt;"Desconocido",TRIM('DATOS'!B136&amp;"")&lt;&gt;"Sin confirmar",TRIM('DATOS'!B136&amp;"")&lt;&gt;"Por decidir",TRIM('DATOS'!B136&amp;"")&lt;&gt;"Por comprobar")),NOT(AND(LEN(TRIM('DATOS'!C136&amp;""))&gt;0,TRIM('DATOS'!C136&amp;"")&lt;&gt;"Pendiente",TRIM('DATOS'!C136&amp;"")&lt;&gt;"Por confirmar",TRIM('DATOS'!C136&amp;"")&lt;&gt;"No consta",TRIM('DATOS'!C136&amp;"")&lt;&gt;"Desconocido",TRIM('DATOS'!C136&amp;"")&lt;&gt;"Sin confirmar",TRIM('DATOS'!C136&amp;"")&lt;&gt;"Por decidir",TRIM('DATOS'!C136&amp;"")&lt;&gt;"Por comprobar")),NOT(AND(LEN(TRIM('DATOS'!D136&amp;""))&gt;0,TRIM('DATOS'!D136&amp;"")&lt;&gt;"Pendiente",TRIM('DATOS'!D136&amp;"")&lt;&gt;"Por confirmar",TRIM('DATOS'!D136&amp;"")&lt;&gt;"No consta",TRIM('DATOS'!D136&amp;"")&lt;&gt;"Desconocido",TRIM('DATOS'!D136&amp;"")&lt;&gt;"Sin confirmar",TRIM('DATOS'!D136&amp;"")&lt;&gt;"Por decidir",TRIM('DATOS'!D136&amp;"")&lt;&gt;"Por comprobar")),NOT(AND(LEN(TRIM('DATOS'!E136&amp;""))&gt;0,TRIM('DATOS'!E136&amp;"")&lt;&gt;"Pendiente",TRIM('DATOS'!E136&amp;"")&lt;&gt;"Por confirmar",TRIM('DATOS'!E136&amp;"")&lt;&gt;"No consta",TRIM('DATOS'!E136&amp;"")&lt;&gt;"Desconocido",TRIM('DATOS'!E136&amp;"")&lt;&gt;"Sin confirmar",TRIM('DATOS'!E136&amp;"")&lt;&gt;"Por decidir",TRIM('DATOS'!E136&amp;"")&lt;&gt;"Por comprobar")),NOT(AND(LEN(TRIM('DATOS'!F136&amp;""))&gt;0,TRIM('DATOS'!F136&amp;"")&lt;&gt;"Pendiente",TRIM('DATOS'!F136&amp;"")&lt;&gt;"Por confirmar",TRIM('DATOS'!F136&amp;"")&lt;&gt;"No consta",TRIM('DATOS'!F136&amp;"")&lt;&gt;"Desconocido",TRIM('DATOS'!F136&amp;"")&lt;&gt;"Sin confirmar",TRIM('DATOS'!F136&amp;"")&lt;&gt;"Por decidir",TRIM('DATOS'!F136&amp;"")&lt;&gt;"Por comprobar")),NOT(AND(LEN(TRIM('DATOS'!N136&amp;""))&gt;0,TRIM('DATOS'!N136&amp;"")&lt;&gt;"Pendiente",TRIM('DATOS'!N136&amp;"")&lt;&gt;"Por confirmar",TRIM('DATOS'!N136&amp;"")&lt;&gt;"No consta",TRIM('DATOS'!N136&amp;"")&lt;&gt;"Desconocido",TRIM('DATOS'!N136&amp;"")&lt;&gt;"Sin confirmar",TRIM('DATOS'!N136&amp;"")&lt;&gt;"Por decidir",TRIM('DATOS'!N136&amp;"")&lt;&gt;"Por comprobar")),NOT(Y136=1),W136&lt;&gt;1,X136&gt;1,NOT(OR(LEN(TRIM('DATOS'!K136&amp;""))=0,'DATOS'!K136="Sin valorar",'DATOS'!K136="Sin coste documentado",'DATOS'!K136="Incluido en otra partida",'DATOS'!K136="Por confirmar")),NOT(OR(LEN(TRIM('DATOS'!M136&amp;""))=0,'DATOS'!M136="Sí",'DATOS'!M136="No",'DATOS'!M136="Por confirmar")),NOT(OR(LEN(TRIM('DATOS'!O136&amp;""))=0,'DATOS'!O136="Comparamos",'DATOS'!O136="No existe",'DATOS'!O136="Por confirmar"))),2,IF(AND(OR('DATOS'!G136&lt;0,'DATOS'!H136&lt;0,'DATOS'!J136&lt;0),NOT(AND(LEN(TRIM('DATOS'!L136&amp;""))&gt;0,TRIM('DATOS'!L136&amp;"")&lt;&gt;"Pendiente",TRIM('DATOS'!L136&amp;"")&lt;&gt;"Por confirmar",TRIM('DATOS'!L136&amp;"")&lt;&gt;"No consta",TRIM('DATOS'!L136&amp;"")&lt;&gt;"Desconocido",TRIM('DATOS'!L136&amp;"")&lt;&gt;"Sin confirmar",TRIM('DATOS'!L136&amp;"")&lt;&gt;"Por decidir",TRIM('DATOS'!L136&amp;"")&lt;&gt;"Por comprobar"))),1,0))),2)</f>
      </c>
      <c r="P136" s="29">
        <f>IFERROR(IF(N136=0,"",IF(NOT(Y136=1),1,IF('REFERENCIAS'!$Q$8&lt;&gt;1,2,IF(ABS('DATOS'!J136-ROUND('DATOS'!G136*'DATOS'!H136,'REFERENCIAS'!$K$8))&gt;0.00000001,2,IF('DATOS'!O136="No existe",IF(LEN(TRIM('DATOS'!I136&amp;""))=0,0,2),IF('DATOS'!O136="Comparamos",IF(LEN(TRIM('DATOS'!I136&amp;""))=0,1,IF(ISNUMBER('DATOS'!I136),IF(ABS('DATOS'!H136-'DATOS'!I136)&gt;0.00000001,2,0),2)),1)))))),2)</f>
      </c>
      <c r="Q136" s="29">
        <f>IFERROR(IF(N136=0,"",IF(NOT(Y136=1),1,IF('DATOS'!K136="Sin valorar",2,IF('DATOS'!G136=0,1,IF(OR('DATOS'!H136=0,'DATOS'!J136=0),IF(AND(OR('DATOS'!K136="Sin coste documentado",'DATOS'!K136="Incluido en otra partida"),AND(LEN(TRIM('DATOS'!L136&amp;""))&gt;0,TRIM('DATOS'!L136&amp;"")&lt;&gt;"Pendiente",TRIM('DATOS'!L136&amp;"")&lt;&gt;"Por confirmar",TRIM('DATOS'!L136&amp;"")&lt;&gt;"No consta",TRIM('DATOS'!L136&amp;"")&lt;&gt;"Desconocido",TRIM('DATOS'!L136&amp;"")&lt;&gt;"Sin confirmar",TRIM('DATOS'!L136&amp;"")&lt;&gt;"Por decidir",TRIM('DATOS'!L136&amp;"")&lt;&gt;"Por comprobar")),0,1),0))))),2)</f>
      </c>
      <c r="R136" s="29">
        <f>IFERROR(IF(N136=0,"",IF(OR(NOT(AND(LEN(TRIM('DATOS'!D136&amp;""))&gt;0,TRIM('DATOS'!D136&amp;"")&lt;&gt;"Pendiente",TRIM('DATOS'!D136&amp;"")&lt;&gt;"Por confirmar",TRIM('DATOS'!D136&amp;"")&lt;&gt;"No consta",TRIM('DATOS'!D136&amp;"")&lt;&gt;"Desconocido",TRIM('DATOS'!D136&amp;"")&lt;&gt;"Sin confirmar",TRIM('DATOS'!D136&amp;"")&lt;&gt;"Por decidir",TRIM('DATOS'!D136&amp;"")&lt;&gt;"Por comprobar")),NOT(AND(LEN(TRIM('DATOS'!E136&amp;""))&gt;0,TRIM('DATOS'!E136&amp;"")&lt;&gt;"Pendiente",TRIM('DATOS'!E136&amp;"")&lt;&gt;"Por confirmar",TRIM('DATOS'!E136&amp;"")&lt;&gt;"No consta",TRIM('DATOS'!E136&amp;"")&lt;&gt;"Desconocido",TRIM('DATOS'!E136&amp;"")&lt;&gt;"Sin confirmar",TRIM('DATOS'!E136&amp;"")&lt;&gt;"Por decidir",TRIM('DATOS'!E136&amp;"")&lt;&gt;"Por comprobar"))),2,IF('DATOS'!M136="No",2,IF('DATOS'!M136="Sí",0,IF(OR('DATOS'!D136&lt;&gt;'DATOS'!E136,LEN('DATOS'!E136)&gt;300,RIGHT(TRIM('DATOS'!E136),3)="...",RIGHT(TRIM('DATOS'!E136),1)="…"),1,0))))),2)</f>
      </c>
      <c r="S136" s="29">
        <f>IFERROR(IF(N136=0,"",IF('REFERENCIAS'!$Q$8&lt;&gt;1,2,IF(NOT(Y136=1),1,IF(OR(ABS('DATOS'!G136-ROUND('DATOS'!G136,'REFERENCIAS'!$E$8))&gt;0.00000001,ABS('DATOS'!H136-ROUND('DATOS'!H136,'REFERENCIAS'!$H$8))&gt;0.00000001,ABS('DATOS'!J136-ROUND('DATOS'!J136,'REFERENCIAS'!$K$8))&gt;0.00000001,IF(ISNUMBER('DATOS'!I136),ABS('DATOS'!I136-ROUND('DATOS'!I136,'REFERENCIAS'!$H$8))&gt;0.00000001,FALSE)),1,0)))),2)</f>
      </c>
      <c r="T136" s="29">
        <f>IFERROR(IF(N136=0,"",IF(NOT(AND(LEN(TRIM('DATOS'!F136&amp;""))&gt;0,TRIM('DATOS'!F136&amp;"")&lt;&gt;"Pendiente",TRIM('DATOS'!F136&amp;"")&lt;&gt;"Por confirmar",TRIM('DATOS'!F136&amp;"")&lt;&gt;"No consta",TRIM('DATOS'!F136&amp;"")&lt;&gt;"Desconocido",TRIM('DATOS'!F136&amp;"")&lt;&gt;"Sin confirmar",TRIM('DATOS'!F136&amp;"")&lt;&gt;"Por decidir",TRIM('DATOS'!F136&amp;"")&lt;&gt;"Por comprobar")),2,IF(COUNTIFS('REFERENCIAS'!$T$15:$T$34,"ID:"&amp;SUBSTITUTE(SUBSTITUTE(SUBSTITUTE(SUBSTITUTE(UPPER(TRIM('DATOS'!F136&amp;"")),"!","!E"),"*","!A"),"?","!B"),"~","!C"),'REFERENCIAS'!$H$15:$H$34,"&lt;&gt;")&gt;0,0,1))),2)</f>
      </c>
      <c r="U136" s="29" t="str">
        <f>'DATOS'!R136</f>
        <v>ID:</v>
      </c>
      <c r="V136" s="29" t="str">
        <f>'DATOS'!S136</f>
        <v>ID:</v>
      </c>
      <c r="W136" s="29" t="n">
        <f>IF(N136=0,0,COUNTIFS('REFERENCIAS'!$R$15:$R$64,U136))</f>
        <v>0</v>
      </c>
      <c r="X136" s="29" t="n">
        <f>IF(N136=0,0,COUNTIFS('DATOS'!$R$10:$R$509,U136,'DATOS'!$S$10:$S$509,V136))</f>
        <v>0</v>
      </c>
      <c r="Y136" s="29" t="n">
        <f>IF(AND(ISNUMBER('DATOS'!G136),ISNUMBER('DATOS'!H136),ISNUMBER('DATOS'!J136)),1,0)</f>
        <v>0</v>
      </c>
    </row>
    <row r="137" ht="64" customHeight="1">
      <c r="B137" s="26">
        <f>IF(N137=1,128,"")</f>
      </c>
      <c r="C137" s="26">
        <f>IF(AND(N137=1,LEN(TRIM('DATOS'!B137&amp;""))&gt;0),'DATOS'!B137,"")</f>
      </c>
      <c r="D137" s="26">
        <f>IF(AND(N137=1,LEN(TRIM('DATOS'!C137&amp;""))&gt;0),'DATOS'!C137,"")</f>
      </c>
      <c r="E137" s="26">
        <f>IF(NOT(ISNUMBER(P137)),"",IF(P137=2,"ROJO",IF(P137=1,"ÁMBAR","VERDE")))</f>
      </c>
      <c r="F137" s="26">
        <f>IF(NOT(ISNUMBER(Q137)),"",IF(Q137=2,"ROJO",IF(Q137=1,"ÁMBAR","VERDE")))</f>
      </c>
      <c r="G137" s="26">
        <f>IF(NOT(ISNUMBER(R137)),"",IF(R137=2,"ROJO",IF(R137=1,"ÁMBAR","VERDE")))</f>
      </c>
      <c r="H137" s="26">
        <f>IF(NOT(ISNUMBER(S137)),"",IF(S137=2,"ROJO",IF(S137=1,"ÁMBAR","VERDE")))</f>
      </c>
      <c r="I137" s="26">
        <f>IF(NOT(ISNUMBER(T137)),"",IF(T137=2,"ROJO",IF(T137=1,"ÁMBAR","VERDE")))</f>
      </c>
      <c r="J137" s="26">
        <f>IF(NOT(ISNUMBER(O137)),"",IF(O137=2,"ROJO",IF(O137=1,"ÁMBAR","VERDE")))</f>
      </c>
      <c r="K137" s="26">
        <f>IFERROR(IF(AND(N137=1,LEN(TRIM('DATOS'!N137&amp;""))&gt;0),'DATOS'!N137,""),"Hay una entrada con error. Corregimos el dato antes de cerrar la comprobación.")</f>
      </c>
      <c r="L137" s="26">
        <f>IFERROR(IF(N137=0,"",IF(O137&gt;0,"Completamos datos, claves o motivo. ","")&amp;IF(P137&gt;0,"Cotejamos precios e importe. ","")&amp;IF(Q137&gt;0,"Aclaramos el cero. ","")&amp;IF(R137&gt;0,"Comprobamos el texto. ","")&amp;IF(S137&gt;0,"Revisamos decimales visibles. ","")&amp;IF(T137&gt;0,"Confirmamos la unidad.","")),"Hay una entrada con error. Corregimos el dato antes de cerrar la comprobación.")</f>
      </c>
      <c r="N137" s="29" t="n">
        <f>IF(COUNTA('DATOS'!B137:O137)&gt;0,1,0)</f>
        <v>0</v>
      </c>
      <c r="O137" s="29">
        <f>IFERROR(IF(N137=0,"",IF(OR(NOT(AND(LEN(TRIM('DATOS'!B137&amp;""))&gt;0,TRIM('DATOS'!B137&amp;"")&lt;&gt;"Pendiente",TRIM('DATOS'!B137&amp;"")&lt;&gt;"Por confirmar",TRIM('DATOS'!B137&amp;"")&lt;&gt;"No consta",TRIM('DATOS'!B137&amp;"")&lt;&gt;"Desconocido",TRIM('DATOS'!B137&amp;"")&lt;&gt;"Sin confirmar",TRIM('DATOS'!B137&amp;"")&lt;&gt;"Por decidir",TRIM('DATOS'!B137&amp;"")&lt;&gt;"Por comprobar")),NOT(AND(LEN(TRIM('DATOS'!C137&amp;""))&gt;0,TRIM('DATOS'!C137&amp;"")&lt;&gt;"Pendiente",TRIM('DATOS'!C137&amp;"")&lt;&gt;"Por confirmar",TRIM('DATOS'!C137&amp;"")&lt;&gt;"No consta",TRIM('DATOS'!C137&amp;"")&lt;&gt;"Desconocido",TRIM('DATOS'!C137&amp;"")&lt;&gt;"Sin confirmar",TRIM('DATOS'!C137&amp;"")&lt;&gt;"Por decidir",TRIM('DATOS'!C137&amp;"")&lt;&gt;"Por comprobar")),NOT(AND(LEN(TRIM('DATOS'!D137&amp;""))&gt;0,TRIM('DATOS'!D137&amp;"")&lt;&gt;"Pendiente",TRIM('DATOS'!D137&amp;"")&lt;&gt;"Por confirmar",TRIM('DATOS'!D137&amp;"")&lt;&gt;"No consta",TRIM('DATOS'!D137&amp;"")&lt;&gt;"Desconocido",TRIM('DATOS'!D137&amp;"")&lt;&gt;"Sin confirmar",TRIM('DATOS'!D137&amp;"")&lt;&gt;"Por decidir",TRIM('DATOS'!D137&amp;"")&lt;&gt;"Por comprobar")),NOT(AND(LEN(TRIM('DATOS'!E137&amp;""))&gt;0,TRIM('DATOS'!E137&amp;"")&lt;&gt;"Pendiente",TRIM('DATOS'!E137&amp;"")&lt;&gt;"Por confirmar",TRIM('DATOS'!E137&amp;"")&lt;&gt;"No consta",TRIM('DATOS'!E137&amp;"")&lt;&gt;"Desconocido",TRIM('DATOS'!E137&amp;"")&lt;&gt;"Sin confirmar",TRIM('DATOS'!E137&amp;"")&lt;&gt;"Por decidir",TRIM('DATOS'!E137&amp;"")&lt;&gt;"Por comprobar")),NOT(AND(LEN(TRIM('DATOS'!F137&amp;""))&gt;0,TRIM('DATOS'!F137&amp;"")&lt;&gt;"Pendiente",TRIM('DATOS'!F137&amp;"")&lt;&gt;"Por confirmar",TRIM('DATOS'!F137&amp;"")&lt;&gt;"No consta",TRIM('DATOS'!F137&amp;"")&lt;&gt;"Desconocido",TRIM('DATOS'!F137&amp;"")&lt;&gt;"Sin confirmar",TRIM('DATOS'!F137&amp;"")&lt;&gt;"Por decidir",TRIM('DATOS'!F137&amp;"")&lt;&gt;"Por comprobar")),NOT(AND(LEN(TRIM('DATOS'!N137&amp;""))&gt;0,TRIM('DATOS'!N137&amp;"")&lt;&gt;"Pendiente",TRIM('DATOS'!N137&amp;"")&lt;&gt;"Por confirmar",TRIM('DATOS'!N137&amp;"")&lt;&gt;"No consta",TRIM('DATOS'!N137&amp;"")&lt;&gt;"Desconocido",TRIM('DATOS'!N137&amp;"")&lt;&gt;"Sin confirmar",TRIM('DATOS'!N137&amp;"")&lt;&gt;"Por decidir",TRIM('DATOS'!N137&amp;"")&lt;&gt;"Por comprobar")),NOT(Y137=1),W137&lt;&gt;1,X137&gt;1,NOT(OR(LEN(TRIM('DATOS'!K137&amp;""))=0,'DATOS'!K137="Sin valorar",'DATOS'!K137="Sin coste documentado",'DATOS'!K137="Incluido en otra partida",'DATOS'!K137="Por confirmar")),NOT(OR(LEN(TRIM('DATOS'!M137&amp;""))=0,'DATOS'!M137="Sí",'DATOS'!M137="No",'DATOS'!M137="Por confirmar")),NOT(OR(LEN(TRIM('DATOS'!O137&amp;""))=0,'DATOS'!O137="Comparamos",'DATOS'!O137="No existe",'DATOS'!O137="Por confirmar"))),2,IF(AND(OR('DATOS'!G137&lt;0,'DATOS'!H137&lt;0,'DATOS'!J137&lt;0),NOT(AND(LEN(TRIM('DATOS'!L137&amp;""))&gt;0,TRIM('DATOS'!L137&amp;"")&lt;&gt;"Pendiente",TRIM('DATOS'!L137&amp;"")&lt;&gt;"Por confirmar",TRIM('DATOS'!L137&amp;"")&lt;&gt;"No consta",TRIM('DATOS'!L137&amp;"")&lt;&gt;"Desconocido",TRIM('DATOS'!L137&amp;"")&lt;&gt;"Sin confirmar",TRIM('DATOS'!L137&amp;"")&lt;&gt;"Por decidir",TRIM('DATOS'!L137&amp;"")&lt;&gt;"Por comprobar"))),1,0))),2)</f>
      </c>
      <c r="P137" s="29">
        <f>IFERROR(IF(N137=0,"",IF(NOT(Y137=1),1,IF('REFERENCIAS'!$Q$8&lt;&gt;1,2,IF(ABS('DATOS'!J137-ROUND('DATOS'!G137*'DATOS'!H137,'REFERENCIAS'!$K$8))&gt;0.00000001,2,IF('DATOS'!O137="No existe",IF(LEN(TRIM('DATOS'!I137&amp;""))=0,0,2),IF('DATOS'!O137="Comparamos",IF(LEN(TRIM('DATOS'!I137&amp;""))=0,1,IF(ISNUMBER('DATOS'!I137),IF(ABS('DATOS'!H137-'DATOS'!I137)&gt;0.00000001,2,0),2)),1)))))),2)</f>
      </c>
      <c r="Q137" s="29">
        <f>IFERROR(IF(N137=0,"",IF(NOT(Y137=1),1,IF('DATOS'!K137="Sin valorar",2,IF('DATOS'!G137=0,1,IF(OR('DATOS'!H137=0,'DATOS'!J137=0),IF(AND(OR('DATOS'!K137="Sin coste documentado",'DATOS'!K137="Incluido en otra partida"),AND(LEN(TRIM('DATOS'!L137&amp;""))&gt;0,TRIM('DATOS'!L137&amp;"")&lt;&gt;"Pendiente",TRIM('DATOS'!L137&amp;"")&lt;&gt;"Por confirmar",TRIM('DATOS'!L137&amp;"")&lt;&gt;"No consta",TRIM('DATOS'!L137&amp;"")&lt;&gt;"Desconocido",TRIM('DATOS'!L137&amp;"")&lt;&gt;"Sin confirmar",TRIM('DATOS'!L137&amp;"")&lt;&gt;"Por decidir",TRIM('DATOS'!L137&amp;"")&lt;&gt;"Por comprobar")),0,1),0))))),2)</f>
      </c>
      <c r="R137" s="29">
        <f>IFERROR(IF(N137=0,"",IF(OR(NOT(AND(LEN(TRIM('DATOS'!D137&amp;""))&gt;0,TRIM('DATOS'!D137&amp;"")&lt;&gt;"Pendiente",TRIM('DATOS'!D137&amp;"")&lt;&gt;"Por confirmar",TRIM('DATOS'!D137&amp;"")&lt;&gt;"No consta",TRIM('DATOS'!D137&amp;"")&lt;&gt;"Desconocido",TRIM('DATOS'!D137&amp;"")&lt;&gt;"Sin confirmar",TRIM('DATOS'!D137&amp;"")&lt;&gt;"Por decidir",TRIM('DATOS'!D137&amp;"")&lt;&gt;"Por comprobar")),NOT(AND(LEN(TRIM('DATOS'!E137&amp;""))&gt;0,TRIM('DATOS'!E137&amp;"")&lt;&gt;"Pendiente",TRIM('DATOS'!E137&amp;"")&lt;&gt;"Por confirmar",TRIM('DATOS'!E137&amp;"")&lt;&gt;"No consta",TRIM('DATOS'!E137&amp;"")&lt;&gt;"Desconocido",TRIM('DATOS'!E137&amp;"")&lt;&gt;"Sin confirmar",TRIM('DATOS'!E137&amp;"")&lt;&gt;"Por decidir",TRIM('DATOS'!E137&amp;"")&lt;&gt;"Por comprobar"))),2,IF('DATOS'!M137="No",2,IF('DATOS'!M137="Sí",0,IF(OR('DATOS'!D137&lt;&gt;'DATOS'!E137,LEN('DATOS'!E137)&gt;300,RIGHT(TRIM('DATOS'!E137),3)="...",RIGHT(TRIM('DATOS'!E137),1)="…"),1,0))))),2)</f>
      </c>
      <c r="S137" s="29">
        <f>IFERROR(IF(N137=0,"",IF('REFERENCIAS'!$Q$8&lt;&gt;1,2,IF(NOT(Y137=1),1,IF(OR(ABS('DATOS'!G137-ROUND('DATOS'!G137,'REFERENCIAS'!$E$8))&gt;0.00000001,ABS('DATOS'!H137-ROUND('DATOS'!H137,'REFERENCIAS'!$H$8))&gt;0.00000001,ABS('DATOS'!J137-ROUND('DATOS'!J137,'REFERENCIAS'!$K$8))&gt;0.00000001,IF(ISNUMBER('DATOS'!I137),ABS('DATOS'!I137-ROUND('DATOS'!I137,'REFERENCIAS'!$H$8))&gt;0.00000001,FALSE)),1,0)))),2)</f>
      </c>
      <c r="T137" s="29">
        <f>IFERROR(IF(N137=0,"",IF(NOT(AND(LEN(TRIM('DATOS'!F137&amp;""))&gt;0,TRIM('DATOS'!F137&amp;"")&lt;&gt;"Pendiente",TRIM('DATOS'!F137&amp;"")&lt;&gt;"Por confirmar",TRIM('DATOS'!F137&amp;"")&lt;&gt;"No consta",TRIM('DATOS'!F137&amp;"")&lt;&gt;"Desconocido",TRIM('DATOS'!F137&amp;"")&lt;&gt;"Sin confirmar",TRIM('DATOS'!F137&amp;"")&lt;&gt;"Por decidir",TRIM('DATOS'!F137&amp;"")&lt;&gt;"Por comprobar")),2,IF(COUNTIFS('REFERENCIAS'!$T$15:$T$34,"ID:"&amp;SUBSTITUTE(SUBSTITUTE(SUBSTITUTE(SUBSTITUTE(UPPER(TRIM('DATOS'!F137&amp;"")),"!","!E"),"*","!A"),"?","!B"),"~","!C"),'REFERENCIAS'!$H$15:$H$34,"&lt;&gt;")&gt;0,0,1))),2)</f>
      </c>
      <c r="U137" s="29" t="str">
        <f>'DATOS'!R137</f>
        <v>ID:</v>
      </c>
      <c r="V137" s="29" t="str">
        <f>'DATOS'!S137</f>
        <v>ID:</v>
      </c>
      <c r="W137" s="29" t="n">
        <f>IF(N137=0,0,COUNTIFS('REFERENCIAS'!$R$15:$R$64,U137))</f>
        <v>0</v>
      </c>
      <c r="X137" s="29" t="n">
        <f>IF(N137=0,0,COUNTIFS('DATOS'!$R$10:$R$509,U137,'DATOS'!$S$10:$S$509,V137))</f>
        <v>0</v>
      </c>
      <c r="Y137" s="29" t="n">
        <f>IF(AND(ISNUMBER('DATOS'!G137),ISNUMBER('DATOS'!H137),ISNUMBER('DATOS'!J137)),1,0)</f>
        <v>0</v>
      </c>
    </row>
    <row r="138" ht="64" customHeight="1">
      <c r="B138" s="26">
        <f>IF(N138=1,129,"")</f>
      </c>
      <c r="C138" s="26">
        <f>IF(AND(N138=1,LEN(TRIM('DATOS'!B138&amp;""))&gt;0),'DATOS'!B138,"")</f>
      </c>
      <c r="D138" s="26">
        <f>IF(AND(N138=1,LEN(TRIM('DATOS'!C138&amp;""))&gt;0),'DATOS'!C138,"")</f>
      </c>
      <c r="E138" s="26">
        <f>IF(NOT(ISNUMBER(P138)),"",IF(P138=2,"ROJO",IF(P138=1,"ÁMBAR","VERDE")))</f>
      </c>
      <c r="F138" s="26">
        <f>IF(NOT(ISNUMBER(Q138)),"",IF(Q138=2,"ROJO",IF(Q138=1,"ÁMBAR","VERDE")))</f>
      </c>
      <c r="G138" s="26">
        <f>IF(NOT(ISNUMBER(R138)),"",IF(R138=2,"ROJO",IF(R138=1,"ÁMBAR","VERDE")))</f>
      </c>
      <c r="H138" s="26">
        <f>IF(NOT(ISNUMBER(S138)),"",IF(S138=2,"ROJO",IF(S138=1,"ÁMBAR","VERDE")))</f>
      </c>
      <c r="I138" s="26">
        <f>IF(NOT(ISNUMBER(T138)),"",IF(T138=2,"ROJO",IF(T138=1,"ÁMBAR","VERDE")))</f>
      </c>
      <c r="J138" s="26">
        <f>IF(NOT(ISNUMBER(O138)),"",IF(O138=2,"ROJO",IF(O138=1,"ÁMBAR","VERDE")))</f>
      </c>
      <c r="K138" s="26">
        <f>IFERROR(IF(AND(N138=1,LEN(TRIM('DATOS'!N138&amp;""))&gt;0),'DATOS'!N138,""),"Hay una entrada con error. Corregimos el dato antes de cerrar la comprobación.")</f>
      </c>
      <c r="L138" s="26">
        <f>IFERROR(IF(N138=0,"",IF(O138&gt;0,"Completamos datos, claves o motivo. ","")&amp;IF(P138&gt;0,"Cotejamos precios e importe. ","")&amp;IF(Q138&gt;0,"Aclaramos el cero. ","")&amp;IF(R138&gt;0,"Comprobamos el texto. ","")&amp;IF(S138&gt;0,"Revisamos decimales visibles. ","")&amp;IF(T138&gt;0,"Confirmamos la unidad.","")),"Hay una entrada con error. Corregimos el dato antes de cerrar la comprobación.")</f>
      </c>
      <c r="N138" s="29" t="n">
        <f>IF(COUNTA('DATOS'!B138:O138)&gt;0,1,0)</f>
        <v>0</v>
      </c>
      <c r="O138" s="29">
        <f>IFERROR(IF(N138=0,"",IF(OR(NOT(AND(LEN(TRIM('DATOS'!B138&amp;""))&gt;0,TRIM('DATOS'!B138&amp;"")&lt;&gt;"Pendiente",TRIM('DATOS'!B138&amp;"")&lt;&gt;"Por confirmar",TRIM('DATOS'!B138&amp;"")&lt;&gt;"No consta",TRIM('DATOS'!B138&amp;"")&lt;&gt;"Desconocido",TRIM('DATOS'!B138&amp;"")&lt;&gt;"Sin confirmar",TRIM('DATOS'!B138&amp;"")&lt;&gt;"Por decidir",TRIM('DATOS'!B138&amp;"")&lt;&gt;"Por comprobar")),NOT(AND(LEN(TRIM('DATOS'!C138&amp;""))&gt;0,TRIM('DATOS'!C138&amp;"")&lt;&gt;"Pendiente",TRIM('DATOS'!C138&amp;"")&lt;&gt;"Por confirmar",TRIM('DATOS'!C138&amp;"")&lt;&gt;"No consta",TRIM('DATOS'!C138&amp;"")&lt;&gt;"Desconocido",TRIM('DATOS'!C138&amp;"")&lt;&gt;"Sin confirmar",TRIM('DATOS'!C138&amp;"")&lt;&gt;"Por decidir",TRIM('DATOS'!C138&amp;"")&lt;&gt;"Por comprobar")),NOT(AND(LEN(TRIM('DATOS'!D138&amp;""))&gt;0,TRIM('DATOS'!D138&amp;"")&lt;&gt;"Pendiente",TRIM('DATOS'!D138&amp;"")&lt;&gt;"Por confirmar",TRIM('DATOS'!D138&amp;"")&lt;&gt;"No consta",TRIM('DATOS'!D138&amp;"")&lt;&gt;"Desconocido",TRIM('DATOS'!D138&amp;"")&lt;&gt;"Sin confirmar",TRIM('DATOS'!D138&amp;"")&lt;&gt;"Por decidir",TRIM('DATOS'!D138&amp;"")&lt;&gt;"Por comprobar")),NOT(AND(LEN(TRIM('DATOS'!E138&amp;""))&gt;0,TRIM('DATOS'!E138&amp;"")&lt;&gt;"Pendiente",TRIM('DATOS'!E138&amp;"")&lt;&gt;"Por confirmar",TRIM('DATOS'!E138&amp;"")&lt;&gt;"No consta",TRIM('DATOS'!E138&amp;"")&lt;&gt;"Desconocido",TRIM('DATOS'!E138&amp;"")&lt;&gt;"Sin confirmar",TRIM('DATOS'!E138&amp;"")&lt;&gt;"Por decidir",TRIM('DATOS'!E138&amp;"")&lt;&gt;"Por comprobar")),NOT(AND(LEN(TRIM('DATOS'!F138&amp;""))&gt;0,TRIM('DATOS'!F138&amp;"")&lt;&gt;"Pendiente",TRIM('DATOS'!F138&amp;"")&lt;&gt;"Por confirmar",TRIM('DATOS'!F138&amp;"")&lt;&gt;"No consta",TRIM('DATOS'!F138&amp;"")&lt;&gt;"Desconocido",TRIM('DATOS'!F138&amp;"")&lt;&gt;"Sin confirmar",TRIM('DATOS'!F138&amp;"")&lt;&gt;"Por decidir",TRIM('DATOS'!F138&amp;"")&lt;&gt;"Por comprobar")),NOT(AND(LEN(TRIM('DATOS'!N138&amp;""))&gt;0,TRIM('DATOS'!N138&amp;"")&lt;&gt;"Pendiente",TRIM('DATOS'!N138&amp;"")&lt;&gt;"Por confirmar",TRIM('DATOS'!N138&amp;"")&lt;&gt;"No consta",TRIM('DATOS'!N138&amp;"")&lt;&gt;"Desconocido",TRIM('DATOS'!N138&amp;"")&lt;&gt;"Sin confirmar",TRIM('DATOS'!N138&amp;"")&lt;&gt;"Por decidir",TRIM('DATOS'!N138&amp;"")&lt;&gt;"Por comprobar")),NOT(Y138=1),W138&lt;&gt;1,X138&gt;1,NOT(OR(LEN(TRIM('DATOS'!K138&amp;""))=0,'DATOS'!K138="Sin valorar",'DATOS'!K138="Sin coste documentado",'DATOS'!K138="Incluido en otra partida",'DATOS'!K138="Por confirmar")),NOT(OR(LEN(TRIM('DATOS'!M138&amp;""))=0,'DATOS'!M138="Sí",'DATOS'!M138="No",'DATOS'!M138="Por confirmar")),NOT(OR(LEN(TRIM('DATOS'!O138&amp;""))=0,'DATOS'!O138="Comparamos",'DATOS'!O138="No existe",'DATOS'!O138="Por confirmar"))),2,IF(AND(OR('DATOS'!G138&lt;0,'DATOS'!H138&lt;0,'DATOS'!J138&lt;0),NOT(AND(LEN(TRIM('DATOS'!L138&amp;""))&gt;0,TRIM('DATOS'!L138&amp;"")&lt;&gt;"Pendiente",TRIM('DATOS'!L138&amp;"")&lt;&gt;"Por confirmar",TRIM('DATOS'!L138&amp;"")&lt;&gt;"No consta",TRIM('DATOS'!L138&amp;"")&lt;&gt;"Desconocido",TRIM('DATOS'!L138&amp;"")&lt;&gt;"Sin confirmar",TRIM('DATOS'!L138&amp;"")&lt;&gt;"Por decidir",TRIM('DATOS'!L138&amp;"")&lt;&gt;"Por comprobar"))),1,0))),2)</f>
      </c>
      <c r="P138" s="29">
        <f>IFERROR(IF(N138=0,"",IF(NOT(Y138=1),1,IF('REFERENCIAS'!$Q$8&lt;&gt;1,2,IF(ABS('DATOS'!J138-ROUND('DATOS'!G138*'DATOS'!H138,'REFERENCIAS'!$K$8))&gt;0.00000001,2,IF('DATOS'!O138="No existe",IF(LEN(TRIM('DATOS'!I138&amp;""))=0,0,2),IF('DATOS'!O138="Comparamos",IF(LEN(TRIM('DATOS'!I138&amp;""))=0,1,IF(ISNUMBER('DATOS'!I138),IF(ABS('DATOS'!H138-'DATOS'!I138)&gt;0.00000001,2,0),2)),1)))))),2)</f>
      </c>
      <c r="Q138" s="29">
        <f>IFERROR(IF(N138=0,"",IF(NOT(Y138=1),1,IF('DATOS'!K138="Sin valorar",2,IF('DATOS'!G138=0,1,IF(OR('DATOS'!H138=0,'DATOS'!J138=0),IF(AND(OR('DATOS'!K138="Sin coste documentado",'DATOS'!K138="Incluido en otra partida"),AND(LEN(TRIM('DATOS'!L138&amp;""))&gt;0,TRIM('DATOS'!L138&amp;"")&lt;&gt;"Pendiente",TRIM('DATOS'!L138&amp;"")&lt;&gt;"Por confirmar",TRIM('DATOS'!L138&amp;"")&lt;&gt;"No consta",TRIM('DATOS'!L138&amp;"")&lt;&gt;"Desconocido",TRIM('DATOS'!L138&amp;"")&lt;&gt;"Sin confirmar",TRIM('DATOS'!L138&amp;"")&lt;&gt;"Por decidir",TRIM('DATOS'!L138&amp;"")&lt;&gt;"Por comprobar")),0,1),0))))),2)</f>
      </c>
      <c r="R138" s="29">
        <f>IFERROR(IF(N138=0,"",IF(OR(NOT(AND(LEN(TRIM('DATOS'!D138&amp;""))&gt;0,TRIM('DATOS'!D138&amp;"")&lt;&gt;"Pendiente",TRIM('DATOS'!D138&amp;"")&lt;&gt;"Por confirmar",TRIM('DATOS'!D138&amp;"")&lt;&gt;"No consta",TRIM('DATOS'!D138&amp;"")&lt;&gt;"Desconocido",TRIM('DATOS'!D138&amp;"")&lt;&gt;"Sin confirmar",TRIM('DATOS'!D138&amp;"")&lt;&gt;"Por decidir",TRIM('DATOS'!D138&amp;"")&lt;&gt;"Por comprobar")),NOT(AND(LEN(TRIM('DATOS'!E138&amp;""))&gt;0,TRIM('DATOS'!E138&amp;"")&lt;&gt;"Pendiente",TRIM('DATOS'!E138&amp;"")&lt;&gt;"Por confirmar",TRIM('DATOS'!E138&amp;"")&lt;&gt;"No consta",TRIM('DATOS'!E138&amp;"")&lt;&gt;"Desconocido",TRIM('DATOS'!E138&amp;"")&lt;&gt;"Sin confirmar",TRIM('DATOS'!E138&amp;"")&lt;&gt;"Por decidir",TRIM('DATOS'!E138&amp;"")&lt;&gt;"Por comprobar"))),2,IF('DATOS'!M138="No",2,IF('DATOS'!M138="Sí",0,IF(OR('DATOS'!D138&lt;&gt;'DATOS'!E138,LEN('DATOS'!E138)&gt;300,RIGHT(TRIM('DATOS'!E138),3)="...",RIGHT(TRIM('DATOS'!E138),1)="…"),1,0))))),2)</f>
      </c>
      <c r="S138" s="29">
        <f>IFERROR(IF(N138=0,"",IF('REFERENCIAS'!$Q$8&lt;&gt;1,2,IF(NOT(Y138=1),1,IF(OR(ABS('DATOS'!G138-ROUND('DATOS'!G138,'REFERENCIAS'!$E$8))&gt;0.00000001,ABS('DATOS'!H138-ROUND('DATOS'!H138,'REFERENCIAS'!$H$8))&gt;0.00000001,ABS('DATOS'!J138-ROUND('DATOS'!J138,'REFERENCIAS'!$K$8))&gt;0.00000001,IF(ISNUMBER('DATOS'!I138),ABS('DATOS'!I138-ROUND('DATOS'!I138,'REFERENCIAS'!$H$8))&gt;0.00000001,FALSE)),1,0)))),2)</f>
      </c>
      <c r="T138" s="29">
        <f>IFERROR(IF(N138=0,"",IF(NOT(AND(LEN(TRIM('DATOS'!F138&amp;""))&gt;0,TRIM('DATOS'!F138&amp;"")&lt;&gt;"Pendiente",TRIM('DATOS'!F138&amp;"")&lt;&gt;"Por confirmar",TRIM('DATOS'!F138&amp;"")&lt;&gt;"No consta",TRIM('DATOS'!F138&amp;"")&lt;&gt;"Desconocido",TRIM('DATOS'!F138&amp;"")&lt;&gt;"Sin confirmar",TRIM('DATOS'!F138&amp;"")&lt;&gt;"Por decidir",TRIM('DATOS'!F138&amp;"")&lt;&gt;"Por comprobar")),2,IF(COUNTIFS('REFERENCIAS'!$T$15:$T$34,"ID:"&amp;SUBSTITUTE(SUBSTITUTE(SUBSTITUTE(SUBSTITUTE(UPPER(TRIM('DATOS'!F138&amp;"")),"!","!E"),"*","!A"),"?","!B"),"~","!C"),'REFERENCIAS'!$H$15:$H$34,"&lt;&gt;")&gt;0,0,1))),2)</f>
      </c>
      <c r="U138" s="29" t="str">
        <f>'DATOS'!R138</f>
        <v>ID:</v>
      </c>
      <c r="V138" s="29" t="str">
        <f>'DATOS'!S138</f>
        <v>ID:</v>
      </c>
      <c r="W138" s="29" t="n">
        <f>IF(N138=0,0,COUNTIFS('REFERENCIAS'!$R$15:$R$64,U138))</f>
        <v>0</v>
      </c>
      <c r="X138" s="29" t="n">
        <f>IF(N138=0,0,COUNTIFS('DATOS'!$R$10:$R$509,U138,'DATOS'!$S$10:$S$509,V138))</f>
        <v>0</v>
      </c>
      <c r="Y138" s="29" t="n">
        <f>IF(AND(ISNUMBER('DATOS'!G138),ISNUMBER('DATOS'!H138),ISNUMBER('DATOS'!J138)),1,0)</f>
        <v>0</v>
      </c>
    </row>
    <row r="139" ht="64" customHeight="1">
      <c r="B139" s="26">
        <f>IF(N139=1,130,"")</f>
      </c>
      <c r="C139" s="26">
        <f>IF(AND(N139=1,LEN(TRIM('DATOS'!B139&amp;""))&gt;0),'DATOS'!B139,"")</f>
      </c>
      <c r="D139" s="26">
        <f>IF(AND(N139=1,LEN(TRIM('DATOS'!C139&amp;""))&gt;0),'DATOS'!C139,"")</f>
      </c>
      <c r="E139" s="26">
        <f>IF(NOT(ISNUMBER(P139)),"",IF(P139=2,"ROJO",IF(P139=1,"ÁMBAR","VERDE")))</f>
      </c>
      <c r="F139" s="26">
        <f>IF(NOT(ISNUMBER(Q139)),"",IF(Q139=2,"ROJO",IF(Q139=1,"ÁMBAR","VERDE")))</f>
      </c>
      <c r="G139" s="26">
        <f>IF(NOT(ISNUMBER(R139)),"",IF(R139=2,"ROJO",IF(R139=1,"ÁMBAR","VERDE")))</f>
      </c>
      <c r="H139" s="26">
        <f>IF(NOT(ISNUMBER(S139)),"",IF(S139=2,"ROJO",IF(S139=1,"ÁMBAR","VERDE")))</f>
      </c>
      <c r="I139" s="26">
        <f>IF(NOT(ISNUMBER(T139)),"",IF(T139=2,"ROJO",IF(T139=1,"ÁMBAR","VERDE")))</f>
      </c>
      <c r="J139" s="26">
        <f>IF(NOT(ISNUMBER(O139)),"",IF(O139=2,"ROJO",IF(O139=1,"ÁMBAR","VERDE")))</f>
      </c>
      <c r="K139" s="26">
        <f>IFERROR(IF(AND(N139=1,LEN(TRIM('DATOS'!N139&amp;""))&gt;0),'DATOS'!N139,""),"Hay una entrada con error. Corregimos el dato antes de cerrar la comprobación.")</f>
      </c>
      <c r="L139" s="26">
        <f>IFERROR(IF(N139=0,"",IF(O139&gt;0,"Completamos datos, claves o motivo. ","")&amp;IF(P139&gt;0,"Cotejamos precios e importe. ","")&amp;IF(Q139&gt;0,"Aclaramos el cero. ","")&amp;IF(R139&gt;0,"Comprobamos el texto. ","")&amp;IF(S139&gt;0,"Revisamos decimales visibles. ","")&amp;IF(T139&gt;0,"Confirmamos la unidad.","")),"Hay una entrada con error. Corregimos el dato antes de cerrar la comprobación.")</f>
      </c>
      <c r="N139" s="29" t="n">
        <f>IF(COUNTA('DATOS'!B139:O139)&gt;0,1,0)</f>
        <v>0</v>
      </c>
      <c r="O139" s="29">
        <f>IFERROR(IF(N139=0,"",IF(OR(NOT(AND(LEN(TRIM('DATOS'!B139&amp;""))&gt;0,TRIM('DATOS'!B139&amp;"")&lt;&gt;"Pendiente",TRIM('DATOS'!B139&amp;"")&lt;&gt;"Por confirmar",TRIM('DATOS'!B139&amp;"")&lt;&gt;"No consta",TRIM('DATOS'!B139&amp;"")&lt;&gt;"Desconocido",TRIM('DATOS'!B139&amp;"")&lt;&gt;"Sin confirmar",TRIM('DATOS'!B139&amp;"")&lt;&gt;"Por decidir",TRIM('DATOS'!B139&amp;"")&lt;&gt;"Por comprobar")),NOT(AND(LEN(TRIM('DATOS'!C139&amp;""))&gt;0,TRIM('DATOS'!C139&amp;"")&lt;&gt;"Pendiente",TRIM('DATOS'!C139&amp;"")&lt;&gt;"Por confirmar",TRIM('DATOS'!C139&amp;"")&lt;&gt;"No consta",TRIM('DATOS'!C139&amp;"")&lt;&gt;"Desconocido",TRIM('DATOS'!C139&amp;"")&lt;&gt;"Sin confirmar",TRIM('DATOS'!C139&amp;"")&lt;&gt;"Por decidir",TRIM('DATOS'!C139&amp;"")&lt;&gt;"Por comprobar")),NOT(AND(LEN(TRIM('DATOS'!D139&amp;""))&gt;0,TRIM('DATOS'!D139&amp;"")&lt;&gt;"Pendiente",TRIM('DATOS'!D139&amp;"")&lt;&gt;"Por confirmar",TRIM('DATOS'!D139&amp;"")&lt;&gt;"No consta",TRIM('DATOS'!D139&amp;"")&lt;&gt;"Desconocido",TRIM('DATOS'!D139&amp;"")&lt;&gt;"Sin confirmar",TRIM('DATOS'!D139&amp;"")&lt;&gt;"Por decidir",TRIM('DATOS'!D139&amp;"")&lt;&gt;"Por comprobar")),NOT(AND(LEN(TRIM('DATOS'!E139&amp;""))&gt;0,TRIM('DATOS'!E139&amp;"")&lt;&gt;"Pendiente",TRIM('DATOS'!E139&amp;"")&lt;&gt;"Por confirmar",TRIM('DATOS'!E139&amp;"")&lt;&gt;"No consta",TRIM('DATOS'!E139&amp;"")&lt;&gt;"Desconocido",TRIM('DATOS'!E139&amp;"")&lt;&gt;"Sin confirmar",TRIM('DATOS'!E139&amp;"")&lt;&gt;"Por decidir",TRIM('DATOS'!E139&amp;"")&lt;&gt;"Por comprobar")),NOT(AND(LEN(TRIM('DATOS'!F139&amp;""))&gt;0,TRIM('DATOS'!F139&amp;"")&lt;&gt;"Pendiente",TRIM('DATOS'!F139&amp;"")&lt;&gt;"Por confirmar",TRIM('DATOS'!F139&amp;"")&lt;&gt;"No consta",TRIM('DATOS'!F139&amp;"")&lt;&gt;"Desconocido",TRIM('DATOS'!F139&amp;"")&lt;&gt;"Sin confirmar",TRIM('DATOS'!F139&amp;"")&lt;&gt;"Por decidir",TRIM('DATOS'!F139&amp;"")&lt;&gt;"Por comprobar")),NOT(AND(LEN(TRIM('DATOS'!N139&amp;""))&gt;0,TRIM('DATOS'!N139&amp;"")&lt;&gt;"Pendiente",TRIM('DATOS'!N139&amp;"")&lt;&gt;"Por confirmar",TRIM('DATOS'!N139&amp;"")&lt;&gt;"No consta",TRIM('DATOS'!N139&amp;"")&lt;&gt;"Desconocido",TRIM('DATOS'!N139&amp;"")&lt;&gt;"Sin confirmar",TRIM('DATOS'!N139&amp;"")&lt;&gt;"Por decidir",TRIM('DATOS'!N139&amp;"")&lt;&gt;"Por comprobar")),NOT(Y139=1),W139&lt;&gt;1,X139&gt;1,NOT(OR(LEN(TRIM('DATOS'!K139&amp;""))=0,'DATOS'!K139="Sin valorar",'DATOS'!K139="Sin coste documentado",'DATOS'!K139="Incluido en otra partida",'DATOS'!K139="Por confirmar")),NOT(OR(LEN(TRIM('DATOS'!M139&amp;""))=0,'DATOS'!M139="Sí",'DATOS'!M139="No",'DATOS'!M139="Por confirmar")),NOT(OR(LEN(TRIM('DATOS'!O139&amp;""))=0,'DATOS'!O139="Comparamos",'DATOS'!O139="No existe",'DATOS'!O139="Por confirmar"))),2,IF(AND(OR('DATOS'!G139&lt;0,'DATOS'!H139&lt;0,'DATOS'!J139&lt;0),NOT(AND(LEN(TRIM('DATOS'!L139&amp;""))&gt;0,TRIM('DATOS'!L139&amp;"")&lt;&gt;"Pendiente",TRIM('DATOS'!L139&amp;"")&lt;&gt;"Por confirmar",TRIM('DATOS'!L139&amp;"")&lt;&gt;"No consta",TRIM('DATOS'!L139&amp;"")&lt;&gt;"Desconocido",TRIM('DATOS'!L139&amp;"")&lt;&gt;"Sin confirmar",TRIM('DATOS'!L139&amp;"")&lt;&gt;"Por decidir",TRIM('DATOS'!L139&amp;"")&lt;&gt;"Por comprobar"))),1,0))),2)</f>
      </c>
      <c r="P139" s="29">
        <f>IFERROR(IF(N139=0,"",IF(NOT(Y139=1),1,IF('REFERENCIAS'!$Q$8&lt;&gt;1,2,IF(ABS('DATOS'!J139-ROUND('DATOS'!G139*'DATOS'!H139,'REFERENCIAS'!$K$8))&gt;0.00000001,2,IF('DATOS'!O139="No existe",IF(LEN(TRIM('DATOS'!I139&amp;""))=0,0,2),IF('DATOS'!O139="Comparamos",IF(LEN(TRIM('DATOS'!I139&amp;""))=0,1,IF(ISNUMBER('DATOS'!I139),IF(ABS('DATOS'!H139-'DATOS'!I139)&gt;0.00000001,2,0),2)),1)))))),2)</f>
      </c>
      <c r="Q139" s="29">
        <f>IFERROR(IF(N139=0,"",IF(NOT(Y139=1),1,IF('DATOS'!K139="Sin valorar",2,IF('DATOS'!G139=0,1,IF(OR('DATOS'!H139=0,'DATOS'!J139=0),IF(AND(OR('DATOS'!K139="Sin coste documentado",'DATOS'!K139="Incluido en otra partida"),AND(LEN(TRIM('DATOS'!L139&amp;""))&gt;0,TRIM('DATOS'!L139&amp;"")&lt;&gt;"Pendiente",TRIM('DATOS'!L139&amp;"")&lt;&gt;"Por confirmar",TRIM('DATOS'!L139&amp;"")&lt;&gt;"No consta",TRIM('DATOS'!L139&amp;"")&lt;&gt;"Desconocido",TRIM('DATOS'!L139&amp;"")&lt;&gt;"Sin confirmar",TRIM('DATOS'!L139&amp;"")&lt;&gt;"Por decidir",TRIM('DATOS'!L139&amp;"")&lt;&gt;"Por comprobar")),0,1),0))))),2)</f>
      </c>
      <c r="R139" s="29">
        <f>IFERROR(IF(N139=0,"",IF(OR(NOT(AND(LEN(TRIM('DATOS'!D139&amp;""))&gt;0,TRIM('DATOS'!D139&amp;"")&lt;&gt;"Pendiente",TRIM('DATOS'!D139&amp;"")&lt;&gt;"Por confirmar",TRIM('DATOS'!D139&amp;"")&lt;&gt;"No consta",TRIM('DATOS'!D139&amp;"")&lt;&gt;"Desconocido",TRIM('DATOS'!D139&amp;"")&lt;&gt;"Sin confirmar",TRIM('DATOS'!D139&amp;"")&lt;&gt;"Por decidir",TRIM('DATOS'!D139&amp;"")&lt;&gt;"Por comprobar")),NOT(AND(LEN(TRIM('DATOS'!E139&amp;""))&gt;0,TRIM('DATOS'!E139&amp;"")&lt;&gt;"Pendiente",TRIM('DATOS'!E139&amp;"")&lt;&gt;"Por confirmar",TRIM('DATOS'!E139&amp;"")&lt;&gt;"No consta",TRIM('DATOS'!E139&amp;"")&lt;&gt;"Desconocido",TRIM('DATOS'!E139&amp;"")&lt;&gt;"Sin confirmar",TRIM('DATOS'!E139&amp;"")&lt;&gt;"Por decidir",TRIM('DATOS'!E139&amp;"")&lt;&gt;"Por comprobar"))),2,IF('DATOS'!M139="No",2,IF('DATOS'!M139="Sí",0,IF(OR('DATOS'!D139&lt;&gt;'DATOS'!E139,LEN('DATOS'!E139)&gt;300,RIGHT(TRIM('DATOS'!E139),3)="...",RIGHT(TRIM('DATOS'!E139),1)="…"),1,0))))),2)</f>
      </c>
      <c r="S139" s="29">
        <f>IFERROR(IF(N139=0,"",IF('REFERENCIAS'!$Q$8&lt;&gt;1,2,IF(NOT(Y139=1),1,IF(OR(ABS('DATOS'!G139-ROUND('DATOS'!G139,'REFERENCIAS'!$E$8))&gt;0.00000001,ABS('DATOS'!H139-ROUND('DATOS'!H139,'REFERENCIAS'!$H$8))&gt;0.00000001,ABS('DATOS'!J139-ROUND('DATOS'!J139,'REFERENCIAS'!$K$8))&gt;0.00000001,IF(ISNUMBER('DATOS'!I139),ABS('DATOS'!I139-ROUND('DATOS'!I139,'REFERENCIAS'!$H$8))&gt;0.00000001,FALSE)),1,0)))),2)</f>
      </c>
      <c r="T139" s="29">
        <f>IFERROR(IF(N139=0,"",IF(NOT(AND(LEN(TRIM('DATOS'!F139&amp;""))&gt;0,TRIM('DATOS'!F139&amp;"")&lt;&gt;"Pendiente",TRIM('DATOS'!F139&amp;"")&lt;&gt;"Por confirmar",TRIM('DATOS'!F139&amp;"")&lt;&gt;"No consta",TRIM('DATOS'!F139&amp;"")&lt;&gt;"Desconocido",TRIM('DATOS'!F139&amp;"")&lt;&gt;"Sin confirmar",TRIM('DATOS'!F139&amp;"")&lt;&gt;"Por decidir",TRIM('DATOS'!F139&amp;"")&lt;&gt;"Por comprobar")),2,IF(COUNTIFS('REFERENCIAS'!$T$15:$T$34,"ID:"&amp;SUBSTITUTE(SUBSTITUTE(SUBSTITUTE(SUBSTITUTE(UPPER(TRIM('DATOS'!F139&amp;"")),"!","!E"),"*","!A"),"?","!B"),"~","!C"),'REFERENCIAS'!$H$15:$H$34,"&lt;&gt;")&gt;0,0,1))),2)</f>
      </c>
      <c r="U139" s="29" t="str">
        <f>'DATOS'!R139</f>
        <v>ID:</v>
      </c>
      <c r="V139" s="29" t="str">
        <f>'DATOS'!S139</f>
        <v>ID:</v>
      </c>
      <c r="W139" s="29" t="n">
        <f>IF(N139=0,0,COUNTIFS('REFERENCIAS'!$R$15:$R$64,U139))</f>
        <v>0</v>
      </c>
      <c r="X139" s="29" t="n">
        <f>IF(N139=0,0,COUNTIFS('DATOS'!$R$10:$R$509,U139,'DATOS'!$S$10:$S$509,V139))</f>
        <v>0</v>
      </c>
      <c r="Y139" s="29" t="n">
        <f>IF(AND(ISNUMBER('DATOS'!G139),ISNUMBER('DATOS'!H139),ISNUMBER('DATOS'!J139)),1,0)</f>
        <v>0</v>
      </c>
    </row>
    <row r="140" ht="64" customHeight="1">
      <c r="B140" s="26">
        <f>IF(N140=1,131,"")</f>
      </c>
      <c r="C140" s="26">
        <f>IF(AND(N140=1,LEN(TRIM('DATOS'!B140&amp;""))&gt;0),'DATOS'!B140,"")</f>
      </c>
      <c r="D140" s="26">
        <f>IF(AND(N140=1,LEN(TRIM('DATOS'!C140&amp;""))&gt;0),'DATOS'!C140,"")</f>
      </c>
      <c r="E140" s="26">
        <f>IF(NOT(ISNUMBER(P140)),"",IF(P140=2,"ROJO",IF(P140=1,"ÁMBAR","VERDE")))</f>
      </c>
      <c r="F140" s="26">
        <f>IF(NOT(ISNUMBER(Q140)),"",IF(Q140=2,"ROJO",IF(Q140=1,"ÁMBAR","VERDE")))</f>
      </c>
      <c r="G140" s="26">
        <f>IF(NOT(ISNUMBER(R140)),"",IF(R140=2,"ROJO",IF(R140=1,"ÁMBAR","VERDE")))</f>
      </c>
      <c r="H140" s="26">
        <f>IF(NOT(ISNUMBER(S140)),"",IF(S140=2,"ROJO",IF(S140=1,"ÁMBAR","VERDE")))</f>
      </c>
      <c r="I140" s="26">
        <f>IF(NOT(ISNUMBER(T140)),"",IF(T140=2,"ROJO",IF(T140=1,"ÁMBAR","VERDE")))</f>
      </c>
      <c r="J140" s="26">
        <f>IF(NOT(ISNUMBER(O140)),"",IF(O140=2,"ROJO",IF(O140=1,"ÁMBAR","VERDE")))</f>
      </c>
      <c r="K140" s="26">
        <f>IFERROR(IF(AND(N140=1,LEN(TRIM('DATOS'!N140&amp;""))&gt;0),'DATOS'!N140,""),"Hay una entrada con error. Corregimos el dato antes de cerrar la comprobación.")</f>
      </c>
      <c r="L140" s="26">
        <f>IFERROR(IF(N140=0,"",IF(O140&gt;0,"Completamos datos, claves o motivo. ","")&amp;IF(P140&gt;0,"Cotejamos precios e importe. ","")&amp;IF(Q140&gt;0,"Aclaramos el cero. ","")&amp;IF(R140&gt;0,"Comprobamos el texto. ","")&amp;IF(S140&gt;0,"Revisamos decimales visibles. ","")&amp;IF(T140&gt;0,"Confirmamos la unidad.","")),"Hay una entrada con error. Corregimos el dato antes de cerrar la comprobación.")</f>
      </c>
      <c r="N140" s="29" t="n">
        <f>IF(COUNTA('DATOS'!B140:O140)&gt;0,1,0)</f>
        <v>0</v>
      </c>
      <c r="O140" s="29">
        <f>IFERROR(IF(N140=0,"",IF(OR(NOT(AND(LEN(TRIM('DATOS'!B140&amp;""))&gt;0,TRIM('DATOS'!B140&amp;"")&lt;&gt;"Pendiente",TRIM('DATOS'!B140&amp;"")&lt;&gt;"Por confirmar",TRIM('DATOS'!B140&amp;"")&lt;&gt;"No consta",TRIM('DATOS'!B140&amp;"")&lt;&gt;"Desconocido",TRIM('DATOS'!B140&amp;"")&lt;&gt;"Sin confirmar",TRIM('DATOS'!B140&amp;"")&lt;&gt;"Por decidir",TRIM('DATOS'!B140&amp;"")&lt;&gt;"Por comprobar")),NOT(AND(LEN(TRIM('DATOS'!C140&amp;""))&gt;0,TRIM('DATOS'!C140&amp;"")&lt;&gt;"Pendiente",TRIM('DATOS'!C140&amp;"")&lt;&gt;"Por confirmar",TRIM('DATOS'!C140&amp;"")&lt;&gt;"No consta",TRIM('DATOS'!C140&amp;"")&lt;&gt;"Desconocido",TRIM('DATOS'!C140&amp;"")&lt;&gt;"Sin confirmar",TRIM('DATOS'!C140&amp;"")&lt;&gt;"Por decidir",TRIM('DATOS'!C140&amp;"")&lt;&gt;"Por comprobar")),NOT(AND(LEN(TRIM('DATOS'!D140&amp;""))&gt;0,TRIM('DATOS'!D140&amp;"")&lt;&gt;"Pendiente",TRIM('DATOS'!D140&amp;"")&lt;&gt;"Por confirmar",TRIM('DATOS'!D140&amp;"")&lt;&gt;"No consta",TRIM('DATOS'!D140&amp;"")&lt;&gt;"Desconocido",TRIM('DATOS'!D140&amp;"")&lt;&gt;"Sin confirmar",TRIM('DATOS'!D140&amp;"")&lt;&gt;"Por decidir",TRIM('DATOS'!D140&amp;"")&lt;&gt;"Por comprobar")),NOT(AND(LEN(TRIM('DATOS'!E140&amp;""))&gt;0,TRIM('DATOS'!E140&amp;"")&lt;&gt;"Pendiente",TRIM('DATOS'!E140&amp;"")&lt;&gt;"Por confirmar",TRIM('DATOS'!E140&amp;"")&lt;&gt;"No consta",TRIM('DATOS'!E140&amp;"")&lt;&gt;"Desconocido",TRIM('DATOS'!E140&amp;"")&lt;&gt;"Sin confirmar",TRIM('DATOS'!E140&amp;"")&lt;&gt;"Por decidir",TRIM('DATOS'!E140&amp;"")&lt;&gt;"Por comprobar")),NOT(AND(LEN(TRIM('DATOS'!F140&amp;""))&gt;0,TRIM('DATOS'!F140&amp;"")&lt;&gt;"Pendiente",TRIM('DATOS'!F140&amp;"")&lt;&gt;"Por confirmar",TRIM('DATOS'!F140&amp;"")&lt;&gt;"No consta",TRIM('DATOS'!F140&amp;"")&lt;&gt;"Desconocido",TRIM('DATOS'!F140&amp;"")&lt;&gt;"Sin confirmar",TRIM('DATOS'!F140&amp;"")&lt;&gt;"Por decidir",TRIM('DATOS'!F140&amp;"")&lt;&gt;"Por comprobar")),NOT(AND(LEN(TRIM('DATOS'!N140&amp;""))&gt;0,TRIM('DATOS'!N140&amp;"")&lt;&gt;"Pendiente",TRIM('DATOS'!N140&amp;"")&lt;&gt;"Por confirmar",TRIM('DATOS'!N140&amp;"")&lt;&gt;"No consta",TRIM('DATOS'!N140&amp;"")&lt;&gt;"Desconocido",TRIM('DATOS'!N140&amp;"")&lt;&gt;"Sin confirmar",TRIM('DATOS'!N140&amp;"")&lt;&gt;"Por decidir",TRIM('DATOS'!N140&amp;"")&lt;&gt;"Por comprobar")),NOT(Y140=1),W140&lt;&gt;1,X140&gt;1,NOT(OR(LEN(TRIM('DATOS'!K140&amp;""))=0,'DATOS'!K140="Sin valorar",'DATOS'!K140="Sin coste documentado",'DATOS'!K140="Incluido en otra partida",'DATOS'!K140="Por confirmar")),NOT(OR(LEN(TRIM('DATOS'!M140&amp;""))=0,'DATOS'!M140="Sí",'DATOS'!M140="No",'DATOS'!M140="Por confirmar")),NOT(OR(LEN(TRIM('DATOS'!O140&amp;""))=0,'DATOS'!O140="Comparamos",'DATOS'!O140="No existe",'DATOS'!O140="Por confirmar"))),2,IF(AND(OR('DATOS'!G140&lt;0,'DATOS'!H140&lt;0,'DATOS'!J140&lt;0),NOT(AND(LEN(TRIM('DATOS'!L140&amp;""))&gt;0,TRIM('DATOS'!L140&amp;"")&lt;&gt;"Pendiente",TRIM('DATOS'!L140&amp;"")&lt;&gt;"Por confirmar",TRIM('DATOS'!L140&amp;"")&lt;&gt;"No consta",TRIM('DATOS'!L140&amp;"")&lt;&gt;"Desconocido",TRIM('DATOS'!L140&amp;"")&lt;&gt;"Sin confirmar",TRIM('DATOS'!L140&amp;"")&lt;&gt;"Por decidir",TRIM('DATOS'!L140&amp;"")&lt;&gt;"Por comprobar"))),1,0))),2)</f>
      </c>
      <c r="P140" s="29">
        <f>IFERROR(IF(N140=0,"",IF(NOT(Y140=1),1,IF('REFERENCIAS'!$Q$8&lt;&gt;1,2,IF(ABS('DATOS'!J140-ROUND('DATOS'!G140*'DATOS'!H140,'REFERENCIAS'!$K$8))&gt;0.00000001,2,IF('DATOS'!O140="No existe",IF(LEN(TRIM('DATOS'!I140&amp;""))=0,0,2),IF('DATOS'!O140="Comparamos",IF(LEN(TRIM('DATOS'!I140&amp;""))=0,1,IF(ISNUMBER('DATOS'!I140),IF(ABS('DATOS'!H140-'DATOS'!I140)&gt;0.00000001,2,0),2)),1)))))),2)</f>
      </c>
      <c r="Q140" s="29">
        <f>IFERROR(IF(N140=0,"",IF(NOT(Y140=1),1,IF('DATOS'!K140="Sin valorar",2,IF('DATOS'!G140=0,1,IF(OR('DATOS'!H140=0,'DATOS'!J140=0),IF(AND(OR('DATOS'!K140="Sin coste documentado",'DATOS'!K140="Incluido en otra partida"),AND(LEN(TRIM('DATOS'!L140&amp;""))&gt;0,TRIM('DATOS'!L140&amp;"")&lt;&gt;"Pendiente",TRIM('DATOS'!L140&amp;"")&lt;&gt;"Por confirmar",TRIM('DATOS'!L140&amp;"")&lt;&gt;"No consta",TRIM('DATOS'!L140&amp;"")&lt;&gt;"Desconocido",TRIM('DATOS'!L140&amp;"")&lt;&gt;"Sin confirmar",TRIM('DATOS'!L140&amp;"")&lt;&gt;"Por decidir",TRIM('DATOS'!L140&amp;"")&lt;&gt;"Por comprobar")),0,1),0))))),2)</f>
      </c>
      <c r="R140" s="29">
        <f>IFERROR(IF(N140=0,"",IF(OR(NOT(AND(LEN(TRIM('DATOS'!D140&amp;""))&gt;0,TRIM('DATOS'!D140&amp;"")&lt;&gt;"Pendiente",TRIM('DATOS'!D140&amp;"")&lt;&gt;"Por confirmar",TRIM('DATOS'!D140&amp;"")&lt;&gt;"No consta",TRIM('DATOS'!D140&amp;"")&lt;&gt;"Desconocido",TRIM('DATOS'!D140&amp;"")&lt;&gt;"Sin confirmar",TRIM('DATOS'!D140&amp;"")&lt;&gt;"Por decidir",TRIM('DATOS'!D140&amp;"")&lt;&gt;"Por comprobar")),NOT(AND(LEN(TRIM('DATOS'!E140&amp;""))&gt;0,TRIM('DATOS'!E140&amp;"")&lt;&gt;"Pendiente",TRIM('DATOS'!E140&amp;"")&lt;&gt;"Por confirmar",TRIM('DATOS'!E140&amp;"")&lt;&gt;"No consta",TRIM('DATOS'!E140&amp;"")&lt;&gt;"Desconocido",TRIM('DATOS'!E140&amp;"")&lt;&gt;"Sin confirmar",TRIM('DATOS'!E140&amp;"")&lt;&gt;"Por decidir",TRIM('DATOS'!E140&amp;"")&lt;&gt;"Por comprobar"))),2,IF('DATOS'!M140="No",2,IF('DATOS'!M140="Sí",0,IF(OR('DATOS'!D140&lt;&gt;'DATOS'!E140,LEN('DATOS'!E140)&gt;300,RIGHT(TRIM('DATOS'!E140),3)="...",RIGHT(TRIM('DATOS'!E140),1)="…"),1,0))))),2)</f>
      </c>
      <c r="S140" s="29">
        <f>IFERROR(IF(N140=0,"",IF('REFERENCIAS'!$Q$8&lt;&gt;1,2,IF(NOT(Y140=1),1,IF(OR(ABS('DATOS'!G140-ROUND('DATOS'!G140,'REFERENCIAS'!$E$8))&gt;0.00000001,ABS('DATOS'!H140-ROUND('DATOS'!H140,'REFERENCIAS'!$H$8))&gt;0.00000001,ABS('DATOS'!J140-ROUND('DATOS'!J140,'REFERENCIAS'!$K$8))&gt;0.00000001,IF(ISNUMBER('DATOS'!I140),ABS('DATOS'!I140-ROUND('DATOS'!I140,'REFERENCIAS'!$H$8))&gt;0.00000001,FALSE)),1,0)))),2)</f>
      </c>
      <c r="T140" s="29">
        <f>IFERROR(IF(N140=0,"",IF(NOT(AND(LEN(TRIM('DATOS'!F140&amp;""))&gt;0,TRIM('DATOS'!F140&amp;"")&lt;&gt;"Pendiente",TRIM('DATOS'!F140&amp;"")&lt;&gt;"Por confirmar",TRIM('DATOS'!F140&amp;"")&lt;&gt;"No consta",TRIM('DATOS'!F140&amp;"")&lt;&gt;"Desconocido",TRIM('DATOS'!F140&amp;"")&lt;&gt;"Sin confirmar",TRIM('DATOS'!F140&amp;"")&lt;&gt;"Por decidir",TRIM('DATOS'!F140&amp;"")&lt;&gt;"Por comprobar")),2,IF(COUNTIFS('REFERENCIAS'!$T$15:$T$34,"ID:"&amp;SUBSTITUTE(SUBSTITUTE(SUBSTITUTE(SUBSTITUTE(UPPER(TRIM('DATOS'!F140&amp;"")),"!","!E"),"*","!A"),"?","!B"),"~","!C"),'REFERENCIAS'!$H$15:$H$34,"&lt;&gt;")&gt;0,0,1))),2)</f>
      </c>
      <c r="U140" s="29" t="str">
        <f>'DATOS'!R140</f>
        <v>ID:</v>
      </c>
      <c r="V140" s="29" t="str">
        <f>'DATOS'!S140</f>
        <v>ID:</v>
      </c>
      <c r="W140" s="29" t="n">
        <f>IF(N140=0,0,COUNTIFS('REFERENCIAS'!$R$15:$R$64,U140))</f>
        <v>0</v>
      </c>
      <c r="X140" s="29" t="n">
        <f>IF(N140=0,0,COUNTIFS('DATOS'!$R$10:$R$509,U140,'DATOS'!$S$10:$S$509,V140))</f>
        <v>0</v>
      </c>
      <c r="Y140" s="29" t="n">
        <f>IF(AND(ISNUMBER('DATOS'!G140),ISNUMBER('DATOS'!H140),ISNUMBER('DATOS'!J140)),1,0)</f>
        <v>0</v>
      </c>
    </row>
    <row r="141" ht="64" customHeight="1">
      <c r="B141" s="26">
        <f>IF(N141=1,132,"")</f>
      </c>
      <c r="C141" s="26">
        <f>IF(AND(N141=1,LEN(TRIM('DATOS'!B141&amp;""))&gt;0),'DATOS'!B141,"")</f>
      </c>
      <c r="D141" s="26">
        <f>IF(AND(N141=1,LEN(TRIM('DATOS'!C141&amp;""))&gt;0),'DATOS'!C141,"")</f>
      </c>
      <c r="E141" s="26">
        <f>IF(NOT(ISNUMBER(P141)),"",IF(P141=2,"ROJO",IF(P141=1,"ÁMBAR","VERDE")))</f>
      </c>
      <c r="F141" s="26">
        <f>IF(NOT(ISNUMBER(Q141)),"",IF(Q141=2,"ROJO",IF(Q141=1,"ÁMBAR","VERDE")))</f>
      </c>
      <c r="G141" s="26">
        <f>IF(NOT(ISNUMBER(R141)),"",IF(R141=2,"ROJO",IF(R141=1,"ÁMBAR","VERDE")))</f>
      </c>
      <c r="H141" s="26">
        <f>IF(NOT(ISNUMBER(S141)),"",IF(S141=2,"ROJO",IF(S141=1,"ÁMBAR","VERDE")))</f>
      </c>
      <c r="I141" s="26">
        <f>IF(NOT(ISNUMBER(T141)),"",IF(T141=2,"ROJO",IF(T141=1,"ÁMBAR","VERDE")))</f>
      </c>
      <c r="J141" s="26">
        <f>IF(NOT(ISNUMBER(O141)),"",IF(O141=2,"ROJO",IF(O141=1,"ÁMBAR","VERDE")))</f>
      </c>
      <c r="K141" s="26">
        <f>IFERROR(IF(AND(N141=1,LEN(TRIM('DATOS'!N141&amp;""))&gt;0),'DATOS'!N141,""),"Hay una entrada con error. Corregimos el dato antes de cerrar la comprobación.")</f>
      </c>
      <c r="L141" s="26">
        <f>IFERROR(IF(N141=0,"",IF(O141&gt;0,"Completamos datos, claves o motivo. ","")&amp;IF(P141&gt;0,"Cotejamos precios e importe. ","")&amp;IF(Q141&gt;0,"Aclaramos el cero. ","")&amp;IF(R141&gt;0,"Comprobamos el texto. ","")&amp;IF(S141&gt;0,"Revisamos decimales visibles. ","")&amp;IF(T141&gt;0,"Confirmamos la unidad.","")),"Hay una entrada con error. Corregimos el dato antes de cerrar la comprobación.")</f>
      </c>
      <c r="N141" s="29" t="n">
        <f>IF(COUNTA('DATOS'!B141:O141)&gt;0,1,0)</f>
        <v>0</v>
      </c>
      <c r="O141" s="29">
        <f>IFERROR(IF(N141=0,"",IF(OR(NOT(AND(LEN(TRIM('DATOS'!B141&amp;""))&gt;0,TRIM('DATOS'!B141&amp;"")&lt;&gt;"Pendiente",TRIM('DATOS'!B141&amp;"")&lt;&gt;"Por confirmar",TRIM('DATOS'!B141&amp;"")&lt;&gt;"No consta",TRIM('DATOS'!B141&amp;"")&lt;&gt;"Desconocido",TRIM('DATOS'!B141&amp;"")&lt;&gt;"Sin confirmar",TRIM('DATOS'!B141&amp;"")&lt;&gt;"Por decidir",TRIM('DATOS'!B141&amp;"")&lt;&gt;"Por comprobar")),NOT(AND(LEN(TRIM('DATOS'!C141&amp;""))&gt;0,TRIM('DATOS'!C141&amp;"")&lt;&gt;"Pendiente",TRIM('DATOS'!C141&amp;"")&lt;&gt;"Por confirmar",TRIM('DATOS'!C141&amp;"")&lt;&gt;"No consta",TRIM('DATOS'!C141&amp;"")&lt;&gt;"Desconocido",TRIM('DATOS'!C141&amp;"")&lt;&gt;"Sin confirmar",TRIM('DATOS'!C141&amp;"")&lt;&gt;"Por decidir",TRIM('DATOS'!C141&amp;"")&lt;&gt;"Por comprobar")),NOT(AND(LEN(TRIM('DATOS'!D141&amp;""))&gt;0,TRIM('DATOS'!D141&amp;"")&lt;&gt;"Pendiente",TRIM('DATOS'!D141&amp;"")&lt;&gt;"Por confirmar",TRIM('DATOS'!D141&amp;"")&lt;&gt;"No consta",TRIM('DATOS'!D141&amp;"")&lt;&gt;"Desconocido",TRIM('DATOS'!D141&amp;"")&lt;&gt;"Sin confirmar",TRIM('DATOS'!D141&amp;"")&lt;&gt;"Por decidir",TRIM('DATOS'!D141&amp;"")&lt;&gt;"Por comprobar")),NOT(AND(LEN(TRIM('DATOS'!E141&amp;""))&gt;0,TRIM('DATOS'!E141&amp;"")&lt;&gt;"Pendiente",TRIM('DATOS'!E141&amp;"")&lt;&gt;"Por confirmar",TRIM('DATOS'!E141&amp;"")&lt;&gt;"No consta",TRIM('DATOS'!E141&amp;"")&lt;&gt;"Desconocido",TRIM('DATOS'!E141&amp;"")&lt;&gt;"Sin confirmar",TRIM('DATOS'!E141&amp;"")&lt;&gt;"Por decidir",TRIM('DATOS'!E141&amp;"")&lt;&gt;"Por comprobar")),NOT(AND(LEN(TRIM('DATOS'!F141&amp;""))&gt;0,TRIM('DATOS'!F141&amp;"")&lt;&gt;"Pendiente",TRIM('DATOS'!F141&amp;"")&lt;&gt;"Por confirmar",TRIM('DATOS'!F141&amp;"")&lt;&gt;"No consta",TRIM('DATOS'!F141&amp;"")&lt;&gt;"Desconocido",TRIM('DATOS'!F141&amp;"")&lt;&gt;"Sin confirmar",TRIM('DATOS'!F141&amp;"")&lt;&gt;"Por decidir",TRIM('DATOS'!F141&amp;"")&lt;&gt;"Por comprobar")),NOT(AND(LEN(TRIM('DATOS'!N141&amp;""))&gt;0,TRIM('DATOS'!N141&amp;"")&lt;&gt;"Pendiente",TRIM('DATOS'!N141&amp;"")&lt;&gt;"Por confirmar",TRIM('DATOS'!N141&amp;"")&lt;&gt;"No consta",TRIM('DATOS'!N141&amp;"")&lt;&gt;"Desconocido",TRIM('DATOS'!N141&amp;"")&lt;&gt;"Sin confirmar",TRIM('DATOS'!N141&amp;"")&lt;&gt;"Por decidir",TRIM('DATOS'!N141&amp;"")&lt;&gt;"Por comprobar")),NOT(Y141=1),W141&lt;&gt;1,X141&gt;1,NOT(OR(LEN(TRIM('DATOS'!K141&amp;""))=0,'DATOS'!K141="Sin valorar",'DATOS'!K141="Sin coste documentado",'DATOS'!K141="Incluido en otra partida",'DATOS'!K141="Por confirmar")),NOT(OR(LEN(TRIM('DATOS'!M141&amp;""))=0,'DATOS'!M141="Sí",'DATOS'!M141="No",'DATOS'!M141="Por confirmar")),NOT(OR(LEN(TRIM('DATOS'!O141&amp;""))=0,'DATOS'!O141="Comparamos",'DATOS'!O141="No existe",'DATOS'!O141="Por confirmar"))),2,IF(AND(OR('DATOS'!G141&lt;0,'DATOS'!H141&lt;0,'DATOS'!J141&lt;0),NOT(AND(LEN(TRIM('DATOS'!L141&amp;""))&gt;0,TRIM('DATOS'!L141&amp;"")&lt;&gt;"Pendiente",TRIM('DATOS'!L141&amp;"")&lt;&gt;"Por confirmar",TRIM('DATOS'!L141&amp;"")&lt;&gt;"No consta",TRIM('DATOS'!L141&amp;"")&lt;&gt;"Desconocido",TRIM('DATOS'!L141&amp;"")&lt;&gt;"Sin confirmar",TRIM('DATOS'!L141&amp;"")&lt;&gt;"Por decidir",TRIM('DATOS'!L141&amp;"")&lt;&gt;"Por comprobar"))),1,0))),2)</f>
      </c>
      <c r="P141" s="29">
        <f>IFERROR(IF(N141=0,"",IF(NOT(Y141=1),1,IF('REFERENCIAS'!$Q$8&lt;&gt;1,2,IF(ABS('DATOS'!J141-ROUND('DATOS'!G141*'DATOS'!H141,'REFERENCIAS'!$K$8))&gt;0.00000001,2,IF('DATOS'!O141="No existe",IF(LEN(TRIM('DATOS'!I141&amp;""))=0,0,2),IF('DATOS'!O141="Comparamos",IF(LEN(TRIM('DATOS'!I141&amp;""))=0,1,IF(ISNUMBER('DATOS'!I141),IF(ABS('DATOS'!H141-'DATOS'!I141)&gt;0.00000001,2,0),2)),1)))))),2)</f>
      </c>
      <c r="Q141" s="29">
        <f>IFERROR(IF(N141=0,"",IF(NOT(Y141=1),1,IF('DATOS'!K141="Sin valorar",2,IF('DATOS'!G141=0,1,IF(OR('DATOS'!H141=0,'DATOS'!J141=0),IF(AND(OR('DATOS'!K141="Sin coste documentado",'DATOS'!K141="Incluido en otra partida"),AND(LEN(TRIM('DATOS'!L141&amp;""))&gt;0,TRIM('DATOS'!L141&amp;"")&lt;&gt;"Pendiente",TRIM('DATOS'!L141&amp;"")&lt;&gt;"Por confirmar",TRIM('DATOS'!L141&amp;"")&lt;&gt;"No consta",TRIM('DATOS'!L141&amp;"")&lt;&gt;"Desconocido",TRIM('DATOS'!L141&amp;"")&lt;&gt;"Sin confirmar",TRIM('DATOS'!L141&amp;"")&lt;&gt;"Por decidir",TRIM('DATOS'!L141&amp;"")&lt;&gt;"Por comprobar")),0,1),0))))),2)</f>
      </c>
      <c r="R141" s="29">
        <f>IFERROR(IF(N141=0,"",IF(OR(NOT(AND(LEN(TRIM('DATOS'!D141&amp;""))&gt;0,TRIM('DATOS'!D141&amp;"")&lt;&gt;"Pendiente",TRIM('DATOS'!D141&amp;"")&lt;&gt;"Por confirmar",TRIM('DATOS'!D141&amp;"")&lt;&gt;"No consta",TRIM('DATOS'!D141&amp;"")&lt;&gt;"Desconocido",TRIM('DATOS'!D141&amp;"")&lt;&gt;"Sin confirmar",TRIM('DATOS'!D141&amp;"")&lt;&gt;"Por decidir",TRIM('DATOS'!D141&amp;"")&lt;&gt;"Por comprobar")),NOT(AND(LEN(TRIM('DATOS'!E141&amp;""))&gt;0,TRIM('DATOS'!E141&amp;"")&lt;&gt;"Pendiente",TRIM('DATOS'!E141&amp;"")&lt;&gt;"Por confirmar",TRIM('DATOS'!E141&amp;"")&lt;&gt;"No consta",TRIM('DATOS'!E141&amp;"")&lt;&gt;"Desconocido",TRIM('DATOS'!E141&amp;"")&lt;&gt;"Sin confirmar",TRIM('DATOS'!E141&amp;"")&lt;&gt;"Por decidir",TRIM('DATOS'!E141&amp;"")&lt;&gt;"Por comprobar"))),2,IF('DATOS'!M141="No",2,IF('DATOS'!M141="Sí",0,IF(OR('DATOS'!D141&lt;&gt;'DATOS'!E141,LEN('DATOS'!E141)&gt;300,RIGHT(TRIM('DATOS'!E141),3)="...",RIGHT(TRIM('DATOS'!E141),1)="…"),1,0))))),2)</f>
      </c>
      <c r="S141" s="29">
        <f>IFERROR(IF(N141=0,"",IF('REFERENCIAS'!$Q$8&lt;&gt;1,2,IF(NOT(Y141=1),1,IF(OR(ABS('DATOS'!G141-ROUND('DATOS'!G141,'REFERENCIAS'!$E$8))&gt;0.00000001,ABS('DATOS'!H141-ROUND('DATOS'!H141,'REFERENCIAS'!$H$8))&gt;0.00000001,ABS('DATOS'!J141-ROUND('DATOS'!J141,'REFERENCIAS'!$K$8))&gt;0.00000001,IF(ISNUMBER('DATOS'!I141),ABS('DATOS'!I141-ROUND('DATOS'!I141,'REFERENCIAS'!$H$8))&gt;0.00000001,FALSE)),1,0)))),2)</f>
      </c>
      <c r="T141" s="29">
        <f>IFERROR(IF(N141=0,"",IF(NOT(AND(LEN(TRIM('DATOS'!F141&amp;""))&gt;0,TRIM('DATOS'!F141&amp;"")&lt;&gt;"Pendiente",TRIM('DATOS'!F141&amp;"")&lt;&gt;"Por confirmar",TRIM('DATOS'!F141&amp;"")&lt;&gt;"No consta",TRIM('DATOS'!F141&amp;"")&lt;&gt;"Desconocido",TRIM('DATOS'!F141&amp;"")&lt;&gt;"Sin confirmar",TRIM('DATOS'!F141&amp;"")&lt;&gt;"Por decidir",TRIM('DATOS'!F141&amp;"")&lt;&gt;"Por comprobar")),2,IF(COUNTIFS('REFERENCIAS'!$T$15:$T$34,"ID:"&amp;SUBSTITUTE(SUBSTITUTE(SUBSTITUTE(SUBSTITUTE(UPPER(TRIM('DATOS'!F141&amp;"")),"!","!E"),"*","!A"),"?","!B"),"~","!C"),'REFERENCIAS'!$H$15:$H$34,"&lt;&gt;")&gt;0,0,1))),2)</f>
      </c>
      <c r="U141" s="29" t="str">
        <f>'DATOS'!R141</f>
        <v>ID:</v>
      </c>
      <c r="V141" s="29" t="str">
        <f>'DATOS'!S141</f>
        <v>ID:</v>
      </c>
      <c r="W141" s="29" t="n">
        <f>IF(N141=0,0,COUNTIFS('REFERENCIAS'!$R$15:$R$64,U141))</f>
        <v>0</v>
      </c>
      <c r="X141" s="29" t="n">
        <f>IF(N141=0,0,COUNTIFS('DATOS'!$R$10:$R$509,U141,'DATOS'!$S$10:$S$509,V141))</f>
        <v>0</v>
      </c>
      <c r="Y141" s="29" t="n">
        <f>IF(AND(ISNUMBER('DATOS'!G141),ISNUMBER('DATOS'!H141),ISNUMBER('DATOS'!J141)),1,0)</f>
        <v>0</v>
      </c>
    </row>
    <row r="142" ht="64" customHeight="1">
      <c r="B142" s="26">
        <f>IF(N142=1,133,"")</f>
      </c>
      <c r="C142" s="26">
        <f>IF(AND(N142=1,LEN(TRIM('DATOS'!B142&amp;""))&gt;0),'DATOS'!B142,"")</f>
      </c>
      <c r="D142" s="26">
        <f>IF(AND(N142=1,LEN(TRIM('DATOS'!C142&amp;""))&gt;0),'DATOS'!C142,"")</f>
      </c>
      <c r="E142" s="26">
        <f>IF(NOT(ISNUMBER(P142)),"",IF(P142=2,"ROJO",IF(P142=1,"ÁMBAR","VERDE")))</f>
      </c>
      <c r="F142" s="26">
        <f>IF(NOT(ISNUMBER(Q142)),"",IF(Q142=2,"ROJO",IF(Q142=1,"ÁMBAR","VERDE")))</f>
      </c>
      <c r="G142" s="26">
        <f>IF(NOT(ISNUMBER(R142)),"",IF(R142=2,"ROJO",IF(R142=1,"ÁMBAR","VERDE")))</f>
      </c>
      <c r="H142" s="26">
        <f>IF(NOT(ISNUMBER(S142)),"",IF(S142=2,"ROJO",IF(S142=1,"ÁMBAR","VERDE")))</f>
      </c>
      <c r="I142" s="26">
        <f>IF(NOT(ISNUMBER(T142)),"",IF(T142=2,"ROJO",IF(T142=1,"ÁMBAR","VERDE")))</f>
      </c>
      <c r="J142" s="26">
        <f>IF(NOT(ISNUMBER(O142)),"",IF(O142=2,"ROJO",IF(O142=1,"ÁMBAR","VERDE")))</f>
      </c>
      <c r="K142" s="26">
        <f>IFERROR(IF(AND(N142=1,LEN(TRIM('DATOS'!N142&amp;""))&gt;0),'DATOS'!N142,""),"Hay una entrada con error. Corregimos el dato antes de cerrar la comprobación.")</f>
      </c>
      <c r="L142" s="26">
        <f>IFERROR(IF(N142=0,"",IF(O142&gt;0,"Completamos datos, claves o motivo. ","")&amp;IF(P142&gt;0,"Cotejamos precios e importe. ","")&amp;IF(Q142&gt;0,"Aclaramos el cero. ","")&amp;IF(R142&gt;0,"Comprobamos el texto. ","")&amp;IF(S142&gt;0,"Revisamos decimales visibles. ","")&amp;IF(T142&gt;0,"Confirmamos la unidad.","")),"Hay una entrada con error. Corregimos el dato antes de cerrar la comprobación.")</f>
      </c>
      <c r="N142" s="29" t="n">
        <f>IF(COUNTA('DATOS'!B142:O142)&gt;0,1,0)</f>
        <v>0</v>
      </c>
      <c r="O142" s="29">
        <f>IFERROR(IF(N142=0,"",IF(OR(NOT(AND(LEN(TRIM('DATOS'!B142&amp;""))&gt;0,TRIM('DATOS'!B142&amp;"")&lt;&gt;"Pendiente",TRIM('DATOS'!B142&amp;"")&lt;&gt;"Por confirmar",TRIM('DATOS'!B142&amp;"")&lt;&gt;"No consta",TRIM('DATOS'!B142&amp;"")&lt;&gt;"Desconocido",TRIM('DATOS'!B142&amp;"")&lt;&gt;"Sin confirmar",TRIM('DATOS'!B142&amp;"")&lt;&gt;"Por decidir",TRIM('DATOS'!B142&amp;"")&lt;&gt;"Por comprobar")),NOT(AND(LEN(TRIM('DATOS'!C142&amp;""))&gt;0,TRIM('DATOS'!C142&amp;"")&lt;&gt;"Pendiente",TRIM('DATOS'!C142&amp;"")&lt;&gt;"Por confirmar",TRIM('DATOS'!C142&amp;"")&lt;&gt;"No consta",TRIM('DATOS'!C142&amp;"")&lt;&gt;"Desconocido",TRIM('DATOS'!C142&amp;"")&lt;&gt;"Sin confirmar",TRIM('DATOS'!C142&amp;"")&lt;&gt;"Por decidir",TRIM('DATOS'!C142&amp;"")&lt;&gt;"Por comprobar")),NOT(AND(LEN(TRIM('DATOS'!D142&amp;""))&gt;0,TRIM('DATOS'!D142&amp;"")&lt;&gt;"Pendiente",TRIM('DATOS'!D142&amp;"")&lt;&gt;"Por confirmar",TRIM('DATOS'!D142&amp;"")&lt;&gt;"No consta",TRIM('DATOS'!D142&amp;"")&lt;&gt;"Desconocido",TRIM('DATOS'!D142&amp;"")&lt;&gt;"Sin confirmar",TRIM('DATOS'!D142&amp;"")&lt;&gt;"Por decidir",TRIM('DATOS'!D142&amp;"")&lt;&gt;"Por comprobar")),NOT(AND(LEN(TRIM('DATOS'!E142&amp;""))&gt;0,TRIM('DATOS'!E142&amp;"")&lt;&gt;"Pendiente",TRIM('DATOS'!E142&amp;"")&lt;&gt;"Por confirmar",TRIM('DATOS'!E142&amp;"")&lt;&gt;"No consta",TRIM('DATOS'!E142&amp;"")&lt;&gt;"Desconocido",TRIM('DATOS'!E142&amp;"")&lt;&gt;"Sin confirmar",TRIM('DATOS'!E142&amp;"")&lt;&gt;"Por decidir",TRIM('DATOS'!E142&amp;"")&lt;&gt;"Por comprobar")),NOT(AND(LEN(TRIM('DATOS'!F142&amp;""))&gt;0,TRIM('DATOS'!F142&amp;"")&lt;&gt;"Pendiente",TRIM('DATOS'!F142&amp;"")&lt;&gt;"Por confirmar",TRIM('DATOS'!F142&amp;"")&lt;&gt;"No consta",TRIM('DATOS'!F142&amp;"")&lt;&gt;"Desconocido",TRIM('DATOS'!F142&amp;"")&lt;&gt;"Sin confirmar",TRIM('DATOS'!F142&amp;"")&lt;&gt;"Por decidir",TRIM('DATOS'!F142&amp;"")&lt;&gt;"Por comprobar")),NOT(AND(LEN(TRIM('DATOS'!N142&amp;""))&gt;0,TRIM('DATOS'!N142&amp;"")&lt;&gt;"Pendiente",TRIM('DATOS'!N142&amp;"")&lt;&gt;"Por confirmar",TRIM('DATOS'!N142&amp;"")&lt;&gt;"No consta",TRIM('DATOS'!N142&amp;"")&lt;&gt;"Desconocido",TRIM('DATOS'!N142&amp;"")&lt;&gt;"Sin confirmar",TRIM('DATOS'!N142&amp;"")&lt;&gt;"Por decidir",TRIM('DATOS'!N142&amp;"")&lt;&gt;"Por comprobar")),NOT(Y142=1),W142&lt;&gt;1,X142&gt;1,NOT(OR(LEN(TRIM('DATOS'!K142&amp;""))=0,'DATOS'!K142="Sin valorar",'DATOS'!K142="Sin coste documentado",'DATOS'!K142="Incluido en otra partida",'DATOS'!K142="Por confirmar")),NOT(OR(LEN(TRIM('DATOS'!M142&amp;""))=0,'DATOS'!M142="Sí",'DATOS'!M142="No",'DATOS'!M142="Por confirmar")),NOT(OR(LEN(TRIM('DATOS'!O142&amp;""))=0,'DATOS'!O142="Comparamos",'DATOS'!O142="No existe",'DATOS'!O142="Por confirmar"))),2,IF(AND(OR('DATOS'!G142&lt;0,'DATOS'!H142&lt;0,'DATOS'!J142&lt;0),NOT(AND(LEN(TRIM('DATOS'!L142&amp;""))&gt;0,TRIM('DATOS'!L142&amp;"")&lt;&gt;"Pendiente",TRIM('DATOS'!L142&amp;"")&lt;&gt;"Por confirmar",TRIM('DATOS'!L142&amp;"")&lt;&gt;"No consta",TRIM('DATOS'!L142&amp;"")&lt;&gt;"Desconocido",TRIM('DATOS'!L142&amp;"")&lt;&gt;"Sin confirmar",TRIM('DATOS'!L142&amp;"")&lt;&gt;"Por decidir",TRIM('DATOS'!L142&amp;"")&lt;&gt;"Por comprobar"))),1,0))),2)</f>
      </c>
      <c r="P142" s="29">
        <f>IFERROR(IF(N142=0,"",IF(NOT(Y142=1),1,IF('REFERENCIAS'!$Q$8&lt;&gt;1,2,IF(ABS('DATOS'!J142-ROUND('DATOS'!G142*'DATOS'!H142,'REFERENCIAS'!$K$8))&gt;0.00000001,2,IF('DATOS'!O142="No existe",IF(LEN(TRIM('DATOS'!I142&amp;""))=0,0,2),IF('DATOS'!O142="Comparamos",IF(LEN(TRIM('DATOS'!I142&amp;""))=0,1,IF(ISNUMBER('DATOS'!I142),IF(ABS('DATOS'!H142-'DATOS'!I142)&gt;0.00000001,2,0),2)),1)))))),2)</f>
      </c>
      <c r="Q142" s="29">
        <f>IFERROR(IF(N142=0,"",IF(NOT(Y142=1),1,IF('DATOS'!K142="Sin valorar",2,IF('DATOS'!G142=0,1,IF(OR('DATOS'!H142=0,'DATOS'!J142=0),IF(AND(OR('DATOS'!K142="Sin coste documentado",'DATOS'!K142="Incluido en otra partida"),AND(LEN(TRIM('DATOS'!L142&amp;""))&gt;0,TRIM('DATOS'!L142&amp;"")&lt;&gt;"Pendiente",TRIM('DATOS'!L142&amp;"")&lt;&gt;"Por confirmar",TRIM('DATOS'!L142&amp;"")&lt;&gt;"No consta",TRIM('DATOS'!L142&amp;"")&lt;&gt;"Desconocido",TRIM('DATOS'!L142&amp;"")&lt;&gt;"Sin confirmar",TRIM('DATOS'!L142&amp;"")&lt;&gt;"Por decidir",TRIM('DATOS'!L142&amp;"")&lt;&gt;"Por comprobar")),0,1),0))))),2)</f>
      </c>
      <c r="R142" s="29">
        <f>IFERROR(IF(N142=0,"",IF(OR(NOT(AND(LEN(TRIM('DATOS'!D142&amp;""))&gt;0,TRIM('DATOS'!D142&amp;"")&lt;&gt;"Pendiente",TRIM('DATOS'!D142&amp;"")&lt;&gt;"Por confirmar",TRIM('DATOS'!D142&amp;"")&lt;&gt;"No consta",TRIM('DATOS'!D142&amp;"")&lt;&gt;"Desconocido",TRIM('DATOS'!D142&amp;"")&lt;&gt;"Sin confirmar",TRIM('DATOS'!D142&amp;"")&lt;&gt;"Por decidir",TRIM('DATOS'!D142&amp;"")&lt;&gt;"Por comprobar")),NOT(AND(LEN(TRIM('DATOS'!E142&amp;""))&gt;0,TRIM('DATOS'!E142&amp;"")&lt;&gt;"Pendiente",TRIM('DATOS'!E142&amp;"")&lt;&gt;"Por confirmar",TRIM('DATOS'!E142&amp;"")&lt;&gt;"No consta",TRIM('DATOS'!E142&amp;"")&lt;&gt;"Desconocido",TRIM('DATOS'!E142&amp;"")&lt;&gt;"Sin confirmar",TRIM('DATOS'!E142&amp;"")&lt;&gt;"Por decidir",TRIM('DATOS'!E142&amp;"")&lt;&gt;"Por comprobar"))),2,IF('DATOS'!M142="No",2,IF('DATOS'!M142="Sí",0,IF(OR('DATOS'!D142&lt;&gt;'DATOS'!E142,LEN('DATOS'!E142)&gt;300,RIGHT(TRIM('DATOS'!E142),3)="...",RIGHT(TRIM('DATOS'!E142),1)="…"),1,0))))),2)</f>
      </c>
      <c r="S142" s="29">
        <f>IFERROR(IF(N142=0,"",IF('REFERENCIAS'!$Q$8&lt;&gt;1,2,IF(NOT(Y142=1),1,IF(OR(ABS('DATOS'!G142-ROUND('DATOS'!G142,'REFERENCIAS'!$E$8))&gt;0.00000001,ABS('DATOS'!H142-ROUND('DATOS'!H142,'REFERENCIAS'!$H$8))&gt;0.00000001,ABS('DATOS'!J142-ROUND('DATOS'!J142,'REFERENCIAS'!$K$8))&gt;0.00000001,IF(ISNUMBER('DATOS'!I142),ABS('DATOS'!I142-ROUND('DATOS'!I142,'REFERENCIAS'!$H$8))&gt;0.00000001,FALSE)),1,0)))),2)</f>
      </c>
      <c r="T142" s="29">
        <f>IFERROR(IF(N142=0,"",IF(NOT(AND(LEN(TRIM('DATOS'!F142&amp;""))&gt;0,TRIM('DATOS'!F142&amp;"")&lt;&gt;"Pendiente",TRIM('DATOS'!F142&amp;"")&lt;&gt;"Por confirmar",TRIM('DATOS'!F142&amp;"")&lt;&gt;"No consta",TRIM('DATOS'!F142&amp;"")&lt;&gt;"Desconocido",TRIM('DATOS'!F142&amp;"")&lt;&gt;"Sin confirmar",TRIM('DATOS'!F142&amp;"")&lt;&gt;"Por decidir",TRIM('DATOS'!F142&amp;"")&lt;&gt;"Por comprobar")),2,IF(COUNTIFS('REFERENCIAS'!$T$15:$T$34,"ID:"&amp;SUBSTITUTE(SUBSTITUTE(SUBSTITUTE(SUBSTITUTE(UPPER(TRIM('DATOS'!F142&amp;"")),"!","!E"),"*","!A"),"?","!B"),"~","!C"),'REFERENCIAS'!$H$15:$H$34,"&lt;&gt;")&gt;0,0,1))),2)</f>
      </c>
      <c r="U142" s="29" t="str">
        <f>'DATOS'!R142</f>
        <v>ID:</v>
      </c>
      <c r="V142" s="29" t="str">
        <f>'DATOS'!S142</f>
        <v>ID:</v>
      </c>
      <c r="W142" s="29" t="n">
        <f>IF(N142=0,0,COUNTIFS('REFERENCIAS'!$R$15:$R$64,U142))</f>
        <v>0</v>
      </c>
      <c r="X142" s="29" t="n">
        <f>IF(N142=0,0,COUNTIFS('DATOS'!$R$10:$R$509,U142,'DATOS'!$S$10:$S$509,V142))</f>
        <v>0</v>
      </c>
      <c r="Y142" s="29" t="n">
        <f>IF(AND(ISNUMBER('DATOS'!G142),ISNUMBER('DATOS'!H142),ISNUMBER('DATOS'!J142)),1,0)</f>
        <v>0</v>
      </c>
    </row>
    <row r="143" ht="64" customHeight="1">
      <c r="B143" s="26">
        <f>IF(N143=1,134,"")</f>
      </c>
      <c r="C143" s="26">
        <f>IF(AND(N143=1,LEN(TRIM('DATOS'!B143&amp;""))&gt;0),'DATOS'!B143,"")</f>
      </c>
      <c r="D143" s="26">
        <f>IF(AND(N143=1,LEN(TRIM('DATOS'!C143&amp;""))&gt;0),'DATOS'!C143,"")</f>
      </c>
      <c r="E143" s="26">
        <f>IF(NOT(ISNUMBER(P143)),"",IF(P143=2,"ROJO",IF(P143=1,"ÁMBAR","VERDE")))</f>
      </c>
      <c r="F143" s="26">
        <f>IF(NOT(ISNUMBER(Q143)),"",IF(Q143=2,"ROJO",IF(Q143=1,"ÁMBAR","VERDE")))</f>
      </c>
      <c r="G143" s="26">
        <f>IF(NOT(ISNUMBER(R143)),"",IF(R143=2,"ROJO",IF(R143=1,"ÁMBAR","VERDE")))</f>
      </c>
      <c r="H143" s="26">
        <f>IF(NOT(ISNUMBER(S143)),"",IF(S143=2,"ROJO",IF(S143=1,"ÁMBAR","VERDE")))</f>
      </c>
      <c r="I143" s="26">
        <f>IF(NOT(ISNUMBER(T143)),"",IF(T143=2,"ROJO",IF(T143=1,"ÁMBAR","VERDE")))</f>
      </c>
      <c r="J143" s="26">
        <f>IF(NOT(ISNUMBER(O143)),"",IF(O143=2,"ROJO",IF(O143=1,"ÁMBAR","VERDE")))</f>
      </c>
      <c r="K143" s="26">
        <f>IFERROR(IF(AND(N143=1,LEN(TRIM('DATOS'!N143&amp;""))&gt;0),'DATOS'!N143,""),"Hay una entrada con error. Corregimos el dato antes de cerrar la comprobación.")</f>
      </c>
      <c r="L143" s="26">
        <f>IFERROR(IF(N143=0,"",IF(O143&gt;0,"Completamos datos, claves o motivo. ","")&amp;IF(P143&gt;0,"Cotejamos precios e importe. ","")&amp;IF(Q143&gt;0,"Aclaramos el cero. ","")&amp;IF(R143&gt;0,"Comprobamos el texto. ","")&amp;IF(S143&gt;0,"Revisamos decimales visibles. ","")&amp;IF(T143&gt;0,"Confirmamos la unidad.","")),"Hay una entrada con error. Corregimos el dato antes de cerrar la comprobación.")</f>
      </c>
      <c r="N143" s="29" t="n">
        <f>IF(COUNTA('DATOS'!B143:O143)&gt;0,1,0)</f>
        <v>0</v>
      </c>
      <c r="O143" s="29">
        <f>IFERROR(IF(N143=0,"",IF(OR(NOT(AND(LEN(TRIM('DATOS'!B143&amp;""))&gt;0,TRIM('DATOS'!B143&amp;"")&lt;&gt;"Pendiente",TRIM('DATOS'!B143&amp;"")&lt;&gt;"Por confirmar",TRIM('DATOS'!B143&amp;"")&lt;&gt;"No consta",TRIM('DATOS'!B143&amp;"")&lt;&gt;"Desconocido",TRIM('DATOS'!B143&amp;"")&lt;&gt;"Sin confirmar",TRIM('DATOS'!B143&amp;"")&lt;&gt;"Por decidir",TRIM('DATOS'!B143&amp;"")&lt;&gt;"Por comprobar")),NOT(AND(LEN(TRIM('DATOS'!C143&amp;""))&gt;0,TRIM('DATOS'!C143&amp;"")&lt;&gt;"Pendiente",TRIM('DATOS'!C143&amp;"")&lt;&gt;"Por confirmar",TRIM('DATOS'!C143&amp;"")&lt;&gt;"No consta",TRIM('DATOS'!C143&amp;"")&lt;&gt;"Desconocido",TRIM('DATOS'!C143&amp;"")&lt;&gt;"Sin confirmar",TRIM('DATOS'!C143&amp;"")&lt;&gt;"Por decidir",TRIM('DATOS'!C143&amp;"")&lt;&gt;"Por comprobar")),NOT(AND(LEN(TRIM('DATOS'!D143&amp;""))&gt;0,TRIM('DATOS'!D143&amp;"")&lt;&gt;"Pendiente",TRIM('DATOS'!D143&amp;"")&lt;&gt;"Por confirmar",TRIM('DATOS'!D143&amp;"")&lt;&gt;"No consta",TRIM('DATOS'!D143&amp;"")&lt;&gt;"Desconocido",TRIM('DATOS'!D143&amp;"")&lt;&gt;"Sin confirmar",TRIM('DATOS'!D143&amp;"")&lt;&gt;"Por decidir",TRIM('DATOS'!D143&amp;"")&lt;&gt;"Por comprobar")),NOT(AND(LEN(TRIM('DATOS'!E143&amp;""))&gt;0,TRIM('DATOS'!E143&amp;"")&lt;&gt;"Pendiente",TRIM('DATOS'!E143&amp;"")&lt;&gt;"Por confirmar",TRIM('DATOS'!E143&amp;"")&lt;&gt;"No consta",TRIM('DATOS'!E143&amp;"")&lt;&gt;"Desconocido",TRIM('DATOS'!E143&amp;"")&lt;&gt;"Sin confirmar",TRIM('DATOS'!E143&amp;"")&lt;&gt;"Por decidir",TRIM('DATOS'!E143&amp;"")&lt;&gt;"Por comprobar")),NOT(AND(LEN(TRIM('DATOS'!F143&amp;""))&gt;0,TRIM('DATOS'!F143&amp;"")&lt;&gt;"Pendiente",TRIM('DATOS'!F143&amp;"")&lt;&gt;"Por confirmar",TRIM('DATOS'!F143&amp;"")&lt;&gt;"No consta",TRIM('DATOS'!F143&amp;"")&lt;&gt;"Desconocido",TRIM('DATOS'!F143&amp;"")&lt;&gt;"Sin confirmar",TRIM('DATOS'!F143&amp;"")&lt;&gt;"Por decidir",TRIM('DATOS'!F143&amp;"")&lt;&gt;"Por comprobar")),NOT(AND(LEN(TRIM('DATOS'!N143&amp;""))&gt;0,TRIM('DATOS'!N143&amp;"")&lt;&gt;"Pendiente",TRIM('DATOS'!N143&amp;"")&lt;&gt;"Por confirmar",TRIM('DATOS'!N143&amp;"")&lt;&gt;"No consta",TRIM('DATOS'!N143&amp;"")&lt;&gt;"Desconocido",TRIM('DATOS'!N143&amp;"")&lt;&gt;"Sin confirmar",TRIM('DATOS'!N143&amp;"")&lt;&gt;"Por decidir",TRIM('DATOS'!N143&amp;"")&lt;&gt;"Por comprobar")),NOT(Y143=1),W143&lt;&gt;1,X143&gt;1,NOT(OR(LEN(TRIM('DATOS'!K143&amp;""))=0,'DATOS'!K143="Sin valorar",'DATOS'!K143="Sin coste documentado",'DATOS'!K143="Incluido en otra partida",'DATOS'!K143="Por confirmar")),NOT(OR(LEN(TRIM('DATOS'!M143&amp;""))=0,'DATOS'!M143="Sí",'DATOS'!M143="No",'DATOS'!M143="Por confirmar")),NOT(OR(LEN(TRIM('DATOS'!O143&amp;""))=0,'DATOS'!O143="Comparamos",'DATOS'!O143="No existe",'DATOS'!O143="Por confirmar"))),2,IF(AND(OR('DATOS'!G143&lt;0,'DATOS'!H143&lt;0,'DATOS'!J143&lt;0),NOT(AND(LEN(TRIM('DATOS'!L143&amp;""))&gt;0,TRIM('DATOS'!L143&amp;"")&lt;&gt;"Pendiente",TRIM('DATOS'!L143&amp;"")&lt;&gt;"Por confirmar",TRIM('DATOS'!L143&amp;"")&lt;&gt;"No consta",TRIM('DATOS'!L143&amp;"")&lt;&gt;"Desconocido",TRIM('DATOS'!L143&amp;"")&lt;&gt;"Sin confirmar",TRIM('DATOS'!L143&amp;"")&lt;&gt;"Por decidir",TRIM('DATOS'!L143&amp;"")&lt;&gt;"Por comprobar"))),1,0))),2)</f>
      </c>
      <c r="P143" s="29">
        <f>IFERROR(IF(N143=0,"",IF(NOT(Y143=1),1,IF('REFERENCIAS'!$Q$8&lt;&gt;1,2,IF(ABS('DATOS'!J143-ROUND('DATOS'!G143*'DATOS'!H143,'REFERENCIAS'!$K$8))&gt;0.00000001,2,IF('DATOS'!O143="No existe",IF(LEN(TRIM('DATOS'!I143&amp;""))=0,0,2),IF('DATOS'!O143="Comparamos",IF(LEN(TRIM('DATOS'!I143&amp;""))=0,1,IF(ISNUMBER('DATOS'!I143),IF(ABS('DATOS'!H143-'DATOS'!I143)&gt;0.00000001,2,0),2)),1)))))),2)</f>
      </c>
      <c r="Q143" s="29">
        <f>IFERROR(IF(N143=0,"",IF(NOT(Y143=1),1,IF('DATOS'!K143="Sin valorar",2,IF('DATOS'!G143=0,1,IF(OR('DATOS'!H143=0,'DATOS'!J143=0),IF(AND(OR('DATOS'!K143="Sin coste documentado",'DATOS'!K143="Incluido en otra partida"),AND(LEN(TRIM('DATOS'!L143&amp;""))&gt;0,TRIM('DATOS'!L143&amp;"")&lt;&gt;"Pendiente",TRIM('DATOS'!L143&amp;"")&lt;&gt;"Por confirmar",TRIM('DATOS'!L143&amp;"")&lt;&gt;"No consta",TRIM('DATOS'!L143&amp;"")&lt;&gt;"Desconocido",TRIM('DATOS'!L143&amp;"")&lt;&gt;"Sin confirmar",TRIM('DATOS'!L143&amp;"")&lt;&gt;"Por decidir",TRIM('DATOS'!L143&amp;"")&lt;&gt;"Por comprobar")),0,1),0))))),2)</f>
      </c>
      <c r="R143" s="29">
        <f>IFERROR(IF(N143=0,"",IF(OR(NOT(AND(LEN(TRIM('DATOS'!D143&amp;""))&gt;0,TRIM('DATOS'!D143&amp;"")&lt;&gt;"Pendiente",TRIM('DATOS'!D143&amp;"")&lt;&gt;"Por confirmar",TRIM('DATOS'!D143&amp;"")&lt;&gt;"No consta",TRIM('DATOS'!D143&amp;"")&lt;&gt;"Desconocido",TRIM('DATOS'!D143&amp;"")&lt;&gt;"Sin confirmar",TRIM('DATOS'!D143&amp;"")&lt;&gt;"Por decidir",TRIM('DATOS'!D143&amp;"")&lt;&gt;"Por comprobar")),NOT(AND(LEN(TRIM('DATOS'!E143&amp;""))&gt;0,TRIM('DATOS'!E143&amp;"")&lt;&gt;"Pendiente",TRIM('DATOS'!E143&amp;"")&lt;&gt;"Por confirmar",TRIM('DATOS'!E143&amp;"")&lt;&gt;"No consta",TRIM('DATOS'!E143&amp;"")&lt;&gt;"Desconocido",TRIM('DATOS'!E143&amp;"")&lt;&gt;"Sin confirmar",TRIM('DATOS'!E143&amp;"")&lt;&gt;"Por decidir",TRIM('DATOS'!E143&amp;"")&lt;&gt;"Por comprobar"))),2,IF('DATOS'!M143="No",2,IF('DATOS'!M143="Sí",0,IF(OR('DATOS'!D143&lt;&gt;'DATOS'!E143,LEN('DATOS'!E143)&gt;300,RIGHT(TRIM('DATOS'!E143),3)="...",RIGHT(TRIM('DATOS'!E143),1)="…"),1,0))))),2)</f>
      </c>
      <c r="S143" s="29">
        <f>IFERROR(IF(N143=0,"",IF('REFERENCIAS'!$Q$8&lt;&gt;1,2,IF(NOT(Y143=1),1,IF(OR(ABS('DATOS'!G143-ROUND('DATOS'!G143,'REFERENCIAS'!$E$8))&gt;0.00000001,ABS('DATOS'!H143-ROUND('DATOS'!H143,'REFERENCIAS'!$H$8))&gt;0.00000001,ABS('DATOS'!J143-ROUND('DATOS'!J143,'REFERENCIAS'!$K$8))&gt;0.00000001,IF(ISNUMBER('DATOS'!I143),ABS('DATOS'!I143-ROUND('DATOS'!I143,'REFERENCIAS'!$H$8))&gt;0.00000001,FALSE)),1,0)))),2)</f>
      </c>
      <c r="T143" s="29">
        <f>IFERROR(IF(N143=0,"",IF(NOT(AND(LEN(TRIM('DATOS'!F143&amp;""))&gt;0,TRIM('DATOS'!F143&amp;"")&lt;&gt;"Pendiente",TRIM('DATOS'!F143&amp;"")&lt;&gt;"Por confirmar",TRIM('DATOS'!F143&amp;"")&lt;&gt;"No consta",TRIM('DATOS'!F143&amp;"")&lt;&gt;"Desconocido",TRIM('DATOS'!F143&amp;"")&lt;&gt;"Sin confirmar",TRIM('DATOS'!F143&amp;"")&lt;&gt;"Por decidir",TRIM('DATOS'!F143&amp;"")&lt;&gt;"Por comprobar")),2,IF(COUNTIFS('REFERENCIAS'!$T$15:$T$34,"ID:"&amp;SUBSTITUTE(SUBSTITUTE(SUBSTITUTE(SUBSTITUTE(UPPER(TRIM('DATOS'!F143&amp;"")),"!","!E"),"*","!A"),"?","!B"),"~","!C"),'REFERENCIAS'!$H$15:$H$34,"&lt;&gt;")&gt;0,0,1))),2)</f>
      </c>
      <c r="U143" s="29" t="str">
        <f>'DATOS'!R143</f>
        <v>ID:</v>
      </c>
      <c r="V143" s="29" t="str">
        <f>'DATOS'!S143</f>
        <v>ID:</v>
      </c>
      <c r="W143" s="29" t="n">
        <f>IF(N143=0,0,COUNTIFS('REFERENCIAS'!$R$15:$R$64,U143))</f>
        <v>0</v>
      </c>
      <c r="X143" s="29" t="n">
        <f>IF(N143=0,0,COUNTIFS('DATOS'!$R$10:$R$509,U143,'DATOS'!$S$10:$S$509,V143))</f>
        <v>0</v>
      </c>
      <c r="Y143" s="29" t="n">
        <f>IF(AND(ISNUMBER('DATOS'!G143),ISNUMBER('DATOS'!H143),ISNUMBER('DATOS'!J143)),1,0)</f>
        <v>0</v>
      </c>
    </row>
    <row r="144" ht="64" customHeight="1">
      <c r="B144" s="26">
        <f>IF(N144=1,135,"")</f>
      </c>
      <c r="C144" s="26">
        <f>IF(AND(N144=1,LEN(TRIM('DATOS'!B144&amp;""))&gt;0),'DATOS'!B144,"")</f>
      </c>
      <c r="D144" s="26">
        <f>IF(AND(N144=1,LEN(TRIM('DATOS'!C144&amp;""))&gt;0),'DATOS'!C144,"")</f>
      </c>
      <c r="E144" s="26">
        <f>IF(NOT(ISNUMBER(P144)),"",IF(P144=2,"ROJO",IF(P144=1,"ÁMBAR","VERDE")))</f>
      </c>
      <c r="F144" s="26">
        <f>IF(NOT(ISNUMBER(Q144)),"",IF(Q144=2,"ROJO",IF(Q144=1,"ÁMBAR","VERDE")))</f>
      </c>
      <c r="G144" s="26">
        <f>IF(NOT(ISNUMBER(R144)),"",IF(R144=2,"ROJO",IF(R144=1,"ÁMBAR","VERDE")))</f>
      </c>
      <c r="H144" s="26">
        <f>IF(NOT(ISNUMBER(S144)),"",IF(S144=2,"ROJO",IF(S144=1,"ÁMBAR","VERDE")))</f>
      </c>
      <c r="I144" s="26">
        <f>IF(NOT(ISNUMBER(T144)),"",IF(T144=2,"ROJO",IF(T144=1,"ÁMBAR","VERDE")))</f>
      </c>
      <c r="J144" s="26">
        <f>IF(NOT(ISNUMBER(O144)),"",IF(O144=2,"ROJO",IF(O144=1,"ÁMBAR","VERDE")))</f>
      </c>
      <c r="K144" s="26">
        <f>IFERROR(IF(AND(N144=1,LEN(TRIM('DATOS'!N144&amp;""))&gt;0),'DATOS'!N144,""),"Hay una entrada con error. Corregimos el dato antes de cerrar la comprobación.")</f>
      </c>
      <c r="L144" s="26">
        <f>IFERROR(IF(N144=0,"",IF(O144&gt;0,"Completamos datos, claves o motivo. ","")&amp;IF(P144&gt;0,"Cotejamos precios e importe. ","")&amp;IF(Q144&gt;0,"Aclaramos el cero. ","")&amp;IF(R144&gt;0,"Comprobamos el texto. ","")&amp;IF(S144&gt;0,"Revisamos decimales visibles. ","")&amp;IF(T144&gt;0,"Confirmamos la unidad.","")),"Hay una entrada con error. Corregimos el dato antes de cerrar la comprobación.")</f>
      </c>
      <c r="N144" s="29" t="n">
        <f>IF(COUNTA('DATOS'!B144:O144)&gt;0,1,0)</f>
        <v>0</v>
      </c>
      <c r="O144" s="29">
        <f>IFERROR(IF(N144=0,"",IF(OR(NOT(AND(LEN(TRIM('DATOS'!B144&amp;""))&gt;0,TRIM('DATOS'!B144&amp;"")&lt;&gt;"Pendiente",TRIM('DATOS'!B144&amp;"")&lt;&gt;"Por confirmar",TRIM('DATOS'!B144&amp;"")&lt;&gt;"No consta",TRIM('DATOS'!B144&amp;"")&lt;&gt;"Desconocido",TRIM('DATOS'!B144&amp;"")&lt;&gt;"Sin confirmar",TRIM('DATOS'!B144&amp;"")&lt;&gt;"Por decidir",TRIM('DATOS'!B144&amp;"")&lt;&gt;"Por comprobar")),NOT(AND(LEN(TRIM('DATOS'!C144&amp;""))&gt;0,TRIM('DATOS'!C144&amp;"")&lt;&gt;"Pendiente",TRIM('DATOS'!C144&amp;"")&lt;&gt;"Por confirmar",TRIM('DATOS'!C144&amp;"")&lt;&gt;"No consta",TRIM('DATOS'!C144&amp;"")&lt;&gt;"Desconocido",TRIM('DATOS'!C144&amp;"")&lt;&gt;"Sin confirmar",TRIM('DATOS'!C144&amp;"")&lt;&gt;"Por decidir",TRIM('DATOS'!C144&amp;"")&lt;&gt;"Por comprobar")),NOT(AND(LEN(TRIM('DATOS'!D144&amp;""))&gt;0,TRIM('DATOS'!D144&amp;"")&lt;&gt;"Pendiente",TRIM('DATOS'!D144&amp;"")&lt;&gt;"Por confirmar",TRIM('DATOS'!D144&amp;"")&lt;&gt;"No consta",TRIM('DATOS'!D144&amp;"")&lt;&gt;"Desconocido",TRIM('DATOS'!D144&amp;"")&lt;&gt;"Sin confirmar",TRIM('DATOS'!D144&amp;"")&lt;&gt;"Por decidir",TRIM('DATOS'!D144&amp;"")&lt;&gt;"Por comprobar")),NOT(AND(LEN(TRIM('DATOS'!E144&amp;""))&gt;0,TRIM('DATOS'!E144&amp;"")&lt;&gt;"Pendiente",TRIM('DATOS'!E144&amp;"")&lt;&gt;"Por confirmar",TRIM('DATOS'!E144&amp;"")&lt;&gt;"No consta",TRIM('DATOS'!E144&amp;"")&lt;&gt;"Desconocido",TRIM('DATOS'!E144&amp;"")&lt;&gt;"Sin confirmar",TRIM('DATOS'!E144&amp;"")&lt;&gt;"Por decidir",TRIM('DATOS'!E144&amp;"")&lt;&gt;"Por comprobar")),NOT(AND(LEN(TRIM('DATOS'!F144&amp;""))&gt;0,TRIM('DATOS'!F144&amp;"")&lt;&gt;"Pendiente",TRIM('DATOS'!F144&amp;"")&lt;&gt;"Por confirmar",TRIM('DATOS'!F144&amp;"")&lt;&gt;"No consta",TRIM('DATOS'!F144&amp;"")&lt;&gt;"Desconocido",TRIM('DATOS'!F144&amp;"")&lt;&gt;"Sin confirmar",TRIM('DATOS'!F144&amp;"")&lt;&gt;"Por decidir",TRIM('DATOS'!F144&amp;"")&lt;&gt;"Por comprobar")),NOT(AND(LEN(TRIM('DATOS'!N144&amp;""))&gt;0,TRIM('DATOS'!N144&amp;"")&lt;&gt;"Pendiente",TRIM('DATOS'!N144&amp;"")&lt;&gt;"Por confirmar",TRIM('DATOS'!N144&amp;"")&lt;&gt;"No consta",TRIM('DATOS'!N144&amp;"")&lt;&gt;"Desconocido",TRIM('DATOS'!N144&amp;"")&lt;&gt;"Sin confirmar",TRIM('DATOS'!N144&amp;"")&lt;&gt;"Por decidir",TRIM('DATOS'!N144&amp;"")&lt;&gt;"Por comprobar")),NOT(Y144=1),W144&lt;&gt;1,X144&gt;1,NOT(OR(LEN(TRIM('DATOS'!K144&amp;""))=0,'DATOS'!K144="Sin valorar",'DATOS'!K144="Sin coste documentado",'DATOS'!K144="Incluido en otra partida",'DATOS'!K144="Por confirmar")),NOT(OR(LEN(TRIM('DATOS'!M144&amp;""))=0,'DATOS'!M144="Sí",'DATOS'!M144="No",'DATOS'!M144="Por confirmar")),NOT(OR(LEN(TRIM('DATOS'!O144&amp;""))=0,'DATOS'!O144="Comparamos",'DATOS'!O144="No existe",'DATOS'!O144="Por confirmar"))),2,IF(AND(OR('DATOS'!G144&lt;0,'DATOS'!H144&lt;0,'DATOS'!J144&lt;0),NOT(AND(LEN(TRIM('DATOS'!L144&amp;""))&gt;0,TRIM('DATOS'!L144&amp;"")&lt;&gt;"Pendiente",TRIM('DATOS'!L144&amp;"")&lt;&gt;"Por confirmar",TRIM('DATOS'!L144&amp;"")&lt;&gt;"No consta",TRIM('DATOS'!L144&amp;"")&lt;&gt;"Desconocido",TRIM('DATOS'!L144&amp;"")&lt;&gt;"Sin confirmar",TRIM('DATOS'!L144&amp;"")&lt;&gt;"Por decidir",TRIM('DATOS'!L144&amp;"")&lt;&gt;"Por comprobar"))),1,0))),2)</f>
      </c>
      <c r="P144" s="29">
        <f>IFERROR(IF(N144=0,"",IF(NOT(Y144=1),1,IF('REFERENCIAS'!$Q$8&lt;&gt;1,2,IF(ABS('DATOS'!J144-ROUND('DATOS'!G144*'DATOS'!H144,'REFERENCIAS'!$K$8))&gt;0.00000001,2,IF('DATOS'!O144="No existe",IF(LEN(TRIM('DATOS'!I144&amp;""))=0,0,2),IF('DATOS'!O144="Comparamos",IF(LEN(TRIM('DATOS'!I144&amp;""))=0,1,IF(ISNUMBER('DATOS'!I144),IF(ABS('DATOS'!H144-'DATOS'!I144)&gt;0.00000001,2,0),2)),1)))))),2)</f>
      </c>
      <c r="Q144" s="29">
        <f>IFERROR(IF(N144=0,"",IF(NOT(Y144=1),1,IF('DATOS'!K144="Sin valorar",2,IF('DATOS'!G144=0,1,IF(OR('DATOS'!H144=0,'DATOS'!J144=0),IF(AND(OR('DATOS'!K144="Sin coste documentado",'DATOS'!K144="Incluido en otra partida"),AND(LEN(TRIM('DATOS'!L144&amp;""))&gt;0,TRIM('DATOS'!L144&amp;"")&lt;&gt;"Pendiente",TRIM('DATOS'!L144&amp;"")&lt;&gt;"Por confirmar",TRIM('DATOS'!L144&amp;"")&lt;&gt;"No consta",TRIM('DATOS'!L144&amp;"")&lt;&gt;"Desconocido",TRIM('DATOS'!L144&amp;"")&lt;&gt;"Sin confirmar",TRIM('DATOS'!L144&amp;"")&lt;&gt;"Por decidir",TRIM('DATOS'!L144&amp;"")&lt;&gt;"Por comprobar")),0,1),0))))),2)</f>
      </c>
      <c r="R144" s="29">
        <f>IFERROR(IF(N144=0,"",IF(OR(NOT(AND(LEN(TRIM('DATOS'!D144&amp;""))&gt;0,TRIM('DATOS'!D144&amp;"")&lt;&gt;"Pendiente",TRIM('DATOS'!D144&amp;"")&lt;&gt;"Por confirmar",TRIM('DATOS'!D144&amp;"")&lt;&gt;"No consta",TRIM('DATOS'!D144&amp;"")&lt;&gt;"Desconocido",TRIM('DATOS'!D144&amp;"")&lt;&gt;"Sin confirmar",TRIM('DATOS'!D144&amp;"")&lt;&gt;"Por decidir",TRIM('DATOS'!D144&amp;"")&lt;&gt;"Por comprobar")),NOT(AND(LEN(TRIM('DATOS'!E144&amp;""))&gt;0,TRIM('DATOS'!E144&amp;"")&lt;&gt;"Pendiente",TRIM('DATOS'!E144&amp;"")&lt;&gt;"Por confirmar",TRIM('DATOS'!E144&amp;"")&lt;&gt;"No consta",TRIM('DATOS'!E144&amp;"")&lt;&gt;"Desconocido",TRIM('DATOS'!E144&amp;"")&lt;&gt;"Sin confirmar",TRIM('DATOS'!E144&amp;"")&lt;&gt;"Por decidir",TRIM('DATOS'!E144&amp;"")&lt;&gt;"Por comprobar"))),2,IF('DATOS'!M144="No",2,IF('DATOS'!M144="Sí",0,IF(OR('DATOS'!D144&lt;&gt;'DATOS'!E144,LEN('DATOS'!E144)&gt;300,RIGHT(TRIM('DATOS'!E144),3)="...",RIGHT(TRIM('DATOS'!E144),1)="…"),1,0))))),2)</f>
      </c>
      <c r="S144" s="29">
        <f>IFERROR(IF(N144=0,"",IF('REFERENCIAS'!$Q$8&lt;&gt;1,2,IF(NOT(Y144=1),1,IF(OR(ABS('DATOS'!G144-ROUND('DATOS'!G144,'REFERENCIAS'!$E$8))&gt;0.00000001,ABS('DATOS'!H144-ROUND('DATOS'!H144,'REFERENCIAS'!$H$8))&gt;0.00000001,ABS('DATOS'!J144-ROUND('DATOS'!J144,'REFERENCIAS'!$K$8))&gt;0.00000001,IF(ISNUMBER('DATOS'!I144),ABS('DATOS'!I144-ROUND('DATOS'!I144,'REFERENCIAS'!$H$8))&gt;0.00000001,FALSE)),1,0)))),2)</f>
      </c>
      <c r="T144" s="29">
        <f>IFERROR(IF(N144=0,"",IF(NOT(AND(LEN(TRIM('DATOS'!F144&amp;""))&gt;0,TRIM('DATOS'!F144&amp;"")&lt;&gt;"Pendiente",TRIM('DATOS'!F144&amp;"")&lt;&gt;"Por confirmar",TRIM('DATOS'!F144&amp;"")&lt;&gt;"No consta",TRIM('DATOS'!F144&amp;"")&lt;&gt;"Desconocido",TRIM('DATOS'!F144&amp;"")&lt;&gt;"Sin confirmar",TRIM('DATOS'!F144&amp;"")&lt;&gt;"Por decidir",TRIM('DATOS'!F144&amp;"")&lt;&gt;"Por comprobar")),2,IF(COUNTIFS('REFERENCIAS'!$T$15:$T$34,"ID:"&amp;SUBSTITUTE(SUBSTITUTE(SUBSTITUTE(SUBSTITUTE(UPPER(TRIM('DATOS'!F144&amp;"")),"!","!E"),"*","!A"),"?","!B"),"~","!C"),'REFERENCIAS'!$H$15:$H$34,"&lt;&gt;")&gt;0,0,1))),2)</f>
      </c>
      <c r="U144" s="29" t="str">
        <f>'DATOS'!R144</f>
        <v>ID:</v>
      </c>
      <c r="V144" s="29" t="str">
        <f>'DATOS'!S144</f>
        <v>ID:</v>
      </c>
      <c r="W144" s="29" t="n">
        <f>IF(N144=0,0,COUNTIFS('REFERENCIAS'!$R$15:$R$64,U144))</f>
        <v>0</v>
      </c>
      <c r="X144" s="29" t="n">
        <f>IF(N144=0,0,COUNTIFS('DATOS'!$R$10:$R$509,U144,'DATOS'!$S$10:$S$509,V144))</f>
        <v>0</v>
      </c>
      <c r="Y144" s="29" t="n">
        <f>IF(AND(ISNUMBER('DATOS'!G144),ISNUMBER('DATOS'!H144),ISNUMBER('DATOS'!J144)),1,0)</f>
        <v>0</v>
      </c>
    </row>
    <row r="145" ht="64" customHeight="1">
      <c r="B145" s="26">
        <f>IF(N145=1,136,"")</f>
      </c>
      <c r="C145" s="26">
        <f>IF(AND(N145=1,LEN(TRIM('DATOS'!B145&amp;""))&gt;0),'DATOS'!B145,"")</f>
      </c>
      <c r="D145" s="26">
        <f>IF(AND(N145=1,LEN(TRIM('DATOS'!C145&amp;""))&gt;0),'DATOS'!C145,"")</f>
      </c>
      <c r="E145" s="26">
        <f>IF(NOT(ISNUMBER(P145)),"",IF(P145=2,"ROJO",IF(P145=1,"ÁMBAR","VERDE")))</f>
      </c>
      <c r="F145" s="26">
        <f>IF(NOT(ISNUMBER(Q145)),"",IF(Q145=2,"ROJO",IF(Q145=1,"ÁMBAR","VERDE")))</f>
      </c>
      <c r="G145" s="26">
        <f>IF(NOT(ISNUMBER(R145)),"",IF(R145=2,"ROJO",IF(R145=1,"ÁMBAR","VERDE")))</f>
      </c>
      <c r="H145" s="26">
        <f>IF(NOT(ISNUMBER(S145)),"",IF(S145=2,"ROJO",IF(S145=1,"ÁMBAR","VERDE")))</f>
      </c>
      <c r="I145" s="26">
        <f>IF(NOT(ISNUMBER(T145)),"",IF(T145=2,"ROJO",IF(T145=1,"ÁMBAR","VERDE")))</f>
      </c>
      <c r="J145" s="26">
        <f>IF(NOT(ISNUMBER(O145)),"",IF(O145=2,"ROJO",IF(O145=1,"ÁMBAR","VERDE")))</f>
      </c>
      <c r="K145" s="26">
        <f>IFERROR(IF(AND(N145=1,LEN(TRIM('DATOS'!N145&amp;""))&gt;0),'DATOS'!N145,""),"Hay una entrada con error. Corregimos el dato antes de cerrar la comprobación.")</f>
      </c>
      <c r="L145" s="26">
        <f>IFERROR(IF(N145=0,"",IF(O145&gt;0,"Completamos datos, claves o motivo. ","")&amp;IF(P145&gt;0,"Cotejamos precios e importe. ","")&amp;IF(Q145&gt;0,"Aclaramos el cero. ","")&amp;IF(R145&gt;0,"Comprobamos el texto. ","")&amp;IF(S145&gt;0,"Revisamos decimales visibles. ","")&amp;IF(T145&gt;0,"Confirmamos la unidad.","")),"Hay una entrada con error. Corregimos el dato antes de cerrar la comprobación.")</f>
      </c>
      <c r="N145" s="29" t="n">
        <f>IF(COUNTA('DATOS'!B145:O145)&gt;0,1,0)</f>
        <v>0</v>
      </c>
      <c r="O145" s="29">
        <f>IFERROR(IF(N145=0,"",IF(OR(NOT(AND(LEN(TRIM('DATOS'!B145&amp;""))&gt;0,TRIM('DATOS'!B145&amp;"")&lt;&gt;"Pendiente",TRIM('DATOS'!B145&amp;"")&lt;&gt;"Por confirmar",TRIM('DATOS'!B145&amp;"")&lt;&gt;"No consta",TRIM('DATOS'!B145&amp;"")&lt;&gt;"Desconocido",TRIM('DATOS'!B145&amp;"")&lt;&gt;"Sin confirmar",TRIM('DATOS'!B145&amp;"")&lt;&gt;"Por decidir",TRIM('DATOS'!B145&amp;"")&lt;&gt;"Por comprobar")),NOT(AND(LEN(TRIM('DATOS'!C145&amp;""))&gt;0,TRIM('DATOS'!C145&amp;"")&lt;&gt;"Pendiente",TRIM('DATOS'!C145&amp;"")&lt;&gt;"Por confirmar",TRIM('DATOS'!C145&amp;"")&lt;&gt;"No consta",TRIM('DATOS'!C145&amp;"")&lt;&gt;"Desconocido",TRIM('DATOS'!C145&amp;"")&lt;&gt;"Sin confirmar",TRIM('DATOS'!C145&amp;"")&lt;&gt;"Por decidir",TRIM('DATOS'!C145&amp;"")&lt;&gt;"Por comprobar")),NOT(AND(LEN(TRIM('DATOS'!D145&amp;""))&gt;0,TRIM('DATOS'!D145&amp;"")&lt;&gt;"Pendiente",TRIM('DATOS'!D145&amp;"")&lt;&gt;"Por confirmar",TRIM('DATOS'!D145&amp;"")&lt;&gt;"No consta",TRIM('DATOS'!D145&amp;"")&lt;&gt;"Desconocido",TRIM('DATOS'!D145&amp;"")&lt;&gt;"Sin confirmar",TRIM('DATOS'!D145&amp;"")&lt;&gt;"Por decidir",TRIM('DATOS'!D145&amp;"")&lt;&gt;"Por comprobar")),NOT(AND(LEN(TRIM('DATOS'!E145&amp;""))&gt;0,TRIM('DATOS'!E145&amp;"")&lt;&gt;"Pendiente",TRIM('DATOS'!E145&amp;"")&lt;&gt;"Por confirmar",TRIM('DATOS'!E145&amp;"")&lt;&gt;"No consta",TRIM('DATOS'!E145&amp;"")&lt;&gt;"Desconocido",TRIM('DATOS'!E145&amp;"")&lt;&gt;"Sin confirmar",TRIM('DATOS'!E145&amp;"")&lt;&gt;"Por decidir",TRIM('DATOS'!E145&amp;"")&lt;&gt;"Por comprobar")),NOT(AND(LEN(TRIM('DATOS'!F145&amp;""))&gt;0,TRIM('DATOS'!F145&amp;"")&lt;&gt;"Pendiente",TRIM('DATOS'!F145&amp;"")&lt;&gt;"Por confirmar",TRIM('DATOS'!F145&amp;"")&lt;&gt;"No consta",TRIM('DATOS'!F145&amp;"")&lt;&gt;"Desconocido",TRIM('DATOS'!F145&amp;"")&lt;&gt;"Sin confirmar",TRIM('DATOS'!F145&amp;"")&lt;&gt;"Por decidir",TRIM('DATOS'!F145&amp;"")&lt;&gt;"Por comprobar")),NOT(AND(LEN(TRIM('DATOS'!N145&amp;""))&gt;0,TRIM('DATOS'!N145&amp;"")&lt;&gt;"Pendiente",TRIM('DATOS'!N145&amp;"")&lt;&gt;"Por confirmar",TRIM('DATOS'!N145&amp;"")&lt;&gt;"No consta",TRIM('DATOS'!N145&amp;"")&lt;&gt;"Desconocido",TRIM('DATOS'!N145&amp;"")&lt;&gt;"Sin confirmar",TRIM('DATOS'!N145&amp;"")&lt;&gt;"Por decidir",TRIM('DATOS'!N145&amp;"")&lt;&gt;"Por comprobar")),NOT(Y145=1),W145&lt;&gt;1,X145&gt;1,NOT(OR(LEN(TRIM('DATOS'!K145&amp;""))=0,'DATOS'!K145="Sin valorar",'DATOS'!K145="Sin coste documentado",'DATOS'!K145="Incluido en otra partida",'DATOS'!K145="Por confirmar")),NOT(OR(LEN(TRIM('DATOS'!M145&amp;""))=0,'DATOS'!M145="Sí",'DATOS'!M145="No",'DATOS'!M145="Por confirmar")),NOT(OR(LEN(TRIM('DATOS'!O145&amp;""))=0,'DATOS'!O145="Comparamos",'DATOS'!O145="No existe",'DATOS'!O145="Por confirmar"))),2,IF(AND(OR('DATOS'!G145&lt;0,'DATOS'!H145&lt;0,'DATOS'!J145&lt;0),NOT(AND(LEN(TRIM('DATOS'!L145&amp;""))&gt;0,TRIM('DATOS'!L145&amp;"")&lt;&gt;"Pendiente",TRIM('DATOS'!L145&amp;"")&lt;&gt;"Por confirmar",TRIM('DATOS'!L145&amp;"")&lt;&gt;"No consta",TRIM('DATOS'!L145&amp;"")&lt;&gt;"Desconocido",TRIM('DATOS'!L145&amp;"")&lt;&gt;"Sin confirmar",TRIM('DATOS'!L145&amp;"")&lt;&gt;"Por decidir",TRIM('DATOS'!L145&amp;"")&lt;&gt;"Por comprobar"))),1,0))),2)</f>
      </c>
      <c r="P145" s="29">
        <f>IFERROR(IF(N145=0,"",IF(NOT(Y145=1),1,IF('REFERENCIAS'!$Q$8&lt;&gt;1,2,IF(ABS('DATOS'!J145-ROUND('DATOS'!G145*'DATOS'!H145,'REFERENCIAS'!$K$8))&gt;0.00000001,2,IF('DATOS'!O145="No existe",IF(LEN(TRIM('DATOS'!I145&amp;""))=0,0,2),IF('DATOS'!O145="Comparamos",IF(LEN(TRIM('DATOS'!I145&amp;""))=0,1,IF(ISNUMBER('DATOS'!I145),IF(ABS('DATOS'!H145-'DATOS'!I145)&gt;0.00000001,2,0),2)),1)))))),2)</f>
      </c>
      <c r="Q145" s="29">
        <f>IFERROR(IF(N145=0,"",IF(NOT(Y145=1),1,IF('DATOS'!K145="Sin valorar",2,IF('DATOS'!G145=0,1,IF(OR('DATOS'!H145=0,'DATOS'!J145=0),IF(AND(OR('DATOS'!K145="Sin coste documentado",'DATOS'!K145="Incluido en otra partida"),AND(LEN(TRIM('DATOS'!L145&amp;""))&gt;0,TRIM('DATOS'!L145&amp;"")&lt;&gt;"Pendiente",TRIM('DATOS'!L145&amp;"")&lt;&gt;"Por confirmar",TRIM('DATOS'!L145&amp;"")&lt;&gt;"No consta",TRIM('DATOS'!L145&amp;"")&lt;&gt;"Desconocido",TRIM('DATOS'!L145&amp;"")&lt;&gt;"Sin confirmar",TRIM('DATOS'!L145&amp;"")&lt;&gt;"Por decidir",TRIM('DATOS'!L145&amp;"")&lt;&gt;"Por comprobar")),0,1),0))))),2)</f>
      </c>
      <c r="R145" s="29">
        <f>IFERROR(IF(N145=0,"",IF(OR(NOT(AND(LEN(TRIM('DATOS'!D145&amp;""))&gt;0,TRIM('DATOS'!D145&amp;"")&lt;&gt;"Pendiente",TRIM('DATOS'!D145&amp;"")&lt;&gt;"Por confirmar",TRIM('DATOS'!D145&amp;"")&lt;&gt;"No consta",TRIM('DATOS'!D145&amp;"")&lt;&gt;"Desconocido",TRIM('DATOS'!D145&amp;"")&lt;&gt;"Sin confirmar",TRIM('DATOS'!D145&amp;"")&lt;&gt;"Por decidir",TRIM('DATOS'!D145&amp;"")&lt;&gt;"Por comprobar")),NOT(AND(LEN(TRIM('DATOS'!E145&amp;""))&gt;0,TRIM('DATOS'!E145&amp;"")&lt;&gt;"Pendiente",TRIM('DATOS'!E145&amp;"")&lt;&gt;"Por confirmar",TRIM('DATOS'!E145&amp;"")&lt;&gt;"No consta",TRIM('DATOS'!E145&amp;"")&lt;&gt;"Desconocido",TRIM('DATOS'!E145&amp;"")&lt;&gt;"Sin confirmar",TRIM('DATOS'!E145&amp;"")&lt;&gt;"Por decidir",TRIM('DATOS'!E145&amp;"")&lt;&gt;"Por comprobar"))),2,IF('DATOS'!M145="No",2,IF('DATOS'!M145="Sí",0,IF(OR('DATOS'!D145&lt;&gt;'DATOS'!E145,LEN('DATOS'!E145)&gt;300,RIGHT(TRIM('DATOS'!E145),3)="...",RIGHT(TRIM('DATOS'!E145),1)="…"),1,0))))),2)</f>
      </c>
      <c r="S145" s="29">
        <f>IFERROR(IF(N145=0,"",IF('REFERENCIAS'!$Q$8&lt;&gt;1,2,IF(NOT(Y145=1),1,IF(OR(ABS('DATOS'!G145-ROUND('DATOS'!G145,'REFERENCIAS'!$E$8))&gt;0.00000001,ABS('DATOS'!H145-ROUND('DATOS'!H145,'REFERENCIAS'!$H$8))&gt;0.00000001,ABS('DATOS'!J145-ROUND('DATOS'!J145,'REFERENCIAS'!$K$8))&gt;0.00000001,IF(ISNUMBER('DATOS'!I145),ABS('DATOS'!I145-ROUND('DATOS'!I145,'REFERENCIAS'!$H$8))&gt;0.00000001,FALSE)),1,0)))),2)</f>
      </c>
      <c r="T145" s="29">
        <f>IFERROR(IF(N145=0,"",IF(NOT(AND(LEN(TRIM('DATOS'!F145&amp;""))&gt;0,TRIM('DATOS'!F145&amp;"")&lt;&gt;"Pendiente",TRIM('DATOS'!F145&amp;"")&lt;&gt;"Por confirmar",TRIM('DATOS'!F145&amp;"")&lt;&gt;"No consta",TRIM('DATOS'!F145&amp;"")&lt;&gt;"Desconocido",TRIM('DATOS'!F145&amp;"")&lt;&gt;"Sin confirmar",TRIM('DATOS'!F145&amp;"")&lt;&gt;"Por decidir",TRIM('DATOS'!F145&amp;"")&lt;&gt;"Por comprobar")),2,IF(COUNTIFS('REFERENCIAS'!$T$15:$T$34,"ID:"&amp;SUBSTITUTE(SUBSTITUTE(SUBSTITUTE(SUBSTITUTE(UPPER(TRIM('DATOS'!F145&amp;"")),"!","!E"),"*","!A"),"?","!B"),"~","!C"),'REFERENCIAS'!$H$15:$H$34,"&lt;&gt;")&gt;0,0,1))),2)</f>
      </c>
      <c r="U145" s="29" t="str">
        <f>'DATOS'!R145</f>
        <v>ID:</v>
      </c>
      <c r="V145" s="29" t="str">
        <f>'DATOS'!S145</f>
        <v>ID:</v>
      </c>
      <c r="W145" s="29" t="n">
        <f>IF(N145=0,0,COUNTIFS('REFERENCIAS'!$R$15:$R$64,U145))</f>
        <v>0</v>
      </c>
      <c r="X145" s="29" t="n">
        <f>IF(N145=0,0,COUNTIFS('DATOS'!$R$10:$R$509,U145,'DATOS'!$S$10:$S$509,V145))</f>
        <v>0</v>
      </c>
      <c r="Y145" s="29" t="n">
        <f>IF(AND(ISNUMBER('DATOS'!G145),ISNUMBER('DATOS'!H145),ISNUMBER('DATOS'!J145)),1,0)</f>
        <v>0</v>
      </c>
    </row>
    <row r="146" ht="64" customHeight="1">
      <c r="B146" s="26">
        <f>IF(N146=1,137,"")</f>
      </c>
      <c r="C146" s="26">
        <f>IF(AND(N146=1,LEN(TRIM('DATOS'!B146&amp;""))&gt;0),'DATOS'!B146,"")</f>
      </c>
      <c r="D146" s="26">
        <f>IF(AND(N146=1,LEN(TRIM('DATOS'!C146&amp;""))&gt;0),'DATOS'!C146,"")</f>
      </c>
      <c r="E146" s="26">
        <f>IF(NOT(ISNUMBER(P146)),"",IF(P146=2,"ROJO",IF(P146=1,"ÁMBAR","VERDE")))</f>
      </c>
      <c r="F146" s="26">
        <f>IF(NOT(ISNUMBER(Q146)),"",IF(Q146=2,"ROJO",IF(Q146=1,"ÁMBAR","VERDE")))</f>
      </c>
      <c r="G146" s="26">
        <f>IF(NOT(ISNUMBER(R146)),"",IF(R146=2,"ROJO",IF(R146=1,"ÁMBAR","VERDE")))</f>
      </c>
      <c r="H146" s="26">
        <f>IF(NOT(ISNUMBER(S146)),"",IF(S146=2,"ROJO",IF(S146=1,"ÁMBAR","VERDE")))</f>
      </c>
      <c r="I146" s="26">
        <f>IF(NOT(ISNUMBER(T146)),"",IF(T146=2,"ROJO",IF(T146=1,"ÁMBAR","VERDE")))</f>
      </c>
      <c r="J146" s="26">
        <f>IF(NOT(ISNUMBER(O146)),"",IF(O146=2,"ROJO",IF(O146=1,"ÁMBAR","VERDE")))</f>
      </c>
      <c r="K146" s="26">
        <f>IFERROR(IF(AND(N146=1,LEN(TRIM('DATOS'!N146&amp;""))&gt;0),'DATOS'!N146,""),"Hay una entrada con error. Corregimos el dato antes de cerrar la comprobación.")</f>
      </c>
      <c r="L146" s="26">
        <f>IFERROR(IF(N146=0,"",IF(O146&gt;0,"Completamos datos, claves o motivo. ","")&amp;IF(P146&gt;0,"Cotejamos precios e importe. ","")&amp;IF(Q146&gt;0,"Aclaramos el cero. ","")&amp;IF(R146&gt;0,"Comprobamos el texto. ","")&amp;IF(S146&gt;0,"Revisamos decimales visibles. ","")&amp;IF(T146&gt;0,"Confirmamos la unidad.","")),"Hay una entrada con error. Corregimos el dato antes de cerrar la comprobación.")</f>
      </c>
      <c r="N146" s="29" t="n">
        <f>IF(COUNTA('DATOS'!B146:O146)&gt;0,1,0)</f>
        <v>0</v>
      </c>
      <c r="O146" s="29">
        <f>IFERROR(IF(N146=0,"",IF(OR(NOT(AND(LEN(TRIM('DATOS'!B146&amp;""))&gt;0,TRIM('DATOS'!B146&amp;"")&lt;&gt;"Pendiente",TRIM('DATOS'!B146&amp;"")&lt;&gt;"Por confirmar",TRIM('DATOS'!B146&amp;"")&lt;&gt;"No consta",TRIM('DATOS'!B146&amp;"")&lt;&gt;"Desconocido",TRIM('DATOS'!B146&amp;"")&lt;&gt;"Sin confirmar",TRIM('DATOS'!B146&amp;"")&lt;&gt;"Por decidir",TRIM('DATOS'!B146&amp;"")&lt;&gt;"Por comprobar")),NOT(AND(LEN(TRIM('DATOS'!C146&amp;""))&gt;0,TRIM('DATOS'!C146&amp;"")&lt;&gt;"Pendiente",TRIM('DATOS'!C146&amp;"")&lt;&gt;"Por confirmar",TRIM('DATOS'!C146&amp;"")&lt;&gt;"No consta",TRIM('DATOS'!C146&amp;"")&lt;&gt;"Desconocido",TRIM('DATOS'!C146&amp;"")&lt;&gt;"Sin confirmar",TRIM('DATOS'!C146&amp;"")&lt;&gt;"Por decidir",TRIM('DATOS'!C146&amp;"")&lt;&gt;"Por comprobar")),NOT(AND(LEN(TRIM('DATOS'!D146&amp;""))&gt;0,TRIM('DATOS'!D146&amp;"")&lt;&gt;"Pendiente",TRIM('DATOS'!D146&amp;"")&lt;&gt;"Por confirmar",TRIM('DATOS'!D146&amp;"")&lt;&gt;"No consta",TRIM('DATOS'!D146&amp;"")&lt;&gt;"Desconocido",TRIM('DATOS'!D146&amp;"")&lt;&gt;"Sin confirmar",TRIM('DATOS'!D146&amp;"")&lt;&gt;"Por decidir",TRIM('DATOS'!D146&amp;"")&lt;&gt;"Por comprobar")),NOT(AND(LEN(TRIM('DATOS'!E146&amp;""))&gt;0,TRIM('DATOS'!E146&amp;"")&lt;&gt;"Pendiente",TRIM('DATOS'!E146&amp;"")&lt;&gt;"Por confirmar",TRIM('DATOS'!E146&amp;"")&lt;&gt;"No consta",TRIM('DATOS'!E146&amp;"")&lt;&gt;"Desconocido",TRIM('DATOS'!E146&amp;"")&lt;&gt;"Sin confirmar",TRIM('DATOS'!E146&amp;"")&lt;&gt;"Por decidir",TRIM('DATOS'!E146&amp;"")&lt;&gt;"Por comprobar")),NOT(AND(LEN(TRIM('DATOS'!F146&amp;""))&gt;0,TRIM('DATOS'!F146&amp;"")&lt;&gt;"Pendiente",TRIM('DATOS'!F146&amp;"")&lt;&gt;"Por confirmar",TRIM('DATOS'!F146&amp;"")&lt;&gt;"No consta",TRIM('DATOS'!F146&amp;"")&lt;&gt;"Desconocido",TRIM('DATOS'!F146&amp;"")&lt;&gt;"Sin confirmar",TRIM('DATOS'!F146&amp;"")&lt;&gt;"Por decidir",TRIM('DATOS'!F146&amp;"")&lt;&gt;"Por comprobar")),NOT(AND(LEN(TRIM('DATOS'!N146&amp;""))&gt;0,TRIM('DATOS'!N146&amp;"")&lt;&gt;"Pendiente",TRIM('DATOS'!N146&amp;"")&lt;&gt;"Por confirmar",TRIM('DATOS'!N146&amp;"")&lt;&gt;"No consta",TRIM('DATOS'!N146&amp;"")&lt;&gt;"Desconocido",TRIM('DATOS'!N146&amp;"")&lt;&gt;"Sin confirmar",TRIM('DATOS'!N146&amp;"")&lt;&gt;"Por decidir",TRIM('DATOS'!N146&amp;"")&lt;&gt;"Por comprobar")),NOT(Y146=1),W146&lt;&gt;1,X146&gt;1,NOT(OR(LEN(TRIM('DATOS'!K146&amp;""))=0,'DATOS'!K146="Sin valorar",'DATOS'!K146="Sin coste documentado",'DATOS'!K146="Incluido en otra partida",'DATOS'!K146="Por confirmar")),NOT(OR(LEN(TRIM('DATOS'!M146&amp;""))=0,'DATOS'!M146="Sí",'DATOS'!M146="No",'DATOS'!M146="Por confirmar")),NOT(OR(LEN(TRIM('DATOS'!O146&amp;""))=0,'DATOS'!O146="Comparamos",'DATOS'!O146="No existe",'DATOS'!O146="Por confirmar"))),2,IF(AND(OR('DATOS'!G146&lt;0,'DATOS'!H146&lt;0,'DATOS'!J146&lt;0),NOT(AND(LEN(TRIM('DATOS'!L146&amp;""))&gt;0,TRIM('DATOS'!L146&amp;"")&lt;&gt;"Pendiente",TRIM('DATOS'!L146&amp;"")&lt;&gt;"Por confirmar",TRIM('DATOS'!L146&amp;"")&lt;&gt;"No consta",TRIM('DATOS'!L146&amp;"")&lt;&gt;"Desconocido",TRIM('DATOS'!L146&amp;"")&lt;&gt;"Sin confirmar",TRIM('DATOS'!L146&amp;"")&lt;&gt;"Por decidir",TRIM('DATOS'!L146&amp;"")&lt;&gt;"Por comprobar"))),1,0))),2)</f>
      </c>
      <c r="P146" s="29">
        <f>IFERROR(IF(N146=0,"",IF(NOT(Y146=1),1,IF('REFERENCIAS'!$Q$8&lt;&gt;1,2,IF(ABS('DATOS'!J146-ROUND('DATOS'!G146*'DATOS'!H146,'REFERENCIAS'!$K$8))&gt;0.00000001,2,IF('DATOS'!O146="No existe",IF(LEN(TRIM('DATOS'!I146&amp;""))=0,0,2),IF('DATOS'!O146="Comparamos",IF(LEN(TRIM('DATOS'!I146&amp;""))=0,1,IF(ISNUMBER('DATOS'!I146),IF(ABS('DATOS'!H146-'DATOS'!I146)&gt;0.00000001,2,0),2)),1)))))),2)</f>
      </c>
      <c r="Q146" s="29">
        <f>IFERROR(IF(N146=0,"",IF(NOT(Y146=1),1,IF('DATOS'!K146="Sin valorar",2,IF('DATOS'!G146=0,1,IF(OR('DATOS'!H146=0,'DATOS'!J146=0),IF(AND(OR('DATOS'!K146="Sin coste documentado",'DATOS'!K146="Incluido en otra partida"),AND(LEN(TRIM('DATOS'!L146&amp;""))&gt;0,TRIM('DATOS'!L146&amp;"")&lt;&gt;"Pendiente",TRIM('DATOS'!L146&amp;"")&lt;&gt;"Por confirmar",TRIM('DATOS'!L146&amp;"")&lt;&gt;"No consta",TRIM('DATOS'!L146&amp;"")&lt;&gt;"Desconocido",TRIM('DATOS'!L146&amp;"")&lt;&gt;"Sin confirmar",TRIM('DATOS'!L146&amp;"")&lt;&gt;"Por decidir",TRIM('DATOS'!L146&amp;"")&lt;&gt;"Por comprobar")),0,1),0))))),2)</f>
      </c>
      <c r="R146" s="29">
        <f>IFERROR(IF(N146=0,"",IF(OR(NOT(AND(LEN(TRIM('DATOS'!D146&amp;""))&gt;0,TRIM('DATOS'!D146&amp;"")&lt;&gt;"Pendiente",TRIM('DATOS'!D146&amp;"")&lt;&gt;"Por confirmar",TRIM('DATOS'!D146&amp;"")&lt;&gt;"No consta",TRIM('DATOS'!D146&amp;"")&lt;&gt;"Desconocido",TRIM('DATOS'!D146&amp;"")&lt;&gt;"Sin confirmar",TRIM('DATOS'!D146&amp;"")&lt;&gt;"Por decidir",TRIM('DATOS'!D146&amp;"")&lt;&gt;"Por comprobar")),NOT(AND(LEN(TRIM('DATOS'!E146&amp;""))&gt;0,TRIM('DATOS'!E146&amp;"")&lt;&gt;"Pendiente",TRIM('DATOS'!E146&amp;"")&lt;&gt;"Por confirmar",TRIM('DATOS'!E146&amp;"")&lt;&gt;"No consta",TRIM('DATOS'!E146&amp;"")&lt;&gt;"Desconocido",TRIM('DATOS'!E146&amp;"")&lt;&gt;"Sin confirmar",TRIM('DATOS'!E146&amp;"")&lt;&gt;"Por decidir",TRIM('DATOS'!E146&amp;"")&lt;&gt;"Por comprobar"))),2,IF('DATOS'!M146="No",2,IF('DATOS'!M146="Sí",0,IF(OR('DATOS'!D146&lt;&gt;'DATOS'!E146,LEN('DATOS'!E146)&gt;300,RIGHT(TRIM('DATOS'!E146),3)="...",RIGHT(TRIM('DATOS'!E146),1)="…"),1,0))))),2)</f>
      </c>
      <c r="S146" s="29">
        <f>IFERROR(IF(N146=0,"",IF('REFERENCIAS'!$Q$8&lt;&gt;1,2,IF(NOT(Y146=1),1,IF(OR(ABS('DATOS'!G146-ROUND('DATOS'!G146,'REFERENCIAS'!$E$8))&gt;0.00000001,ABS('DATOS'!H146-ROUND('DATOS'!H146,'REFERENCIAS'!$H$8))&gt;0.00000001,ABS('DATOS'!J146-ROUND('DATOS'!J146,'REFERENCIAS'!$K$8))&gt;0.00000001,IF(ISNUMBER('DATOS'!I146),ABS('DATOS'!I146-ROUND('DATOS'!I146,'REFERENCIAS'!$H$8))&gt;0.00000001,FALSE)),1,0)))),2)</f>
      </c>
      <c r="T146" s="29">
        <f>IFERROR(IF(N146=0,"",IF(NOT(AND(LEN(TRIM('DATOS'!F146&amp;""))&gt;0,TRIM('DATOS'!F146&amp;"")&lt;&gt;"Pendiente",TRIM('DATOS'!F146&amp;"")&lt;&gt;"Por confirmar",TRIM('DATOS'!F146&amp;"")&lt;&gt;"No consta",TRIM('DATOS'!F146&amp;"")&lt;&gt;"Desconocido",TRIM('DATOS'!F146&amp;"")&lt;&gt;"Sin confirmar",TRIM('DATOS'!F146&amp;"")&lt;&gt;"Por decidir",TRIM('DATOS'!F146&amp;"")&lt;&gt;"Por comprobar")),2,IF(COUNTIFS('REFERENCIAS'!$T$15:$T$34,"ID:"&amp;SUBSTITUTE(SUBSTITUTE(SUBSTITUTE(SUBSTITUTE(UPPER(TRIM('DATOS'!F146&amp;"")),"!","!E"),"*","!A"),"?","!B"),"~","!C"),'REFERENCIAS'!$H$15:$H$34,"&lt;&gt;")&gt;0,0,1))),2)</f>
      </c>
      <c r="U146" s="29" t="str">
        <f>'DATOS'!R146</f>
        <v>ID:</v>
      </c>
      <c r="V146" s="29" t="str">
        <f>'DATOS'!S146</f>
        <v>ID:</v>
      </c>
      <c r="W146" s="29" t="n">
        <f>IF(N146=0,0,COUNTIFS('REFERENCIAS'!$R$15:$R$64,U146))</f>
        <v>0</v>
      </c>
      <c r="X146" s="29" t="n">
        <f>IF(N146=0,0,COUNTIFS('DATOS'!$R$10:$R$509,U146,'DATOS'!$S$10:$S$509,V146))</f>
        <v>0</v>
      </c>
      <c r="Y146" s="29" t="n">
        <f>IF(AND(ISNUMBER('DATOS'!G146),ISNUMBER('DATOS'!H146),ISNUMBER('DATOS'!J146)),1,0)</f>
        <v>0</v>
      </c>
    </row>
    <row r="147" ht="64" customHeight="1">
      <c r="B147" s="26">
        <f>IF(N147=1,138,"")</f>
      </c>
      <c r="C147" s="26">
        <f>IF(AND(N147=1,LEN(TRIM('DATOS'!B147&amp;""))&gt;0),'DATOS'!B147,"")</f>
      </c>
      <c r="D147" s="26">
        <f>IF(AND(N147=1,LEN(TRIM('DATOS'!C147&amp;""))&gt;0),'DATOS'!C147,"")</f>
      </c>
      <c r="E147" s="26">
        <f>IF(NOT(ISNUMBER(P147)),"",IF(P147=2,"ROJO",IF(P147=1,"ÁMBAR","VERDE")))</f>
      </c>
      <c r="F147" s="26">
        <f>IF(NOT(ISNUMBER(Q147)),"",IF(Q147=2,"ROJO",IF(Q147=1,"ÁMBAR","VERDE")))</f>
      </c>
      <c r="G147" s="26">
        <f>IF(NOT(ISNUMBER(R147)),"",IF(R147=2,"ROJO",IF(R147=1,"ÁMBAR","VERDE")))</f>
      </c>
      <c r="H147" s="26">
        <f>IF(NOT(ISNUMBER(S147)),"",IF(S147=2,"ROJO",IF(S147=1,"ÁMBAR","VERDE")))</f>
      </c>
      <c r="I147" s="26">
        <f>IF(NOT(ISNUMBER(T147)),"",IF(T147=2,"ROJO",IF(T147=1,"ÁMBAR","VERDE")))</f>
      </c>
      <c r="J147" s="26">
        <f>IF(NOT(ISNUMBER(O147)),"",IF(O147=2,"ROJO",IF(O147=1,"ÁMBAR","VERDE")))</f>
      </c>
      <c r="K147" s="26">
        <f>IFERROR(IF(AND(N147=1,LEN(TRIM('DATOS'!N147&amp;""))&gt;0),'DATOS'!N147,""),"Hay una entrada con error. Corregimos el dato antes de cerrar la comprobación.")</f>
      </c>
      <c r="L147" s="26">
        <f>IFERROR(IF(N147=0,"",IF(O147&gt;0,"Completamos datos, claves o motivo. ","")&amp;IF(P147&gt;0,"Cotejamos precios e importe. ","")&amp;IF(Q147&gt;0,"Aclaramos el cero. ","")&amp;IF(R147&gt;0,"Comprobamos el texto. ","")&amp;IF(S147&gt;0,"Revisamos decimales visibles. ","")&amp;IF(T147&gt;0,"Confirmamos la unidad.","")),"Hay una entrada con error. Corregimos el dato antes de cerrar la comprobación.")</f>
      </c>
      <c r="N147" s="29" t="n">
        <f>IF(COUNTA('DATOS'!B147:O147)&gt;0,1,0)</f>
        <v>0</v>
      </c>
      <c r="O147" s="29">
        <f>IFERROR(IF(N147=0,"",IF(OR(NOT(AND(LEN(TRIM('DATOS'!B147&amp;""))&gt;0,TRIM('DATOS'!B147&amp;"")&lt;&gt;"Pendiente",TRIM('DATOS'!B147&amp;"")&lt;&gt;"Por confirmar",TRIM('DATOS'!B147&amp;"")&lt;&gt;"No consta",TRIM('DATOS'!B147&amp;"")&lt;&gt;"Desconocido",TRIM('DATOS'!B147&amp;"")&lt;&gt;"Sin confirmar",TRIM('DATOS'!B147&amp;"")&lt;&gt;"Por decidir",TRIM('DATOS'!B147&amp;"")&lt;&gt;"Por comprobar")),NOT(AND(LEN(TRIM('DATOS'!C147&amp;""))&gt;0,TRIM('DATOS'!C147&amp;"")&lt;&gt;"Pendiente",TRIM('DATOS'!C147&amp;"")&lt;&gt;"Por confirmar",TRIM('DATOS'!C147&amp;"")&lt;&gt;"No consta",TRIM('DATOS'!C147&amp;"")&lt;&gt;"Desconocido",TRIM('DATOS'!C147&amp;"")&lt;&gt;"Sin confirmar",TRIM('DATOS'!C147&amp;"")&lt;&gt;"Por decidir",TRIM('DATOS'!C147&amp;"")&lt;&gt;"Por comprobar")),NOT(AND(LEN(TRIM('DATOS'!D147&amp;""))&gt;0,TRIM('DATOS'!D147&amp;"")&lt;&gt;"Pendiente",TRIM('DATOS'!D147&amp;"")&lt;&gt;"Por confirmar",TRIM('DATOS'!D147&amp;"")&lt;&gt;"No consta",TRIM('DATOS'!D147&amp;"")&lt;&gt;"Desconocido",TRIM('DATOS'!D147&amp;"")&lt;&gt;"Sin confirmar",TRIM('DATOS'!D147&amp;"")&lt;&gt;"Por decidir",TRIM('DATOS'!D147&amp;"")&lt;&gt;"Por comprobar")),NOT(AND(LEN(TRIM('DATOS'!E147&amp;""))&gt;0,TRIM('DATOS'!E147&amp;"")&lt;&gt;"Pendiente",TRIM('DATOS'!E147&amp;"")&lt;&gt;"Por confirmar",TRIM('DATOS'!E147&amp;"")&lt;&gt;"No consta",TRIM('DATOS'!E147&amp;"")&lt;&gt;"Desconocido",TRIM('DATOS'!E147&amp;"")&lt;&gt;"Sin confirmar",TRIM('DATOS'!E147&amp;"")&lt;&gt;"Por decidir",TRIM('DATOS'!E147&amp;"")&lt;&gt;"Por comprobar")),NOT(AND(LEN(TRIM('DATOS'!F147&amp;""))&gt;0,TRIM('DATOS'!F147&amp;"")&lt;&gt;"Pendiente",TRIM('DATOS'!F147&amp;"")&lt;&gt;"Por confirmar",TRIM('DATOS'!F147&amp;"")&lt;&gt;"No consta",TRIM('DATOS'!F147&amp;"")&lt;&gt;"Desconocido",TRIM('DATOS'!F147&amp;"")&lt;&gt;"Sin confirmar",TRIM('DATOS'!F147&amp;"")&lt;&gt;"Por decidir",TRIM('DATOS'!F147&amp;"")&lt;&gt;"Por comprobar")),NOT(AND(LEN(TRIM('DATOS'!N147&amp;""))&gt;0,TRIM('DATOS'!N147&amp;"")&lt;&gt;"Pendiente",TRIM('DATOS'!N147&amp;"")&lt;&gt;"Por confirmar",TRIM('DATOS'!N147&amp;"")&lt;&gt;"No consta",TRIM('DATOS'!N147&amp;"")&lt;&gt;"Desconocido",TRIM('DATOS'!N147&amp;"")&lt;&gt;"Sin confirmar",TRIM('DATOS'!N147&amp;"")&lt;&gt;"Por decidir",TRIM('DATOS'!N147&amp;"")&lt;&gt;"Por comprobar")),NOT(Y147=1),W147&lt;&gt;1,X147&gt;1,NOT(OR(LEN(TRIM('DATOS'!K147&amp;""))=0,'DATOS'!K147="Sin valorar",'DATOS'!K147="Sin coste documentado",'DATOS'!K147="Incluido en otra partida",'DATOS'!K147="Por confirmar")),NOT(OR(LEN(TRIM('DATOS'!M147&amp;""))=0,'DATOS'!M147="Sí",'DATOS'!M147="No",'DATOS'!M147="Por confirmar")),NOT(OR(LEN(TRIM('DATOS'!O147&amp;""))=0,'DATOS'!O147="Comparamos",'DATOS'!O147="No existe",'DATOS'!O147="Por confirmar"))),2,IF(AND(OR('DATOS'!G147&lt;0,'DATOS'!H147&lt;0,'DATOS'!J147&lt;0),NOT(AND(LEN(TRIM('DATOS'!L147&amp;""))&gt;0,TRIM('DATOS'!L147&amp;"")&lt;&gt;"Pendiente",TRIM('DATOS'!L147&amp;"")&lt;&gt;"Por confirmar",TRIM('DATOS'!L147&amp;"")&lt;&gt;"No consta",TRIM('DATOS'!L147&amp;"")&lt;&gt;"Desconocido",TRIM('DATOS'!L147&amp;"")&lt;&gt;"Sin confirmar",TRIM('DATOS'!L147&amp;"")&lt;&gt;"Por decidir",TRIM('DATOS'!L147&amp;"")&lt;&gt;"Por comprobar"))),1,0))),2)</f>
      </c>
      <c r="P147" s="29">
        <f>IFERROR(IF(N147=0,"",IF(NOT(Y147=1),1,IF('REFERENCIAS'!$Q$8&lt;&gt;1,2,IF(ABS('DATOS'!J147-ROUND('DATOS'!G147*'DATOS'!H147,'REFERENCIAS'!$K$8))&gt;0.00000001,2,IF('DATOS'!O147="No existe",IF(LEN(TRIM('DATOS'!I147&amp;""))=0,0,2),IF('DATOS'!O147="Comparamos",IF(LEN(TRIM('DATOS'!I147&amp;""))=0,1,IF(ISNUMBER('DATOS'!I147),IF(ABS('DATOS'!H147-'DATOS'!I147)&gt;0.00000001,2,0),2)),1)))))),2)</f>
      </c>
      <c r="Q147" s="29">
        <f>IFERROR(IF(N147=0,"",IF(NOT(Y147=1),1,IF('DATOS'!K147="Sin valorar",2,IF('DATOS'!G147=0,1,IF(OR('DATOS'!H147=0,'DATOS'!J147=0),IF(AND(OR('DATOS'!K147="Sin coste documentado",'DATOS'!K147="Incluido en otra partida"),AND(LEN(TRIM('DATOS'!L147&amp;""))&gt;0,TRIM('DATOS'!L147&amp;"")&lt;&gt;"Pendiente",TRIM('DATOS'!L147&amp;"")&lt;&gt;"Por confirmar",TRIM('DATOS'!L147&amp;"")&lt;&gt;"No consta",TRIM('DATOS'!L147&amp;"")&lt;&gt;"Desconocido",TRIM('DATOS'!L147&amp;"")&lt;&gt;"Sin confirmar",TRIM('DATOS'!L147&amp;"")&lt;&gt;"Por decidir",TRIM('DATOS'!L147&amp;"")&lt;&gt;"Por comprobar")),0,1),0))))),2)</f>
      </c>
      <c r="R147" s="29">
        <f>IFERROR(IF(N147=0,"",IF(OR(NOT(AND(LEN(TRIM('DATOS'!D147&amp;""))&gt;0,TRIM('DATOS'!D147&amp;"")&lt;&gt;"Pendiente",TRIM('DATOS'!D147&amp;"")&lt;&gt;"Por confirmar",TRIM('DATOS'!D147&amp;"")&lt;&gt;"No consta",TRIM('DATOS'!D147&amp;"")&lt;&gt;"Desconocido",TRIM('DATOS'!D147&amp;"")&lt;&gt;"Sin confirmar",TRIM('DATOS'!D147&amp;"")&lt;&gt;"Por decidir",TRIM('DATOS'!D147&amp;"")&lt;&gt;"Por comprobar")),NOT(AND(LEN(TRIM('DATOS'!E147&amp;""))&gt;0,TRIM('DATOS'!E147&amp;"")&lt;&gt;"Pendiente",TRIM('DATOS'!E147&amp;"")&lt;&gt;"Por confirmar",TRIM('DATOS'!E147&amp;"")&lt;&gt;"No consta",TRIM('DATOS'!E147&amp;"")&lt;&gt;"Desconocido",TRIM('DATOS'!E147&amp;"")&lt;&gt;"Sin confirmar",TRIM('DATOS'!E147&amp;"")&lt;&gt;"Por decidir",TRIM('DATOS'!E147&amp;"")&lt;&gt;"Por comprobar"))),2,IF('DATOS'!M147="No",2,IF('DATOS'!M147="Sí",0,IF(OR('DATOS'!D147&lt;&gt;'DATOS'!E147,LEN('DATOS'!E147)&gt;300,RIGHT(TRIM('DATOS'!E147),3)="...",RIGHT(TRIM('DATOS'!E147),1)="…"),1,0))))),2)</f>
      </c>
      <c r="S147" s="29">
        <f>IFERROR(IF(N147=0,"",IF('REFERENCIAS'!$Q$8&lt;&gt;1,2,IF(NOT(Y147=1),1,IF(OR(ABS('DATOS'!G147-ROUND('DATOS'!G147,'REFERENCIAS'!$E$8))&gt;0.00000001,ABS('DATOS'!H147-ROUND('DATOS'!H147,'REFERENCIAS'!$H$8))&gt;0.00000001,ABS('DATOS'!J147-ROUND('DATOS'!J147,'REFERENCIAS'!$K$8))&gt;0.00000001,IF(ISNUMBER('DATOS'!I147),ABS('DATOS'!I147-ROUND('DATOS'!I147,'REFERENCIAS'!$H$8))&gt;0.00000001,FALSE)),1,0)))),2)</f>
      </c>
      <c r="T147" s="29">
        <f>IFERROR(IF(N147=0,"",IF(NOT(AND(LEN(TRIM('DATOS'!F147&amp;""))&gt;0,TRIM('DATOS'!F147&amp;"")&lt;&gt;"Pendiente",TRIM('DATOS'!F147&amp;"")&lt;&gt;"Por confirmar",TRIM('DATOS'!F147&amp;"")&lt;&gt;"No consta",TRIM('DATOS'!F147&amp;"")&lt;&gt;"Desconocido",TRIM('DATOS'!F147&amp;"")&lt;&gt;"Sin confirmar",TRIM('DATOS'!F147&amp;"")&lt;&gt;"Por decidir",TRIM('DATOS'!F147&amp;"")&lt;&gt;"Por comprobar")),2,IF(COUNTIFS('REFERENCIAS'!$T$15:$T$34,"ID:"&amp;SUBSTITUTE(SUBSTITUTE(SUBSTITUTE(SUBSTITUTE(UPPER(TRIM('DATOS'!F147&amp;"")),"!","!E"),"*","!A"),"?","!B"),"~","!C"),'REFERENCIAS'!$H$15:$H$34,"&lt;&gt;")&gt;0,0,1))),2)</f>
      </c>
      <c r="U147" s="29" t="str">
        <f>'DATOS'!R147</f>
        <v>ID:</v>
      </c>
      <c r="V147" s="29" t="str">
        <f>'DATOS'!S147</f>
        <v>ID:</v>
      </c>
      <c r="W147" s="29" t="n">
        <f>IF(N147=0,0,COUNTIFS('REFERENCIAS'!$R$15:$R$64,U147))</f>
        <v>0</v>
      </c>
      <c r="X147" s="29" t="n">
        <f>IF(N147=0,0,COUNTIFS('DATOS'!$R$10:$R$509,U147,'DATOS'!$S$10:$S$509,V147))</f>
        <v>0</v>
      </c>
      <c r="Y147" s="29" t="n">
        <f>IF(AND(ISNUMBER('DATOS'!G147),ISNUMBER('DATOS'!H147),ISNUMBER('DATOS'!J147)),1,0)</f>
        <v>0</v>
      </c>
    </row>
    <row r="148" ht="64" customHeight="1">
      <c r="B148" s="26">
        <f>IF(N148=1,139,"")</f>
      </c>
      <c r="C148" s="26">
        <f>IF(AND(N148=1,LEN(TRIM('DATOS'!B148&amp;""))&gt;0),'DATOS'!B148,"")</f>
      </c>
      <c r="D148" s="26">
        <f>IF(AND(N148=1,LEN(TRIM('DATOS'!C148&amp;""))&gt;0),'DATOS'!C148,"")</f>
      </c>
      <c r="E148" s="26">
        <f>IF(NOT(ISNUMBER(P148)),"",IF(P148=2,"ROJO",IF(P148=1,"ÁMBAR","VERDE")))</f>
      </c>
      <c r="F148" s="26">
        <f>IF(NOT(ISNUMBER(Q148)),"",IF(Q148=2,"ROJO",IF(Q148=1,"ÁMBAR","VERDE")))</f>
      </c>
      <c r="G148" s="26">
        <f>IF(NOT(ISNUMBER(R148)),"",IF(R148=2,"ROJO",IF(R148=1,"ÁMBAR","VERDE")))</f>
      </c>
      <c r="H148" s="26">
        <f>IF(NOT(ISNUMBER(S148)),"",IF(S148=2,"ROJO",IF(S148=1,"ÁMBAR","VERDE")))</f>
      </c>
      <c r="I148" s="26">
        <f>IF(NOT(ISNUMBER(T148)),"",IF(T148=2,"ROJO",IF(T148=1,"ÁMBAR","VERDE")))</f>
      </c>
      <c r="J148" s="26">
        <f>IF(NOT(ISNUMBER(O148)),"",IF(O148=2,"ROJO",IF(O148=1,"ÁMBAR","VERDE")))</f>
      </c>
      <c r="K148" s="26">
        <f>IFERROR(IF(AND(N148=1,LEN(TRIM('DATOS'!N148&amp;""))&gt;0),'DATOS'!N148,""),"Hay una entrada con error. Corregimos el dato antes de cerrar la comprobación.")</f>
      </c>
      <c r="L148" s="26">
        <f>IFERROR(IF(N148=0,"",IF(O148&gt;0,"Completamos datos, claves o motivo. ","")&amp;IF(P148&gt;0,"Cotejamos precios e importe. ","")&amp;IF(Q148&gt;0,"Aclaramos el cero. ","")&amp;IF(R148&gt;0,"Comprobamos el texto. ","")&amp;IF(S148&gt;0,"Revisamos decimales visibles. ","")&amp;IF(T148&gt;0,"Confirmamos la unidad.","")),"Hay una entrada con error. Corregimos el dato antes de cerrar la comprobación.")</f>
      </c>
      <c r="N148" s="29" t="n">
        <f>IF(COUNTA('DATOS'!B148:O148)&gt;0,1,0)</f>
        <v>0</v>
      </c>
      <c r="O148" s="29">
        <f>IFERROR(IF(N148=0,"",IF(OR(NOT(AND(LEN(TRIM('DATOS'!B148&amp;""))&gt;0,TRIM('DATOS'!B148&amp;"")&lt;&gt;"Pendiente",TRIM('DATOS'!B148&amp;"")&lt;&gt;"Por confirmar",TRIM('DATOS'!B148&amp;"")&lt;&gt;"No consta",TRIM('DATOS'!B148&amp;"")&lt;&gt;"Desconocido",TRIM('DATOS'!B148&amp;"")&lt;&gt;"Sin confirmar",TRIM('DATOS'!B148&amp;"")&lt;&gt;"Por decidir",TRIM('DATOS'!B148&amp;"")&lt;&gt;"Por comprobar")),NOT(AND(LEN(TRIM('DATOS'!C148&amp;""))&gt;0,TRIM('DATOS'!C148&amp;"")&lt;&gt;"Pendiente",TRIM('DATOS'!C148&amp;"")&lt;&gt;"Por confirmar",TRIM('DATOS'!C148&amp;"")&lt;&gt;"No consta",TRIM('DATOS'!C148&amp;"")&lt;&gt;"Desconocido",TRIM('DATOS'!C148&amp;"")&lt;&gt;"Sin confirmar",TRIM('DATOS'!C148&amp;"")&lt;&gt;"Por decidir",TRIM('DATOS'!C148&amp;"")&lt;&gt;"Por comprobar")),NOT(AND(LEN(TRIM('DATOS'!D148&amp;""))&gt;0,TRIM('DATOS'!D148&amp;"")&lt;&gt;"Pendiente",TRIM('DATOS'!D148&amp;"")&lt;&gt;"Por confirmar",TRIM('DATOS'!D148&amp;"")&lt;&gt;"No consta",TRIM('DATOS'!D148&amp;"")&lt;&gt;"Desconocido",TRIM('DATOS'!D148&amp;"")&lt;&gt;"Sin confirmar",TRIM('DATOS'!D148&amp;"")&lt;&gt;"Por decidir",TRIM('DATOS'!D148&amp;"")&lt;&gt;"Por comprobar")),NOT(AND(LEN(TRIM('DATOS'!E148&amp;""))&gt;0,TRIM('DATOS'!E148&amp;"")&lt;&gt;"Pendiente",TRIM('DATOS'!E148&amp;"")&lt;&gt;"Por confirmar",TRIM('DATOS'!E148&amp;"")&lt;&gt;"No consta",TRIM('DATOS'!E148&amp;"")&lt;&gt;"Desconocido",TRIM('DATOS'!E148&amp;"")&lt;&gt;"Sin confirmar",TRIM('DATOS'!E148&amp;"")&lt;&gt;"Por decidir",TRIM('DATOS'!E148&amp;"")&lt;&gt;"Por comprobar")),NOT(AND(LEN(TRIM('DATOS'!F148&amp;""))&gt;0,TRIM('DATOS'!F148&amp;"")&lt;&gt;"Pendiente",TRIM('DATOS'!F148&amp;"")&lt;&gt;"Por confirmar",TRIM('DATOS'!F148&amp;"")&lt;&gt;"No consta",TRIM('DATOS'!F148&amp;"")&lt;&gt;"Desconocido",TRIM('DATOS'!F148&amp;"")&lt;&gt;"Sin confirmar",TRIM('DATOS'!F148&amp;"")&lt;&gt;"Por decidir",TRIM('DATOS'!F148&amp;"")&lt;&gt;"Por comprobar")),NOT(AND(LEN(TRIM('DATOS'!N148&amp;""))&gt;0,TRIM('DATOS'!N148&amp;"")&lt;&gt;"Pendiente",TRIM('DATOS'!N148&amp;"")&lt;&gt;"Por confirmar",TRIM('DATOS'!N148&amp;"")&lt;&gt;"No consta",TRIM('DATOS'!N148&amp;"")&lt;&gt;"Desconocido",TRIM('DATOS'!N148&amp;"")&lt;&gt;"Sin confirmar",TRIM('DATOS'!N148&amp;"")&lt;&gt;"Por decidir",TRIM('DATOS'!N148&amp;"")&lt;&gt;"Por comprobar")),NOT(Y148=1),W148&lt;&gt;1,X148&gt;1,NOT(OR(LEN(TRIM('DATOS'!K148&amp;""))=0,'DATOS'!K148="Sin valorar",'DATOS'!K148="Sin coste documentado",'DATOS'!K148="Incluido en otra partida",'DATOS'!K148="Por confirmar")),NOT(OR(LEN(TRIM('DATOS'!M148&amp;""))=0,'DATOS'!M148="Sí",'DATOS'!M148="No",'DATOS'!M148="Por confirmar")),NOT(OR(LEN(TRIM('DATOS'!O148&amp;""))=0,'DATOS'!O148="Comparamos",'DATOS'!O148="No existe",'DATOS'!O148="Por confirmar"))),2,IF(AND(OR('DATOS'!G148&lt;0,'DATOS'!H148&lt;0,'DATOS'!J148&lt;0),NOT(AND(LEN(TRIM('DATOS'!L148&amp;""))&gt;0,TRIM('DATOS'!L148&amp;"")&lt;&gt;"Pendiente",TRIM('DATOS'!L148&amp;"")&lt;&gt;"Por confirmar",TRIM('DATOS'!L148&amp;"")&lt;&gt;"No consta",TRIM('DATOS'!L148&amp;"")&lt;&gt;"Desconocido",TRIM('DATOS'!L148&amp;"")&lt;&gt;"Sin confirmar",TRIM('DATOS'!L148&amp;"")&lt;&gt;"Por decidir",TRIM('DATOS'!L148&amp;"")&lt;&gt;"Por comprobar"))),1,0))),2)</f>
      </c>
      <c r="P148" s="29">
        <f>IFERROR(IF(N148=0,"",IF(NOT(Y148=1),1,IF('REFERENCIAS'!$Q$8&lt;&gt;1,2,IF(ABS('DATOS'!J148-ROUND('DATOS'!G148*'DATOS'!H148,'REFERENCIAS'!$K$8))&gt;0.00000001,2,IF('DATOS'!O148="No existe",IF(LEN(TRIM('DATOS'!I148&amp;""))=0,0,2),IF('DATOS'!O148="Comparamos",IF(LEN(TRIM('DATOS'!I148&amp;""))=0,1,IF(ISNUMBER('DATOS'!I148),IF(ABS('DATOS'!H148-'DATOS'!I148)&gt;0.00000001,2,0),2)),1)))))),2)</f>
      </c>
      <c r="Q148" s="29">
        <f>IFERROR(IF(N148=0,"",IF(NOT(Y148=1),1,IF('DATOS'!K148="Sin valorar",2,IF('DATOS'!G148=0,1,IF(OR('DATOS'!H148=0,'DATOS'!J148=0),IF(AND(OR('DATOS'!K148="Sin coste documentado",'DATOS'!K148="Incluido en otra partida"),AND(LEN(TRIM('DATOS'!L148&amp;""))&gt;0,TRIM('DATOS'!L148&amp;"")&lt;&gt;"Pendiente",TRIM('DATOS'!L148&amp;"")&lt;&gt;"Por confirmar",TRIM('DATOS'!L148&amp;"")&lt;&gt;"No consta",TRIM('DATOS'!L148&amp;"")&lt;&gt;"Desconocido",TRIM('DATOS'!L148&amp;"")&lt;&gt;"Sin confirmar",TRIM('DATOS'!L148&amp;"")&lt;&gt;"Por decidir",TRIM('DATOS'!L148&amp;"")&lt;&gt;"Por comprobar")),0,1),0))))),2)</f>
      </c>
      <c r="R148" s="29">
        <f>IFERROR(IF(N148=0,"",IF(OR(NOT(AND(LEN(TRIM('DATOS'!D148&amp;""))&gt;0,TRIM('DATOS'!D148&amp;"")&lt;&gt;"Pendiente",TRIM('DATOS'!D148&amp;"")&lt;&gt;"Por confirmar",TRIM('DATOS'!D148&amp;"")&lt;&gt;"No consta",TRIM('DATOS'!D148&amp;"")&lt;&gt;"Desconocido",TRIM('DATOS'!D148&amp;"")&lt;&gt;"Sin confirmar",TRIM('DATOS'!D148&amp;"")&lt;&gt;"Por decidir",TRIM('DATOS'!D148&amp;"")&lt;&gt;"Por comprobar")),NOT(AND(LEN(TRIM('DATOS'!E148&amp;""))&gt;0,TRIM('DATOS'!E148&amp;"")&lt;&gt;"Pendiente",TRIM('DATOS'!E148&amp;"")&lt;&gt;"Por confirmar",TRIM('DATOS'!E148&amp;"")&lt;&gt;"No consta",TRIM('DATOS'!E148&amp;"")&lt;&gt;"Desconocido",TRIM('DATOS'!E148&amp;"")&lt;&gt;"Sin confirmar",TRIM('DATOS'!E148&amp;"")&lt;&gt;"Por decidir",TRIM('DATOS'!E148&amp;"")&lt;&gt;"Por comprobar"))),2,IF('DATOS'!M148="No",2,IF('DATOS'!M148="Sí",0,IF(OR('DATOS'!D148&lt;&gt;'DATOS'!E148,LEN('DATOS'!E148)&gt;300,RIGHT(TRIM('DATOS'!E148),3)="...",RIGHT(TRIM('DATOS'!E148),1)="…"),1,0))))),2)</f>
      </c>
      <c r="S148" s="29">
        <f>IFERROR(IF(N148=0,"",IF('REFERENCIAS'!$Q$8&lt;&gt;1,2,IF(NOT(Y148=1),1,IF(OR(ABS('DATOS'!G148-ROUND('DATOS'!G148,'REFERENCIAS'!$E$8))&gt;0.00000001,ABS('DATOS'!H148-ROUND('DATOS'!H148,'REFERENCIAS'!$H$8))&gt;0.00000001,ABS('DATOS'!J148-ROUND('DATOS'!J148,'REFERENCIAS'!$K$8))&gt;0.00000001,IF(ISNUMBER('DATOS'!I148),ABS('DATOS'!I148-ROUND('DATOS'!I148,'REFERENCIAS'!$H$8))&gt;0.00000001,FALSE)),1,0)))),2)</f>
      </c>
      <c r="T148" s="29">
        <f>IFERROR(IF(N148=0,"",IF(NOT(AND(LEN(TRIM('DATOS'!F148&amp;""))&gt;0,TRIM('DATOS'!F148&amp;"")&lt;&gt;"Pendiente",TRIM('DATOS'!F148&amp;"")&lt;&gt;"Por confirmar",TRIM('DATOS'!F148&amp;"")&lt;&gt;"No consta",TRIM('DATOS'!F148&amp;"")&lt;&gt;"Desconocido",TRIM('DATOS'!F148&amp;"")&lt;&gt;"Sin confirmar",TRIM('DATOS'!F148&amp;"")&lt;&gt;"Por decidir",TRIM('DATOS'!F148&amp;"")&lt;&gt;"Por comprobar")),2,IF(COUNTIFS('REFERENCIAS'!$T$15:$T$34,"ID:"&amp;SUBSTITUTE(SUBSTITUTE(SUBSTITUTE(SUBSTITUTE(UPPER(TRIM('DATOS'!F148&amp;"")),"!","!E"),"*","!A"),"?","!B"),"~","!C"),'REFERENCIAS'!$H$15:$H$34,"&lt;&gt;")&gt;0,0,1))),2)</f>
      </c>
      <c r="U148" s="29" t="str">
        <f>'DATOS'!R148</f>
        <v>ID:</v>
      </c>
      <c r="V148" s="29" t="str">
        <f>'DATOS'!S148</f>
        <v>ID:</v>
      </c>
      <c r="W148" s="29" t="n">
        <f>IF(N148=0,0,COUNTIFS('REFERENCIAS'!$R$15:$R$64,U148))</f>
        <v>0</v>
      </c>
      <c r="X148" s="29" t="n">
        <f>IF(N148=0,0,COUNTIFS('DATOS'!$R$10:$R$509,U148,'DATOS'!$S$10:$S$509,V148))</f>
        <v>0</v>
      </c>
      <c r="Y148" s="29" t="n">
        <f>IF(AND(ISNUMBER('DATOS'!G148),ISNUMBER('DATOS'!H148),ISNUMBER('DATOS'!J148)),1,0)</f>
        <v>0</v>
      </c>
    </row>
    <row r="149" ht="64" customHeight="1">
      <c r="B149" s="26">
        <f>IF(N149=1,140,"")</f>
      </c>
      <c r="C149" s="26">
        <f>IF(AND(N149=1,LEN(TRIM('DATOS'!B149&amp;""))&gt;0),'DATOS'!B149,"")</f>
      </c>
      <c r="D149" s="26">
        <f>IF(AND(N149=1,LEN(TRIM('DATOS'!C149&amp;""))&gt;0),'DATOS'!C149,"")</f>
      </c>
      <c r="E149" s="26">
        <f>IF(NOT(ISNUMBER(P149)),"",IF(P149=2,"ROJO",IF(P149=1,"ÁMBAR","VERDE")))</f>
      </c>
      <c r="F149" s="26">
        <f>IF(NOT(ISNUMBER(Q149)),"",IF(Q149=2,"ROJO",IF(Q149=1,"ÁMBAR","VERDE")))</f>
      </c>
      <c r="G149" s="26">
        <f>IF(NOT(ISNUMBER(R149)),"",IF(R149=2,"ROJO",IF(R149=1,"ÁMBAR","VERDE")))</f>
      </c>
      <c r="H149" s="26">
        <f>IF(NOT(ISNUMBER(S149)),"",IF(S149=2,"ROJO",IF(S149=1,"ÁMBAR","VERDE")))</f>
      </c>
      <c r="I149" s="26">
        <f>IF(NOT(ISNUMBER(T149)),"",IF(T149=2,"ROJO",IF(T149=1,"ÁMBAR","VERDE")))</f>
      </c>
      <c r="J149" s="26">
        <f>IF(NOT(ISNUMBER(O149)),"",IF(O149=2,"ROJO",IF(O149=1,"ÁMBAR","VERDE")))</f>
      </c>
      <c r="K149" s="26">
        <f>IFERROR(IF(AND(N149=1,LEN(TRIM('DATOS'!N149&amp;""))&gt;0),'DATOS'!N149,""),"Hay una entrada con error. Corregimos el dato antes de cerrar la comprobación.")</f>
      </c>
      <c r="L149" s="26">
        <f>IFERROR(IF(N149=0,"",IF(O149&gt;0,"Completamos datos, claves o motivo. ","")&amp;IF(P149&gt;0,"Cotejamos precios e importe. ","")&amp;IF(Q149&gt;0,"Aclaramos el cero. ","")&amp;IF(R149&gt;0,"Comprobamos el texto. ","")&amp;IF(S149&gt;0,"Revisamos decimales visibles. ","")&amp;IF(T149&gt;0,"Confirmamos la unidad.","")),"Hay una entrada con error. Corregimos el dato antes de cerrar la comprobación.")</f>
      </c>
      <c r="N149" s="29" t="n">
        <f>IF(COUNTA('DATOS'!B149:O149)&gt;0,1,0)</f>
        <v>0</v>
      </c>
      <c r="O149" s="29">
        <f>IFERROR(IF(N149=0,"",IF(OR(NOT(AND(LEN(TRIM('DATOS'!B149&amp;""))&gt;0,TRIM('DATOS'!B149&amp;"")&lt;&gt;"Pendiente",TRIM('DATOS'!B149&amp;"")&lt;&gt;"Por confirmar",TRIM('DATOS'!B149&amp;"")&lt;&gt;"No consta",TRIM('DATOS'!B149&amp;"")&lt;&gt;"Desconocido",TRIM('DATOS'!B149&amp;"")&lt;&gt;"Sin confirmar",TRIM('DATOS'!B149&amp;"")&lt;&gt;"Por decidir",TRIM('DATOS'!B149&amp;"")&lt;&gt;"Por comprobar")),NOT(AND(LEN(TRIM('DATOS'!C149&amp;""))&gt;0,TRIM('DATOS'!C149&amp;"")&lt;&gt;"Pendiente",TRIM('DATOS'!C149&amp;"")&lt;&gt;"Por confirmar",TRIM('DATOS'!C149&amp;"")&lt;&gt;"No consta",TRIM('DATOS'!C149&amp;"")&lt;&gt;"Desconocido",TRIM('DATOS'!C149&amp;"")&lt;&gt;"Sin confirmar",TRIM('DATOS'!C149&amp;"")&lt;&gt;"Por decidir",TRIM('DATOS'!C149&amp;"")&lt;&gt;"Por comprobar")),NOT(AND(LEN(TRIM('DATOS'!D149&amp;""))&gt;0,TRIM('DATOS'!D149&amp;"")&lt;&gt;"Pendiente",TRIM('DATOS'!D149&amp;"")&lt;&gt;"Por confirmar",TRIM('DATOS'!D149&amp;"")&lt;&gt;"No consta",TRIM('DATOS'!D149&amp;"")&lt;&gt;"Desconocido",TRIM('DATOS'!D149&amp;"")&lt;&gt;"Sin confirmar",TRIM('DATOS'!D149&amp;"")&lt;&gt;"Por decidir",TRIM('DATOS'!D149&amp;"")&lt;&gt;"Por comprobar")),NOT(AND(LEN(TRIM('DATOS'!E149&amp;""))&gt;0,TRIM('DATOS'!E149&amp;"")&lt;&gt;"Pendiente",TRIM('DATOS'!E149&amp;"")&lt;&gt;"Por confirmar",TRIM('DATOS'!E149&amp;"")&lt;&gt;"No consta",TRIM('DATOS'!E149&amp;"")&lt;&gt;"Desconocido",TRIM('DATOS'!E149&amp;"")&lt;&gt;"Sin confirmar",TRIM('DATOS'!E149&amp;"")&lt;&gt;"Por decidir",TRIM('DATOS'!E149&amp;"")&lt;&gt;"Por comprobar")),NOT(AND(LEN(TRIM('DATOS'!F149&amp;""))&gt;0,TRIM('DATOS'!F149&amp;"")&lt;&gt;"Pendiente",TRIM('DATOS'!F149&amp;"")&lt;&gt;"Por confirmar",TRIM('DATOS'!F149&amp;"")&lt;&gt;"No consta",TRIM('DATOS'!F149&amp;"")&lt;&gt;"Desconocido",TRIM('DATOS'!F149&amp;"")&lt;&gt;"Sin confirmar",TRIM('DATOS'!F149&amp;"")&lt;&gt;"Por decidir",TRIM('DATOS'!F149&amp;"")&lt;&gt;"Por comprobar")),NOT(AND(LEN(TRIM('DATOS'!N149&amp;""))&gt;0,TRIM('DATOS'!N149&amp;"")&lt;&gt;"Pendiente",TRIM('DATOS'!N149&amp;"")&lt;&gt;"Por confirmar",TRIM('DATOS'!N149&amp;"")&lt;&gt;"No consta",TRIM('DATOS'!N149&amp;"")&lt;&gt;"Desconocido",TRIM('DATOS'!N149&amp;"")&lt;&gt;"Sin confirmar",TRIM('DATOS'!N149&amp;"")&lt;&gt;"Por decidir",TRIM('DATOS'!N149&amp;"")&lt;&gt;"Por comprobar")),NOT(Y149=1),W149&lt;&gt;1,X149&gt;1,NOT(OR(LEN(TRIM('DATOS'!K149&amp;""))=0,'DATOS'!K149="Sin valorar",'DATOS'!K149="Sin coste documentado",'DATOS'!K149="Incluido en otra partida",'DATOS'!K149="Por confirmar")),NOT(OR(LEN(TRIM('DATOS'!M149&amp;""))=0,'DATOS'!M149="Sí",'DATOS'!M149="No",'DATOS'!M149="Por confirmar")),NOT(OR(LEN(TRIM('DATOS'!O149&amp;""))=0,'DATOS'!O149="Comparamos",'DATOS'!O149="No existe",'DATOS'!O149="Por confirmar"))),2,IF(AND(OR('DATOS'!G149&lt;0,'DATOS'!H149&lt;0,'DATOS'!J149&lt;0),NOT(AND(LEN(TRIM('DATOS'!L149&amp;""))&gt;0,TRIM('DATOS'!L149&amp;"")&lt;&gt;"Pendiente",TRIM('DATOS'!L149&amp;"")&lt;&gt;"Por confirmar",TRIM('DATOS'!L149&amp;"")&lt;&gt;"No consta",TRIM('DATOS'!L149&amp;"")&lt;&gt;"Desconocido",TRIM('DATOS'!L149&amp;"")&lt;&gt;"Sin confirmar",TRIM('DATOS'!L149&amp;"")&lt;&gt;"Por decidir",TRIM('DATOS'!L149&amp;"")&lt;&gt;"Por comprobar"))),1,0))),2)</f>
      </c>
      <c r="P149" s="29">
        <f>IFERROR(IF(N149=0,"",IF(NOT(Y149=1),1,IF('REFERENCIAS'!$Q$8&lt;&gt;1,2,IF(ABS('DATOS'!J149-ROUND('DATOS'!G149*'DATOS'!H149,'REFERENCIAS'!$K$8))&gt;0.00000001,2,IF('DATOS'!O149="No existe",IF(LEN(TRIM('DATOS'!I149&amp;""))=0,0,2),IF('DATOS'!O149="Comparamos",IF(LEN(TRIM('DATOS'!I149&amp;""))=0,1,IF(ISNUMBER('DATOS'!I149),IF(ABS('DATOS'!H149-'DATOS'!I149)&gt;0.00000001,2,0),2)),1)))))),2)</f>
      </c>
      <c r="Q149" s="29">
        <f>IFERROR(IF(N149=0,"",IF(NOT(Y149=1),1,IF('DATOS'!K149="Sin valorar",2,IF('DATOS'!G149=0,1,IF(OR('DATOS'!H149=0,'DATOS'!J149=0),IF(AND(OR('DATOS'!K149="Sin coste documentado",'DATOS'!K149="Incluido en otra partida"),AND(LEN(TRIM('DATOS'!L149&amp;""))&gt;0,TRIM('DATOS'!L149&amp;"")&lt;&gt;"Pendiente",TRIM('DATOS'!L149&amp;"")&lt;&gt;"Por confirmar",TRIM('DATOS'!L149&amp;"")&lt;&gt;"No consta",TRIM('DATOS'!L149&amp;"")&lt;&gt;"Desconocido",TRIM('DATOS'!L149&amp;"")&lt;&gt;"Sin confirmar",TRIM('DATOS'!L149&amp;"")&lt;&gt;"Por decidir",TRIM('DATOS'!L149&amp;"")&lt;&gt;"Por comprobar")),0,1),0))))),2)</f>
      </c>
      <c r="R149" s="29">
        <f>IFERROR(IF(N149=0,"",IF(OR(NOT(AND(LEN(TRIM('DATOS'!D149&amp;""))&gt;0,TRIM('DATOS'!D149&amp;"")&lt;&gt;"Pendiente",TRIM('DATOS'!D149&amp;"")&lt;&gt;"Por confirmar",TRIM('DATOS'!D149&amp;"")&lt;&gt;"No consta",TRIM('DATOS'!D149&amp;"")&lt;&gt;"Desconocido",TRIM('DATOS'!D149&amp;"")&lt;&gt;"Sin confirmar",TRIM('DATOS'!D149&amp;"")&lt;&gt;"Por decidir",TRIM('DATOS'!D149&amp;"")&lt;&gt;"Por comprobar")),NOT(AND(LEN(TRIM('DATOS'!E149&amp;""))&gt;0,TRIM('DATOS'!E149&amp;"")&lt;&gt;"Pendiente",TRIM('DATOS'!E149&amp;"")&lt;&gt;"Por confirmar",TRIM('DATOS'!E149&amp;"")&lt;&gt;"No consta",TRIM('DATOS'!E149&amp;"")&lt;&gt;"Desconocido",TRIM('DATOS'!E149&amp;"")&lt;&gt;"Sin confirmar",TRIM('DATOS'!E149&amp;"")&lt;&gt;"Por decidir",TRIM('DATOS'!E149&amp;"")&lt;&gt;"Por comprobar"))),2,IF('DATOS'!M149="No",2,IF('DATOS'!M149="Sí",0,IF(OR('DATOS'!D149&lt;&gt;'DATOS'!E149,LEN('DATOS'!E149)&gt;300,RIGHT(TRIM('DATOS'!E149),3)="...",RIGHT(TRIM('DATOS'!E149),1)="…"),1,0))))),2)</f>
      </c>
      <c r="S149" s="29">
        <f>IFERROR(IF(N149=0,"",IF('REFERENCIAS'!$Q$8&lt;&gt;1,2,IF(NOT(Y149=1),1,IF(OR(ABS('DATOS'!G149-ROUND('DATOS'!G149,'REFERENCIAS'!$E$8))&gt;0.00000001,ABS('DATOS'!H149-ROUND('DATOS'!H149,'REFERENCIAS'!$H$8))&gt;0.00000001,ABS('DATOS'!J149-ROUND('DATOS'!J149,'REFERENCIAS'!$K$8))&gt;0.00000001,IF(ISNUMBER('DATOS'!I149),ABS('DATOS'!I149-ROUND('DATOS'!I149,'REFERENCIAS'!$H$8))&gt;0.00000001,FALSE)),1,0)))),2)</f>
      </c>
      <c r="T149" s="29">
        <f>IFERROR(IF(N149=0,"",IF(NOT(AND(LEN(TRIM('DATOS'!F149&amp;""))&gt;0,TRIM('DATOS'!F149&amp;"")&lt;&gt;"Pendiente",TRIM('DATOS'!F149&amp;"")&lt;&gt;"Por confirmar",TRIM('DATOS'!F149&amp;"")&lt;&gt;"No consta",TRIM('DATOS'!F149&amp;"")&lt;&gt;"Desconocido",TRIM('DATOS'!F149&amp;"")&lt;&gt;"Sin confirmar",TRIM('DATOS'!F149&amp;"")&lt;&gt;"Por decidir",TRIM('DATOS'!F149&amp;"")&lt;&gt;"Por comprobar")),2,IF(COUNTIFS('REFERENCIAS'!$T$15:$T$34,"ID:"&amp;SUBSTITUTE(SUBSTITUTE(SUBSTITUTE(SUBSTITUTE(UPPER(TRIM('DATOS'!F149&amp;"")),"!","!E"),"*","!A"),"?","!B"),"~","!C"),'REFERENCIAS'!$H$15:$H$34,"&lt;&gt;")&gt;0,0,1))),2)</f>
      </c>
      <c r="U149" s="29" t="str">
        <f>'DATOS'!R149</f>
        <v>ID:</v>
      </c>
      <c r="V149" s="29" t="str">
        <f>'DATOS'!S149</f>
        <v>ID:</v>
      </c>
      <c r="W149" s="29" t="n">
        <f>IF(N149=0,0,COUNTIFS('REFERENCIAS'!$R$15:$R$64,U149))</f>
        <v>0</v>
      </c>
      <c r="X149" s="29" t="n">
        <f>IF(N149=0,0,COUNTIFS('DATOS'!$R$10:$R$509,U149,'DATOS'!$S$10:$S$509,V149))</f>
        <v>0</v>
      </c>
      <c r="Y149" s="29" t="n">
        <f>IF(AND(ISNUMBER('DATOS'!G149),ISNUMBER('DATOS'!H149),ISNUMBER('DATOS'!J149)),1,0)</f>
        <v>0</v>
      </c>
    </row>
    <row r="150" ht="64" customHeight="1">
      <c r="B150" s="26">
        <f>IF(N150=1,141,"")</f>
      </c>
      <c r="C150" s="26">
        <f>IF(AND(N150=1,LEN(TRIM('DATOS'!B150&amp;""))&gt;0),'DATOS'!B150,"")</f>
      </c>
      <c r="D150" s="26">
        <f>IF(AND(N150=1,LEN(TRIM('DATOS'!C150&amp;""))&gt;0),'DATOS'!C150,"")</f>
      </c>
      <c r="E150" s="26">
        <f>IF(NOT(ISNUMBER(P150)),"",IF(P150=2,"ROJO",IF(P150=1,"ÁMBAR","VERDE")))</f>
      </c>
      <c r="F150" s="26">
        <f>IF(NOT(ISNUMBER(Q150)),"",IF(Q150=2,"ROJO",IF(Q150=1,"ÁMBAR","VERDE")))</f>
      </c>
      <c r="G150" s="26">
        <f>IF(NOT(ISNUMBER(R150)),"",IF(R150=2,"ROJO",IF(R150=1,"ÁMBAR","VERDE")))</f>
      </c>
      <c r="H150" s="26">
        <f>IF(NOT(ISNUMBER(S150)),"",IF(S150=2,"ROJO",IF(S150=1,"ÁMBAR","VERDE")))</f>
      </c>
      <c r="I150" s="26">
        <f>IF(NOT(ISNUMBER(T150)),"",IF(T150=2,"ROJO",IF(T150=1,"ÁMBAR","VERDE")))</f>
      </c>
      <c r="J150" s="26">
        <f>IF(NOT(ISNUMBER(O150)),"",IF(O150=2,"ROJO",IF(O150=1,"ÁMBAR","VERDE")))</f>
      </c>
      <c r="K150" s="26">
        <f>IFERROR(IF(AND(N150=1,LEN(TRIM('DATOS'!N150&amp;""))&gt;0),'DATOS'!N150,""),"Hay una entrada con error. Corregimos el dato antes de cerrar la comprobación.")</f>
      </c>
      <c r="L150" s="26">
        <f>IFERROR(IF(N150=0,"",IF(O150&gt;0,"Completamos datos, claves o motivo. ","")&amp;IF(P150&gt;0,"Cotejamos precios e importe. ","")&amp;IF(Q150&gt;0,"Aclaramos el cero. ","")&amp;IF(R150&gt;0,"Comprobamos el texto. ","")&amp;IF(S150&gt;0,"Revisamos decimales visibles. ","")&amp;IF(T150&gt;0,"Confirmamos la unidad.","")),"Hay una entrada con error. Corregimos el dato antes de cerrar la comprobación.")</f>
      </c>
      <c r="N150" s="29" t="n">
        <f>IF(COUNTA('DATOS'!B150:O150)&gt;0,1,0)</f>
        <v>0</v>
      </c>
      <c r="O150" s="29">
        <f>IFERROR(IF(N150=0,"",IF(OR(NOT(AND(LEN(TRIM('DATOS'!B150&amp;""))&gt;0,TRIM('DATOS'!B150&amp;"")&lt;&gt;"Pendiente",TRIM('DATOS'!B150&amp;"")&lt;&gt;"Por confirmar",TRIM('DATOS'!B150&amp;"")&lt;&gt;"No consta",TRIM('DATOS'!B150&amp;"")&lt;&gt;"Desconocido",TRIM('DATOS'!B150&amp;"")&lt;&gt;"Sin confirmar",TRIM('DATOS'!B150&amp;"")&lt;&gt;"Por decidir",TRIM('DATOS'!B150&amp;"")&lt;&gt;"Por comprobar")),NOT(AND(LEN(TRIM('DATOS'!C150&amp;""))&gt;0,TRIM('DATOS'!C150&amp;"")&lt;&gt;"Pendiente",TRIM('DATOS'!C150&amp;"")&lt;&gt;"Por confirmar",TRIM('DATOS'!C150&amp;"")&lt;&gt;"No consta",TRIM('DATOS'!C150&amp;"")&lt;&gt;"Desconocido",TRIM('DATOS'!C150&amp;"")&lt;&gt;"Sin confirmar",TRIM('DATOS'!C150&amp;"")&lt;&gt;"Por decidir",TRIM('DATOS'!C150&amp;"")&lt;&gt;"Por comprobar")),NOT(AND(LEN(TRIM('DATOS'!D150&amp;""))&gt;0,TRIM('DATOS'!D150&amp;"")&lt;&gt;"Pendiente",TRIM('DATOS'!D150&amp;"")&lt;&gt;"Por confirmar",TRIM('DATOS'!D150&amp;"")&lt;&gt;"No consta",TRIM('DATOS'!D150&amp;"")&lt;&gt;"Desconocido",TRIM('DATOS'!D150&amp;"")&lt;&gt;"Sin confirmar",TRIM('DATOS'!D150&amp;"")&lt;&gt;"Por decidir",TRIM('DATOS'!D150&amp;"")&lt;&gt;"Por comprobar")),NOT(AND(LEN(TRIM('DATOS'!E150&amp;""))&gt;0,TRIM('DATOS'!E150&amp;"")&lt;&gt;"Pendiente",TRIM('DATOS'!E150&amp;"")&lt;&gt;"Por confirmar",TRIM('DATOS'!E150&amp;"")&lt;&gt;"No consta",TRIM('DATOS'!E150&amp;"")&lt;&gt;"Desconocido",TRIM('DATOS'!E150&amp;"")&lt;&gt;"Sin confirmar",TRIM('DATOS'!E150&amp;"")&lt;&gt;"Por decidir",TRIM('DATOS'!E150&amp;"")&lt;&gt;"Por comprobar")),NOT(AND(LEN(TRIM('DATOS'!F150&amp;""))&gt;0,TRIM('DATOS'!F150&amp;"")&lt;&gt;"Pendiente",TRIM('DATOS'!F150&amp;"")&lt;&gt;"Por confirmar",TRIM('DATOS'!F150&amp;"")&lt;&gt;"No consta",TRIM('DATOS'!F150&amp;"")&lt;&gt;"Desconocido",TRIM('DATOS'!F150&amp;"")&lt;&gt;"Sin confirmar",TRIM('DATOS'!F150&amp;"")&lt;&gt;"Por decidir",TRIM('DATOS'!F150&amp;"")&lt;&gt;"Por comprobar")),NOT(AND(LEN(TRIM('DATOS'!N150&amp;""))&gt;0,TRIM('DATOS'!N150&amp;"")&lt;&gt;"Pendiente",TRIM('DATOS'!N150&amp;"")&lt;&gt;"Por confirmar",TRIM('DATOS'!N150&amp;"")&lt;&gt;"No consta",TRIM('DATOS'!N150&amp;"")&lt;&gt;"Desconocido",TRIM('DATOS'!N150&amp;"")&lt;&gt;"Sin confirmar",TRIM('DATOS'!N150&amp;"")&lt;&gt;"Por decidir",TRIM('DATOS'!N150&amp;"")&lt;&gt;"Por comprobar")),NOT(Y150=1),W150&lt;&gt;1,X150&gt;1,NOT(OR(LEN(TRIM('DATOS'!K150&amp;""))=0,'DATOS'!K150="Sin valorar",'DATOS'!K150="Sin coste documentado",'DATOS'!K150="Incluido en otra partida",'DATOS'!K150="Por confirmar")),NOT(OR(LEN(TRIM('DATOS'!M150&amp;""))=0,'DATOS'!M150="Sí",'DATOS'!M150="No",'DATOS'!M150="Por confirmar")),NOT(OR(LEN(TRIM('DATOS'!O150&amp;""))=0,'DATOS'!O150="Comparamos",'DATOS'!O150="No existe",'DATOS'!O150="Por confirmar"))),2,IF(AND(OR('DATOS'!G150&lt;0,'DATOS'!H150&lt;0,'DATOS'!J150&lt;0),NOT(AND(LEN(TRIM('DATOS'!L150&amp;""))&gt;0,TRIM('DATOS'!L150&amp;"")&lt;&gt;"Pendiente",TRIM('DATOS'!L150&amp;"")&lt;&gt;"Por confirmar",TRIM('DATOS'!L150&amp;"")&lt;&gt;"No consta",TRIM('DATOS'!L150&amp;"")&lt;&gt;"Desconocido",TRIM('DATOS'!L150&amp;"")&lt;&gt;"Sin confirmar",TRIM('DATOS'!L150&amp;"")&lt;&gt;"Por decidir",TRIM('DATOS'!L150&amp;"")&lt;&gt;"Por comprobar"))),1,0))),2)</f>
      </c>
      <c r="P150" s="29">
        <f>IFERROR(IF(N150=0,"",IF(NOT(Y150=1),1,IF('REFERENCIAS'!$Q$8&lt;&gt;1,2,IF(ABS('DATOS'!J150-ROUND('DATOS'!G150*'DATOS'!H150,'REFERENCIAS'!$K$8))&gt;0.00000001,2,IF('DATOS'!O150="No existe",IF(LEN(TRIM('DATOS'!I150&amp;""))=0,0,2),IF('DATOS'!O150="Comparamos",IF(LEN(TRIM('DATOS'!I150&amp;""))=0,1,IF(ISNUMBER('DATOS'!I150),IF(ABS('DATOS'!H150-'DATOS'!I150)&gt;0.00000001,2,0),2)),1)))))),2)</f>
      </c>
      <c r="Q150" s="29">
        <f>IFERROR(IF(N150=0,"",IF(NOT(Y150=1),1,IF('DATOS'!K150="Sin valorar",2,IF('DATOS'!G150=0,1,IF(OR('DATOS'!H150=0,'DATOS'!J150=0),IF(AND(OR('DATOS'!K150="Sin coste documentado",'DATOS'!K150="Incluido en otra partida"),AND(LEN(TRIM('DATOS'!L150&amp;""))&gt;0,TRIM('DATOS'!L150&amp;"")&lt;&gt;"Pendiente",TRIM('DATOS'!L150&amp;"")&lt;&gt;"Por confirmar",TRIM('DATOS'!L150&amp;"")&lt;&gt;"No consta",TRIM('DATOS'!L150&amp;"")&lt;&gt;"Desconocido",TRIM('DATOS'!L150&amp;"")&lt;&gt;"Sin confirmar",TRIM('DATOS'!L150&amp;"")&lt;&gt;"Por decidir",TRIM('DATOS'!L150&amp;"")&lt;&gt;"Por comprobar")),0,1),0))))),2)</f>
      </c>
      <c r="R150" s="29">
        <f>IFERROR(IF(N150=0,"",IF(OR(NOT(AND(LEN(TRIM('DATOS'!D150&amp;""))&gt;0,TRIM('DATOS'!D150&amp;"")&lt;&gt;"Pendiente",TRIM('DATOS'!D150&amp;"")&lt;&gt;"Por confirmar",TRIM('DATOS'!D150&amp;"")&lt;&gt;"No consta",TRIM('DATOS'!D150&amp;"")&lt;&gt;"Desconocido",TRIM('DATOS'!D150&amp;"")&lt;&gt;"Sin confirmar",TRIM('DATOS'!D150&amp;"")&lt;&gt;"Por decidir",TRIM('DATOS'!D150&amp;"")&lt;&gt;"Por comprobar")),NOT(AND(LEN(TRIM('DATOS'!E150&amp;""))&gt;0,TRIM('DATOS'!E150&amp;"")&lt;&gt;"Pendiente",TRIM('DATOS'!E150&amp;"")&lt;&gt;"Por confirmar",TRIM('DATOS'!E150&amp;"")&lt;&gt;"No consta",TRIM('DATOS'!E150&amp;"")&lt;&gt;"Desconocido",TRIM('DATOS'!E150&amp;"")&lt;&gt;"Sin confirmar",TRIM('DATOS'!E150&amp;"")&lt;&gt;"Por decidir",TRIM('DATOS'!E150&amp;"")&lt;&gt;"Por comprobar"))),2,IF('DATOS'!M150="No",2,IF('DATOS'!M150="Sí",0,IF(OR('DATOS'!D150&lt;&gt;'DATOS'!E150,LEN('DATOS'!E150)&gt;300,RIGHT(TRIM('DATOS'!E150),3)="...",RIGHT(TRIM('DATOS'!E150),1)="…"),1,0))))),2)</f>
      </c>
      <c r="S150" s="29">
        <f>IFERROR(IF(N150=0,"",IF('REFERENCIAS'!$Q$8&lt;&gt;1,2,IF(NOT(Y150=1),1,IF(OR(ABS('DATOS'!G150-ROUND('DATOS'!G150,'REFERENCIAS'!$E$8))&gt;0.00000001,ABS('DATOS'!H150-ROUND('DATOS'!H150,'REFERENCIAS'!$H$8))&gt;0.00000001,ABS('DATOS'!J150-ROUND('DATOS'!J150,'REFERENCIAS'!$K$8))&gt;0.00000001,IF(ISNUMBER('DATOS'!I150),ABS('DATOS'!I150-ROUND('DATOS'!I150,'REFERENCIAS'!$H$8))&gt;0.00000001,FALSE)),1,0)))),2)</f>
      </c>
      <c r="T150" s="29">
        <f>IFERROR(IF(N150=0,"",IF(NOT(AND(LEN(TRIM('DATOS'!F150&amp;""))&gt;0,TRIM('DATOS'!F150&amp;"")&lt;&gt;"Pendiente",TRIM('DATOS'!F150&amp;"")&lt;&gt;"Por confirmar",TRIM('DATOS'!F150&amp;"")&lt;&gt;"No consta",TRIM('DATOS'!F150&amp;"")&lt;&gt;"Desconocido",TRIM('DATOS'!F150&amp;"")&lt;&gt;"Sin confirmar",TRIM('DATOS'!F150&amp;"")&lt;&gt;"Por decidir",TRIM('DATOS'!F150&amp;"")&lt;&gt;"Por comprobar")),2,IF(COUNTIFS('REFERENCIAS'!$T$15:$T$34,"ID:"&amp;SUBSTITUTE(SUBSTITUTE(SUBSTITUTE(SUBSTITUTE(UPPER(TRIM('DATOS'!F150&amp;"")),"!","!E"),"*","!A"),"?","!B"),"~","!C"),'REFERENCIAS'!$H$15:$H$34,"&lt;&gt;")&gt;0,0,1))),2)</f>
      </c>
      <c r="U150" s="29" t="str">
        <f>'DATOS'!R150</f>
        <v>ID:</v>
      </c>
      <c r="V150" s="29" t="str">
        <f>'DATOS'!S150</f>
        <v>ID:</v>
      </c>
      <c r="W150" s="29" t="n">
        <f>IF(N150=0,0,COUNTIFS('REFERENCIAS'!$R$15:$R$64,U150))</f>
        <v>0</v>
      </c>
      <c r="X150" s="29" t="n">
        <f>IF(N150=0,0,COUNTIFS('DATOS'!$R$10:$R$509,U150,'DATOS'!$S$10:$S$509,V150))</f>
        <v>0</v>
      </c>
      <c r="Y150" s="29" t="n">
        <f>IF(AND(ISNUMBER('DATOS'!G150),ISNUMBER('DATOS'!H150),ISNUMBER('DATOS'!J150)),1,0)</f>
        <v>0</v>
      </c>
    </row>
    <row r="151" ht="64" customHeight="1">
      <c r="B151" s="26">
        <f>IF(N151=1,142,"")</f>
      </c>
      <c r="C151" s="26">
        <f>IF(AND(N151=1,LEN(TRIM('DATOS'!B151&amp;""))&gt;0),'DATOS'!B151,"")</f>
      </c>
      <c r="D151" s="26">
        <f>IF(AND(N151=1,LEN(TRIM('DATOS'!C151&amp;""))&gt;0),'DATOS'!C151,"")</f>
      </c>
      <c r="E151" s="26">
        <f>IF(NOT(ISNUMBER(P151)),"",IF(P151=2,"ROJO",IF(P151=1,"ÁMBAR","VERDE")))</f>
      </c>
      <c r="F151" s="26">
        <f>IF(NOT(ISNUMBER(Q151)),"",IF(Q151=2,"ROJO",IF(Q151=1,"ÁMBAR","VERDE")))</f>
      </c>
      <c r="G151" s="26">
        <f>IF(NOT(ISNUMBER(R151)),"",IF(R151=2,"ROJO",IF(R151=1,"ÁMBAR","VERDE")))</f>
      </c>
      <c r="H151" s="26">
        <f>IF(NOT(ISNUMBER(S151)),"",IF(S151=2,"ROJO",IF(S151=1,"ÁMBAR","VERDE")))</f>
      </c>
      <c r="I151" s="26">
        <f>IF(NOT(ISNUMBER(T151)),"",IF(T151=2,"ROJO",IF(T151=1,"ÁMBAR","VERDE")))</f>
      </c>
      <c r="J151" s="26">
        <f>IF(NOT(ISNUMBER(O151)),"",IF(O151=2,"ROJO",IF(O151=1,"ÁMBAR","VERDE")))</f>
      </c>
      <c r="K151" s="26">
        <f>IFERROR(IF(AND(N151=1,LEN(TRIM('DATOS'!N151&amp;""))&gt;0),'DATOS'!N151,""),"Hay una entrada con error. Corregimos el dato antes de cerrar la comprobación.")</f>
      </c>
      <c r="L151" s="26">
        <f>IFERROR(IF(N151=0,"",IF(O151&gt;0,"Completamos datos, claves o motivo. ","")&amp;IF(P151&gt;0,"Cotejamos precios e importe. ","")&amp;IF(Q151&gt;0,"Aclaramos el cero. ","")&amp;IF(R151&gt;0,"Comprobamos el texto. ","")&amp;IF(S151&gt;0,"Revisamos decimales visibles. ","")&amp;IF(T151&gt;0,"Confirmamos la unidad.","")),"Hay una entrada con error. Corregimos el dato antes de cerrar la comprobación.")</f>
      </c>
      <c r="N151" s="29" t="n">
        <f>IF(COUNTA('DATOS'!B151:O151)&gt;0,1,0)</f>
        <v>0</v>
      </c>
      <c r="O151" s="29">
        <f>IFERROR(IF(N151=0,"",IF(OR(NOT(AND(LEN(TRIM('DATOS'!B151&amp;""))&gt;0,TRIM('DATOS'!B151&amp;"")&lt;&gt;"Pendiente",TRIM('DATOS'!B151&amp;"")&lt;&gt;"Por confirmar",TRIM('DATOS'!B151&amp;"")&lt;&gt;"No consta",TRIM('DATOS'!B151&amp;"")&lt;&gt;"Desconocido",TRIM('DATOS'!B151&amp;"")&lt;&gt;"Sin confirmar",TRIM('DATOS'!B151&amp;"")&lt;&gt;"Por decidir",TRIM('DATOS'!B151&amp;"")&lt;&gt;"Por comprobar")),NOT(AND(LEN(TRIM('DATOS'!C151&amp;""))&gt;0,TRIM('DATOS'!C151&amp;"")&lt;&gt;"Pendiente",TRIM('DATOS'!C151&amp;"")&lt;&gt;"Por confirmar",TRIM('DATOS'!C151&amp;"")&lt;&gt;"No consta",TRIM('DATOS'!C151&amp;"")&lt;&gt;"Desconocido",TRIM('DATOS'!C151&amp;"")&lt;&gt;"Sin confirmar",TRIM('DATOS'!C151&amp;"")&lt;&gt;"Por decidir",TRIM('DATOS'!C151&amp;"")&lt;&gt;"Por comprobar")),NOT(AND(LEN(TRIM('DATOS'!D151&amp;""))&gt;0,TRIM('DATOS'!D151&amp;"")&lt;&gt;"Pendiente",TRIM('DATOS'!D151&amp;"")&lt;&gt;"Por confirmar",TRIM('DATOS'!D151&amp;"")&lt;&gt;"No consta",TRIM('DATOS'!D151&amp;"")&lt;&gt;"Desconocido",TRIM('DATOS'!D151&amp;"")&lt;&gt;"Sin confirmar",TRIM('DATOS'!D151&amp;"")&lt;&gt;"Por decidir",TRIM('DATOS'!D151&amp;"")&lt;&gt;"Por comprobar")),NOT(AND(LEN(TRIM('DATOS'!E151&amp;""))&gt;0,TRIM('DATOS'!E151&amp;"")&lt;&gt;"Pendiente",TRIM('DATOS'!E151&amp;"")&lt;&gt;"Por confirmar",TRIM('DATOS'!E151&amp;"")&lt;&gt;"No consta",TRIM('DATOS'!E151&amp;"")&lt;&gt;"Desconocido",TRIM('DATOS'!E151&amp;"")&lt;&gt;"Sin confirmar",TRIM('DATOS'!E151&amp;"")&lt;&gt;"Por decidir",TRIM('DATOS'!E151&amp;"")&lt;&gt;"Por comprobar")),NOT(AND(LEN(TRIM('DATOS'!F151&amp;""))&gt;0,TRIM('DATOS'!F151&amp;"")&lt;&gt;"Pendiente",TRIM('DATOS'!F151&amp;"")&lt;&gt;"Por confirmar",TRIM('DATOS'!F151&amp;"")&lt;&gt;"No consta",TRIM('DATOS'!F151&amp;"")&lt;&gt;"Desconocido",TRIM('DATOS'!F151&amp;"")&lt;&gt;"Sin confirmar",TRIM('DATOS'!F151&amp;"")&lt;&gt;"Por decidir",TRIM('DATOS'!F151&amp;"")&lt;&gt;"Por comprobar")),NOT(AND(LEN(TRIM('DATOS'!N151&amp;""))&gt;0,TRIM('DATOS'!N151&amp;"")&lt;&gt;"Pendiente",TRIM('DATOS'!N151&amp;"")&lt;&gt;"Por confirmar",TRIM('DATOS'!N151&amp;"")&lt;&gt;"No consta",TRIM('DATOS'!N151&amp;"")&lt;&gt;"Desconocido",TRIM('DATOS'!N151&amp;"")&lt;&gt;"Sin confirmar",TRIM('DATOS'!N151&amp;"")&lt;&gt;"Por decidir",TRIM('DATOS'!N151&amp;"")&lt;&gt;"Por comprobar")),NOT(Y151=1),W151&lt;&gt;1,X151&gt;1,NOT(OR(LEN(TRIM('DATOS'!K151&amp;""))=0,'DATOS'!K151="Sin valorar",'DATOS'!K151="Sin coste documentado",'DATOS'!K151="Incluido en otra partida",'DATOS'!K151="Por confirmar")),NOT(OR(LEN(TRIM('DATOS'!M151&amp;""))=0,'DATOS'!M151="Sí",'DATOS'!M151="No",'DATOS'!M151="Por confirmar")),NOT(OR(LEN(TRIM('DATOS'!O151&amp;""))=0,'DATOS'!O151="Comparamos",'DATOS'!O151="No existe",'DATOS'!O151="Por confirmar"))),2,IF(AND(OR('DATOS'!G151&lt;0,'DATOS'!H151&lt;0,'DATOS'!J151&lt;0),NOT(AND(LEN(TRIM('DATOS'!L151&amp;""))&gt;0,TRIM('DATOS'!L151&amp;"")&lt;&gt;"Pendiente",TRIM('DATOS'!L151&amp;"")&lt;&gt;"Por confirmar",TRIM('DATOS'!L151&amp;"")&lt;&gt;"No consta",TRIM('DATOS'!L151&amp;"")&lt;&gt;"Desconocido",TRIM('DATOS'!L151&amp;"")&lt;&gt;"Sin confirmar",TRIM('DATOS'!L151&amp;"")&lt;&gt;"Por decidir",TRIM('DATOS'!L151&amp;"")&lt;&gt;"Por comprobar"))),1,0))),2)</f>
      </c>
      <c r="P151" s="29">
        <f>IFERROR(IF(N151=0,"",IF(NOT(Y151=1),1,IF('REFERENCIAS'!$Q$8&lt;&gt;1,2,IF(ABS('DATOS'!J151-ROUND('DATOS'!G151*'DATOS'!H151,'REFERENCIAS'!$K$8))&gt;0.00000001,2,IF('DATOS'!O151="No existe",IF(LEN(TRIM('DATOS'!I151&amp;""))=0,0,2),IF('DATOS'!O151="Comparamos",IF(LEN(TRIM('DATOS'!I151&amp;""))=0,1,IF(ISNUMBER('DATOS'!I151),IF(ABS('DATOS'!H151-'DATOS'!I151)&gt;0.00000001,2,0),2)),1)))))),2)</f>
      </c>
      <c r="Q151" s="29">
        <f>IFERROR(IF(N151=0,"",IF(NOT(Y151=1),1,IF('DATOS'!K151="Sin valorar",2,IF('DATOS'!G151=0,1,IF(OR('DATOS'!H151=0,'DATOS'!J151=0),IF(AND(OR('DATOS'!K151="Sin coste documentado",'DATOS'!K151="Incluido en otra partida"),AND(LEN(TRIM('DATOS'!L151&amp;""))&gt;0,TRIM('DATOS'!L151&amp;"")&lt;&gt;"Pendiente",TRIM('DATOS'!L151&amp;"")&lt;&gt;"Por confirmar",TRIM('DATOS'!L151&amp;"")&lt;&gt;"No consta",TRIM('DATOS'!L151&amp;"")&lt;&gt;"Desconocido",TRIM('DATOS'!L151&amp;"")&lt;&gt;"Sin confirmar",TRIM('DATOS'!L151&amp;"")&lt;&gt;"Por decidir",TRIM('DATOS'!L151&amp;"")&lt;&gt;"Por comprobar")),0,1),0))))),2)</f>
      </c>
      <c r="R151" s="29">
        <f>IFERROR(IF(N151=0,"",IF(OR(NOT(AND(LEN(TRIM('DATOS'!D151&amp;""))&gt;0,TRIM('DATOS'!D151&amp;"")&lt;&gt;"Pendiente",TRIM('DATOS'!D151&amp;"")&lt;&gt;"Por confirmar",TRIM('DATOS'!D151&amp;"")&lt;&gt;"No consta",TRIM('DATOS'!D151&amp;"")&lt;&gt;"Desconocido",TRIM('DATOS'!D151&amp;"")&lt;&gt;"Sin confirmar",TRIM('DATOS'!D151&amp;"")&lt;&gt;"Por decidir",TRIM('DATOS'!D151&amp;"")&lt;&gt;"Por comprobar")),NOT(AND(LEN(TRIM('DATOS'!E151&amp;""))&gt;0,TRIM('DATOS'!E151&amp;"")&lt;&gt;"Pendiente",TRIM('DATOS'!E151&amp;"")&lt;&gt;"Por confirmar",TRIM('DATOS'!E151&amp;"")&lt;&gt;"No consta",TRIM('DATOS'!E151&amp;"")&lt;&gt;"Desconocido",TRIM('DATOS'!E151&amp;"")&lt;&gt;"Sin confirmar",TRIM('DATOS'!E151&amp;"")&lt;&gt;"Por decidir",TRIM('DATOS'!E151&amp;"")&lt;&gt;"Por comprobar"))),2,IF('DATOS'!M151="No",2,IF('DATOS'!M151="Sí",0,IF(OR('DATOS'!D151&lt;&gt;'DATOS'!E151,LEN('DATOS'!E151)&gt;300,RIGHT(TRIM('DATOS'!E151),3)="...",RIGHT(TRIM('DATOS'!E151),1)="…"),1,0))))),2)</f>
      </c>
      <c r="S151" s="29">
        <f>IFERROR(IF(N151=0,"",IF('REFERENCIAS'!$Q$8&lt;&gt;1,2,IF(NOT(Y151=1),1,IF(OR(ABS('DATOS'!G151-ROUND('DATOS'!G151,'REFERENCIAS'!$E$8))&gt;0.00000001,ABS('DATOS'!H151-ROUND('DATOS'!H151,'REFERENCIAS'!$H$8))&gt;0.00000001,ABS('DATOS'!J151-ROUND('DATOS'!J151,'REFERENCIAS'!$K$8))&gt;0.00000001,IF(ISNUMBER('DATOS'!I151),ABS('DATOS'!I151-ROUND('DATOS'!I151,'REFERENCIAS'!$H$8))&gt;0.00000001,FALSE)),1,0)))),2)</f>
      </c>
      <c r="T151" s="29">
        <f>IFERROR(IF(N151=0,"",IF(NOT(AND(LEN(TRIM('DATOS'!F151&amp;""))&gt;0,TRIM('DATOS'!F151&amp;"")&lt;&gt;"Pendiente",TRIM('DATOS'!F151&amp;"")&lt;&gt;"Por confirmar",TRIM('DATOS'!F151&amp;"")&lt;&gt;"No consta",TRIM('DATOS'!F151&amp;"")&lt;&gt;"Desconocido",TRIM('DATOS'!F151&amp;"")&lt;&gt;"Sin confirmar",TRIM('DATOS'!F151&amp;"")&lt;&gt;"Por decidir",TRIM('DATOS'!F151&amp;"")&lt;&gt;"Por comprobar")),2,IF(COUNTIFS('REFERENCIAS'!$T$15:$T$34,"ID:"&amp;SUBSTITUTE(SUBSTITUTE(SUBSTITUTE(SUBSTITUTE(UPPER(TRIM('DATOS'!F151&amp;"")),"!","!E"),"*","!A"),"?","!B"),"~","!C"),'REFERENCIAS'!$H$15:$H$34,"&lt;&gt;")&gt;0,0,1))),2)</f>
      </c>
      <c r="U151" s="29" t="str">
        <f>'DATOS'!R151</f>
        <v>ID:</v>
      </c>
      <c r="V151" s="29" t="str">
        <f>'DATOS'!S151</f>
        <v>ID:</v>
      </c>
      <c r="W151" s="29" t="n">
        <f>IF(N151=0,0,COUNTIFS('REFERENCIAS'!$R$15:$R$64,U151))</f>
        <v>0</v>
      </c>
      <c r="X151" s="29" t="n">
        <f>IF(N151=0,0,COUNTIFS('DATOS'!$R$10:$R$509,U151,'DATOS'!$S$10:$S$509,V151))</f>
        <v>0</v>
      </c>
      <c r="Y151" s="29" t="n">
        <f>IF(AND(ISNUMBER('DATOS'!G151),ISNUMBER('DATOS'!H151),ISNUMBER('DATOS'!J151)),1,0)</f>
        <v>0</v>
      </c>
    </row>
    <row r="152" ht="64" customHeight="1">
      <c r="B152" s="26">
        <f>IF(N152=1,143,"")</f>
      </c>
      <c r="C152" s="26">
        <f>IF(AND(N152=1,LEN(TRIM('DATOS'!B152&amp;""))&gt;0),'DATOS'!B152,"")</f>
      </c>
      <c r="D152" s="26">
        <f>IF(AND(N152=1,LEN(TRIM('DATOS'!C152&amp;""))&gt;0),'DATOS'!C152,"")</f>
      </c>
      <c r="E152" s="26">
        <f>IF(NOT(ISNUMBER(P152)),"",IF(P152=2,"ROJO",IF(P152=1,"ÁMBAR","VERDE")))</f>
      </c>
      <c r="F152" s="26">
        <f>IF(NOT(ISNUMBER(Q152)),"",IF(Q152=2,"ROJO",IF(Q152=1,"ÁMBAR","VERDE")))</f>
      </c>
      <c r="G152" s="26">
        <f>IF(NOT(ISNUMBER(R152)),"",IF(R152=2,"ROJO",IF(R152=1,"ÁMBAR","VERDE")))</f>
      </c>
      <c r="H152" s="26">
        <f>IF(NOT(ISNUMBER(S152)),"",IF(S152=2,"ROJO",IF(S152=1,"ÁMBAR","VERDE")))</f>
      </c>
      <c r="I152" s="26">
        <f>IF(NOT(ISNUMBER(T152)),"",IF(T152=2,"ROJO",IF(T152=1,"ÁMBAR","VERDE")))</f>
      </c>
      <c r="J152" s="26">
        <f>IF(NOT(ISNUMBER(O152)),"",IF(O152=2,"ROJO",IF(O152=1,"ÁMBAR","VERDE")))</f>
      </c>
      <c r="K152" s="26">
        <f>IFERROR(IF(AND(N152=1,LEN(TRIM('DATOS'!N152&amp;""))&gt;0),'DATOS'!N152,""),"Hay una entrada con error. Corregimos el dato antes de cerrar la comprobación.")</f>
      </c>
      <c r="L152" s="26">
        <f>IFERROR(IF(N152=0,"",IF(O152&gt;0,"Completamos datos, claves o motivo. ","")&amp;IF(P152&gt;0,"Cotejamos precios e importe. ","")&amp;IF(Q152&gt;0,"Aclaramos el cero. ","")&amp;IF(R152&gt;0,"Comprobamos el texto. ","")&amp;IF(S152&gt;0,"Revisamos decimales visibles. ","")&amp;IF(T152&gt;0,"Confirmamos la unidad.","")),"Hay una entrada con error. Corregimos el dato antes de cerrar la comprobación.")</f>
      </c>
      <c r="N152" s="29" t="n">
        <f>IF(COUNTA('DATOS'!B152:O152)&gt;0,1,0)</f>
        <v>0</v>
      </c>
      <c r="O152" s="29">
        <f>IFERROR(IF(N152=0,"",IF(OR(NOT(AND(LEN(TRIM('DATOS'!B152&amp;""))&gt;0,TRIM('DATOS'!B152&amp;"")&lt;&gt;"Pendiente",TRIM('DATOS'!B152&amp;"")&lt;&gt;"Por confirmar",TRIM('DATOS'!B152&amp;"")&lt;&gt;"No consta",TRIM('DATOS'!B152&amp;"")&lt;&gt;"Desconocido",TRIM('DATOS'!B152&amp;"")&lt;&gt;"Sin confirmar",TRIM('DATOS'!B152&amp;"")&lt;&gt;"Por decidir",TRIM('DATOS'!B152&amp;"")&lt;&gt;"Por comprobar")),NOT(AND(LEN(TRIM('DATOS'!C152&amp;""))&gt;0,TRIM('DATOS'!C152&amp;"")&lt;&gt;"Pendiente",TRIM('DATOS'!C152&amp;"")&lt;&gt;"Por confirmar",TRIM('DATOS'!C152&amp;"")&lt;&gt;"No consta",TRIM('DATOS'!C152&amp;"")&lt;&gt;"Desconocido",TRIM('DATOS'!C152&amp;"")&lt;&gt;"Sin confirmar",TRIM('DATOS'!C152&amp;"")&lt;&gt;"Por decidir",TRIM('DATOS'!C152&amp;"")&lt;&gt;"Por comprobar")),NOT(AND(LEN(TRIM('DATOS'!D152&amp;""))&gt;0,TRIM('DATOS'!D152&amp;"")&lt;&gt;"Pendiente",TRIM('DATOS'!D152&amp;"")&lt;&gt;"Por confirmar",TRIM('DATOS'!D152&amp;"")&lt;&gt;"No consta",TRIM('DATOS'!D152&amp;"")&lt;&gt;"Desconocido",TRIM('DATOS'!D152&amp;"")&lt;&gt;"Sin confirmar",TRIM('DATOS'!D152&amp;"")&lt;&gt;"Por decidir",TRIM('DATOS'!D152&amp;"")&lt;&gt;"Por comprobar")),NOT(AND(LEN(TRIM('DATOS'!E152&amp;""))&gt;0,TRIM('DATOS'!E152&amp;"")&lt;&gt;"Pendiente",TRIM('DATOS'!E152&amp;"")&lt;&gt;"Por confirmar",TRIM('DATOS'!E152&amp;"")&lt;&gt;"No consta",TRIM('DATOS'!E152&amp;"")&lt;&gt;"Desconocido",TRIM('DATOS'!E152&amp;"")&lt;&gt;"Sin confirmar",TRIM('DATOS'!E152&amp;"")&lt;&gt;"Por decidir",TRIM('DATOS'!E152&amp;"")&lt;&gt;"Por comprobar")),NOT(AND(LEN(TRIM('DATOS'!F152&amp;""))&gt;0,TRIM('DATOS'!F152&amp;"")&lt;&gt;"Pendiente",TRIM('DATOS'!F152&amp;"")&lt;&gt;"Por confirmar",TRIM('DATOS'!F152&amp;"")&lt;&gt;"No consta",TRIM('DATOS'!F152&amp;"")&lt;&gt;"Desconocido",TRIM('DATOS'!F152&amp;"")&lt;&gt;"Sin confirmar",TRIM('DATOS'!F152&amp;"")&lt;&gt;"Por decidir",TRIM('DATOS'!F152&amp;"")&lt;&gt;"Por comprobar")),NOT(AND(LEN(TRIM('DATOS'!N152&amp;""))&gt;0,TRIM('DATOS'!N152&amp;"")&lt;&gt;"Pendiente",TRIM('DATOS'!N152&amp;"")&lt;&gt;"Por confirmar",TRIM('DATOS'!N152&amp;"")&lt;&gt;"No consta",TRIM('DATOS'!N152&amp;"")&lt;&gt;"Desconocido",TRIM('DATOS'!N152&amp;"")&lt;&gt;"Sin confirmar",TRIM('DATOS'!N152&amp;"")&lt;&gt;"Por decidir",TRIM('DATOS'!N152&amp;"")&lt;&gt;"Por comprobar")),NOT(Y152=1),W152&lt;&gt;1,X152&gt;1,NOT(OR(LEN(TRIM('DATOS'!K152&amp;""))=0,'DATOS'!K152="Sin valorar",'DATOS'!K152="Sin coste documentado",'DATOS'!K152="Incluido en otra partida",'DATOS'!K152="Por confirmar")),NOT(OR(LEN(TRIM('DATOS'!M152&amp;""))=0,'DATOS'!M152="Sí",'DATOS'!M152="No",'DATOS'!M152="Por confirmar")),NOT(OR(LEN(TRIM('DATOS'!O152&amp;""))=0,'DATOS'!O152="Comparamos",'DATOS'!O152="No existe",'DATOS'!O152="Por confirmar"))),2,IF(AND(OR('DATOS'!G152&lt;0,'DATOS'!H152&lt;0,'DATOS'!J152&lt;0),NOT(AND(LEN(TRIM('DATOS'!L152&amp;""))&gt;0,TRIM('DATOS'!L152&amp;"")&lt;&gt;"Pendiente",TRIM('DATOS'!L152&amp;"")&lt;&gt;"Por confirmar",TRIM('DATOS'!L152&amp;"")&lt;&gt;"No consta",TRIM('DATOS'!L152&amp;"")&lt;&gt;"Desconocido",TRIM('DATOS'!L152&amp;"")&lt;&gt;"Sin confirmar",TRIM('DATOS'!L152&amp;"")&lt;&gt;"Por decidir",TRIM('DATOS'!L152&amp;"")&lt;&gt;"Por comprobar"))),1,0))),2)</f>
      </c>
      <c r="P152" s="29">
        <f>IFERROR(IF(N152=0,"",IF(NOT(Y152=1),1,IF('REFERENCIAS'!$Q$8&lt;&gt;1,2,IF(ABS('DATOS'!J152-ROUND('DATOS'!G152*'DATOS'!H152,'REFERENCIAS'!$K$8))&gt;0.00000001,2,IF('DATOS'!O152="No existe",IF(LEN(TRIM('DATOS'!I152&amp;""))=0,0,2),IF('DATOS'!O152="Comparamos",IF(LEN(TRIM('DATOS'!I152&amp;""))=0,1,IF(ISNUMBER('DATOS'!I152),IF(ABS('DATOS'!H152-'DATOS'!I152)&gt;0.00000001,2,0),2)),1)))))),2)</f>
      </c>
      <c r="Q152" s="29">
        <f>IFERROR(IF(N152=0,"",IF(NOT(Y152=1),1,IF('DATOS'!K152="Sin valorar",2,IF('DATOS'!G152=0,1,IF(OR('DATOS'!H152=0,'DATOS'!J152=0),IF(AND(OR('DATOS'!K152="Sin coste documentado",'DATOS'!K152="Incluido en otra partida"),AND(LEN(TRIM('DATOS'!L152&amp;""))&gt;0,TRIM('DATOS'!L152&amp;"")&lt;&gt;"Pendiente",TRIM('DATOS'!L152&amp;"")&lt;&gt;"Por confirmar",TRIM('DATOS'!L152&amp;"")&lt;&gt;"No consta",TRIM('DATOS'!L152&amp;"")&lt;&gt;"Desconocido",TRIM('DATOS'!L152&amp;"")&lt;&gt;"Sin confirmar",TRIM('DATOS'!L152&amp;"")&lt;&gt;"Por decidir",TRIM('DATOS'!L152&amp;"")&lt;&gt;"Por comprobar")),0,1),0))))),2)</f>
      </c>
      <c r="R152" s="29">
        <f>IFERROR(IF(N152=0,"",IF(OR(NOT(AND(LEN(TRIM('DATOS'!D152&amp;""))&gt;0,TRIM('DATOS'!D152&amp;"")&lt;&gt;"Pendiente",TRIM('DATOS'!D152&amp;"")&lt;&gt;"Por confirmar",TRIM('DATOS'!D152&amp;"")&lt;&gt;"No consta",TRIM('DATOS'!D152&amp;"")&lt;&gt;"Desconocido",TRIM('DATOS'!D152&amp;"")&lt;&gt;"Sin confirmar",TRIM('DATOS'!D152&amp;"")&lt;&gt;"Por decidir",TRIM('DATOS'!D152&amp;"")&lt;&gt;"Por comprobar")),NOT(AND(LEN(TRIM('DATOS'!E152&amp;""))&gt;0,TRIM('DATOS'!E152&amp;"")&lt;&gt;"Pendiente",TRIM('DATOS'!E152&amp;"")&lt;&gt;"Por confirmar",TRIM('DATOS'!E152&amp;"")&lt;&gt;"No consta",TRIM('DATOS'!E152&amp;"")&lt;&gt;"Desconocido",TRIM('DATOS'!E152&amp;"")&lt;&gt;"Sin confirmar",TRIM('DATOS'!E152&amp;"")&lt;&gt;"Por decidir",TRIM('DATOS'!E152&amp;"")&lt;&gt;"Por comprobar"))),2,IF('DATOS'!M152="No",2,IF('DATOS'!M152="Sí",0,IF(OR('DATOS'!D152&lt;&gt;'DATOS'!E152,LEN('DATOS'!E152)&gt;300,RIGHT(TRIM('DATOS'!E152),3)="...",RIGHT(TRIM('DATOS'!E152),1)="…"),1,0))))),2)</f>
      </c>
      <c r="S152" s="29">
        <f>IFERROR(IF(N152=0,"",IF('REFERENCIAS'!$Q$8&lt;&gt;1,2,IF(NOT(Y152=1),1,IF(OR(ABS('DATOS'!G152-ROUND('DATOS'!G152,'REFERENCIAS'!$E$8))&gt;0.00000001,ABS('DATOS'!H152-ROUND('DATOS'!H152,'REFERENCIAS'!$H$8))&gt;0.00000001,ABS('DATOS'!J152-ROUND('DATOS'!J152,'REFERENCIAS'!$K$8))&gt;0.00000001,IF(ISNUMBER('DATOS'!I152),ABS('DATOS'!I152-ROUND('DATOS'!I152,'REFERENCIAS'!$H$8))&gt;0.00000001,FALSE)),1,0)))),2)</f>
      </c>
      <c r="T152" s="29">
        <f>IFERROR(IF(N152=0,"",IF(NOT(AND(LEN(TRIM('DATOS'!F152&amp;""))&gt;0,TRIM('DATOS'!F152&amp;"")&lt;&gt;"Pendiente",TRIM('DATOS'!F152&amp;"")&lt;&gt;"Por confirmar",TRIM('DATOS'!F152&amp;"")&lt;&gt;"No consta",TRIM('DATOS'!F152&amp;"")&lt;&gt;"Desconocido",TRIM('DATOS'!F152&amp;"")&lt;&gt;"Sin confirmar",TRIM('DATOS'!F152&amp;"")&lt;&gt;"Por decidir",TRIM('DATOS'!F152&amp;"")&lt;&gt;"Por comprobar")),2,IF(COUNTIFS('REFERENCIAS'!$T$15:$T$34,"ID:"&amp;SUBSTITUTE(SUBSTITUTE(SUBSTITUTE(SUBSTITUTE(UPPER(TRIM('DATOS'!F152&amp;"")),"!","!E"),"*","!A"),"?","!B"),"~","!C"),'REFERENCIAS'!$H$15:$H$34,"&lt;&gt;")&gt;0,0,1))),2)</f>
      </c>
      <c r="U152" s="29" t="str">
        <f>'DATOS'!R152</f>
        <v>ID:</v>
      </c>
      <c r="V152" s="29" t="str">
        <f>'DATOS'!S152</f>
        <v>ID:</v>
      </c>
      <c r="W152" s="29" t="n">
        <f>IF(N152=0,0,COUNTIFS('REFERENCIAS'!$R$15:$R$64,U152))</f>
        <v>0</v>
      </c>
      <c r="X152" s="29" t="n">
        <f>IF(N152=0,0,COUNTIFS('DATOS'!$R$10:$R$509,U152,'DATOS'!$S$10:$S$509,V152))</f>
        <v>0</v>
      </c>
      <c r="Y152" s="29" t="n">
        <f>IF(AND(ISNUMBER('DATOS'!G152),ISNUMBER('DATOS'!H152),ISNUMBER('DATOS'!J152)),1,0)</f>
        <v>0</v>
      </c>
    </row>
    <row r="153" ht="64" customHeight="1">
      <c r="B153" s="26">
        <f>IF(N153=1,144,"")</f>
      </c>
      <c r="C153" s="26">
        <f>IF(AND(N153=1,LEN(TRIM('DATOS'!B153&amp;""))&gt;0),'DATOS'!B153,"")</f>
      </c>
      <c r="D153" s="26">
        <f>IF(AND(N153=1,LEN(TRIM('DATOS'!C153&amp;""))&gt;0),'DATOS'!C153,"")</f>
      </c>
      <c r="E153" s="26">
        <f>IF(NOT(ISNUMBER(P153)),"",IF(P153=2,"ROJO",IF(P153=1,"ÁMBAR","VERDE")))</f>
      </c>
      <c r="F153" s="26">
        <f>IF(NOT(ISNUMBER(Q153)),"",IF(Q153=2,"ROJO",IF(Q153=1,"ÁMBAR","VERDE")))</f>
      </c>
      <c r="G153" s="26">
        <f>IF(NOT(ISNUMBER(R153)),"",IF(R153=2,"ROJO",IF(R153=1,"ÁMBAR","VERDE")))</f>
      </c>
      <c r="H153" s="26">
        <f>IF(NOT(ISNUMBER(S153)),"",IF(S153=2,"ROJO",IF(S153=1,"ÁMBAR","VERDE")))</f>
      </c>
      <c r="I153" s="26">
        <f>IF(NOT(ISNUMBER(T153)),"",IF(T153=2,"ROJO",IF(T153=1,"ÁMBAR","VERDE")))</f>
      </c>
      <c r="J153" s="26">
        <f>IF(NOT(ISNUMBER(O153)),"",IF(O153=2,"ROJO",IF(O153=1,"ÁMBAR","VERDE")))</f>
      </c>
      <c r="K153" s="26">
        <f>IFERROR(IF(AND(N153=1,LEN(TRIM('DATOS'!N153&amp;""))&gt;0),'DATOS'!N153,""),"Hay una entrada con error. Corregimos el dato antes de cerrar la comprobación.")</f>
      </c>
      <c r="L153" s="26">
        <f>IFERROR(IF(N153=0,"",IF(O153&gt;0,"Completamos datos, claves o motivo. ","")&amp;IF(P153&gt;0,"Cotejamos precios e importe. ","")&amp;IF(Q153&gt;0,"Aclaramos el cero. ","")&amp;IF(R153&gt;0,"Comprobamos el texto. ","")&amp;IF(S153&gt;0,"Revisamos decimales visibles. ","")&amp;IF(T153&gt;0,"Confirmamos la unidad.","")),"Hay una entrada con error. Corregimos el dato antes de cerrar la comprobación.")</f>
      </c>
      <c r="N153" s="29" t="n">
        <f>IF(COUNTA('DATOS'!B153:O153)&gt;0,1,0)</f>
        <v>0</v>
      </c>
      <c r="O153" s="29">
        <f>IFERROR(IF(N153=0,"",IF(OR(NOT(AND(LEN(TRIM('DATOS'!B153&amp;""))&gt;0,TRIM('DATOS'!B153&amp;"")&lt;&gt;"Pendiente",TRIM('DATOS'!B153&amp;"")&lt;&gt;"Por confirmar",TRIM('DATOS'!B153&amp;"")&lt;&gt;"No consta",TRIM('DATOS'!B153&amp;"")&lt;&gt;"Desconocido",TRIM('DATOS'!B153&amp;"")&lt;&gt;"Sin confirmar",TRIM('DATOS'!B153&amp;"")&lt;&gt;"Por decidir",TRIM('DATOS'!B153&amp;"")&lt;&gt;"Por comprobar")),NOT(AND(LEN(TRIM('DATOS'!C153&amp;""))&gt;0,TRIM('DATOS'!C153&amp;"")&lt;&gt;"Pendiente",TRIM('DATOS'!C153&amp;"")&lt;&gt;"Por confirmar",TRIM('DATOS'!C153&amp;"")&lt;&gt;"No consta",TRIM('DATOS'!C153&amp;"")&lt;&gt;"Desconocido",TRIM('DATOS'!C153&amp;"")&lt;&gt;"Sin confirmar",TRIM('DATOS'!C153&amp;"")&lt;&gt;"Por decidir",TRIM('DATOS'!C153&amp;"")&lt;&gt;"Por comprobar")),NOT(AND(LEN(TRIM('DATOS'!D153&amp;""))&gt;0,TRIM('DATOS'!D153&amp;"")&lt;&gt;"Pendiente",TRIM('DATOS'!D153&amp;"")&lt;&gt;"Por confirmar",TRIM('DATOS'!D153&amp;"")&lt;&gt;"No consta",TRIM('DATOS'!D153&amp;"")&lt;&gt;"Desconocido",TRIM('DATOS'!D153&amp;"")&lt;&gt;"Sin confirmar",TRIM('DATOS'!D153&amp;"")&lt;&gt;"Por decidir",TRIM('DATOS'!D153&amp;"")&lt;&gt;"Por comprobar")),NOT(AND(LEN(TRIM('DATOS'!E153&amp;""))&gt;0,TRIM('DATOS'!E153&amp;"")&lt;&gt;"Pendiente",TRIM('DATOS'!E153&amp;"")&lt;&gt;"Por confirmar",TRIM('DATOS'!E153&amp;"")&lt;&gt;"No consta",TRIM('DATOS'!E153&amp;"")&lt;&gt;"Desconocido",TRIM('DATOS'!E153&amp;"")&lt;&gt;"Sin confirmar",TRIM('DATOS'!E153&amp;"")&lt;&gt;"Por decidir",TRIM('DATOS'!E153&amp;"")&lt;&gt;"Por comprobar")),NOT(AND(LEN(TRIM('DATOS'!F153&amp;""))&gt;0,TRIM('DATOS'!F153&amp;"")&lt;&gt;"Pendiente",TRIM('DATOS'!F153&amp;"")&lt;&gt;"Por confirmar",TRIM('DATOS'!F153&amp;"")&lt;&gt;"No consta",TRIM('DATOS'!F153&amp;"")&lt;&gt;"Desconocido",TRIM('DATOS'!F153&amp;"")&lt;&gt;"Sin confirmar",TRIM('DATOS'!F153&amp;"")&lt;&gt;"Por decidir",TRIM('DATOS'!F153&amp;"")&lt;&gt;"Por comprobar")),NOT(AND(LEN(TRIM('DATOS'!N153&amp;""))&gt;0,TRIM('DATOS'!N153&amp;"")&lt;&gt;"Pendiente",TRIM('DATOS'!N153&amp;"")&lt;&gt;"Por confirmar",TRIM('DATOS'!N153&amp;"")&lt;&gt;"No consta",TRIM('DATOS'!N153&amp;"")&lt;&gt;"Desconocido",TRIM('DATOS'!N153&amp;"")&lt;&gt;"Sin confirmar",TRIM('DATOS'!N153&amp;"")&lt;&gt;"Por decidir",TRIM('DATOS'!N153&amp;"")&lt;&gt;"Por comprobar")),NOT(Y153=1),W153&lt;&gt;1,X153&gt;1,NOT(OR(LEN(TRIM('DATOS'!K153&amp;""))=0,'DATOS'!K153="Sin valorar",'DATOS'!K153="Sin coste documentado",'DATOS'!K153="Incluido en otra partida",'DATOS'!K153="Por confirmar")),NOT(OR(LEN(TRIM('DATOS'!M153&amp;""))=0,'DATOS'!M153="Sí",'DATOS'!M153="No",'DATOS'!M153="Por confirmar")),NOT(OR(LEN(TRIM('DATOS'!O153&amp;""))=0,'DATOS'!O153="Comparamos",'DATOS'!O153="No existe",'DATOS'!O153="Por confirmar"))),2,IF(AND(OR('DATOS'!G153&lt;0,'DATOS'!H153&lt;0,'DATOS'!J153&lt;0),NOT(AND(LEN(TRIM('DATOS'!L153&amp;""))&gt;0,TRIM('DATOS'!L153&amp;"")&lt;&gt;"Pendiente",TRIM('DATOS'!L153&amp;"")&lt;&gt;"Por confirmar",TRIM('DATOS'!L153&amp;"")&lt;&gt;"No consta",TRIM('DATOS'!L153&amp;"")&lt;&gt;"Desconocido",TRIM('DATOS'!L153&amp;"")&lt;&gt;"Sin confirmar",TRIM('DATOS'!L153&amp;"")&lt;&gt;"Por decidir",TRIM('DATOS'!L153&amp;"")&lt;&gt;"Por comprobar"))),1,0))),2)</f>
      </c>
      <c r="P153" s="29">
        <f>IFERROR(IF(N153=0,"",IF(NOT(Y153=1),1,IF('REFERENCIAS'!$Q$8&lt;&gt;1,2,IF(ABS('DATOS'!J153-ROUND('DATOS'!G153*'DATOS'!H153,'REFERENCIAS'!$K$8))&gt;0.00000001,2,IF('DATOS'!O153="No existe",IF(LEN(TRIM('DATOS'!I153&amp;""))=0,0,2),IF('DATOS'!O153="Comparamos",IF(LEN(TRIM('DATOS'!I153&amp;""))=0,1,IF(ISNUMBER('DATOS'!I153),IF(ABS('DATOS'!H153-'DATOS'!I153)&gt;0.00000001,2,0),2)),1)))))),2)</f>
      </c>
      <c r="Q153" s="29">
        <f>IFERROR(IF(N153=0,"",IF(NOT(Y153=1),1,IF('DATOS'!K153="Sin valorar",2,IF('DATOS'!G153=0,1,IF(OR('DATOS'!H153=0,'DATOS'!J153=0),IF(AND(OR('DATOS'!K153="Sin coste documentado",'DATOS'!K153="Incluido en otra partida"),AND(LEN(TRIM('DATOS'!L153&amp;""))&gt;0,TRIM('DATOS'!L153&amp;"")&lt;&gt;"Pendiente",TRIM('DATOS'!L153&amp;"")&lt;&gt;"Por confirmar",TRIM('DATOS'!L153&amp;"")&lt;&gt;"No consta",TRIM('DATOS'!L153&amp;"")&lt;&gt;"Desconocido",TRIM('DATOS'!L153&amp;"")&lt;&gt;"Sin confirmar",TRIM('DATOS'!L153&amp;"")&lt;&gt;"Por decidir",TRIM('DATOS'!L153&amp;"")&lt;&gt;"Por comprobar")),0,1),0))))),2)</f>
      </c>
      <c r="R153" s="29">
        <f>IFERROR(IF(N153=0,"",IF(OR(NOT(AND(LEN(TRIM('DATOS'!D153&amp;""))&gt;0,TRIM('DATOS'!D153&amp;"")&lt;&gt;"Pendiente",TRIM('DATOS'!D153&amp;"")&lt;&gt;"Por confirmar",TRIM('DATOS'!D153&amp;"")&lt;&gt;"No consta",TRIM('DATOS'!D153&amp;"")&lt;&gt;"Desconocido",TRIM('DATOS'!D153&amp;"")&lt;&gt;"Sin confirmar",TRIM('DATOS'!D153&amp;"")&lt;&gt;"Por decidir",TRIM('DATOS'!D153&amp;"")&lt;&gt;"Por comprobar")),NOT(AND(LEN(TRIM('DATOS'!E153&amp;""))&gt;0,TRIM('DATOS'!E153&amp;"")&lt;&gt;"Pendiente",TRIM('DATOS'!E153&amp;"")&lt;&gt;"Por confirmar",TRIM('DATOS'!E153&amp;"")&lt;&gt;"No consta",TRIM('DATOS'!E153&amp;"")&lt;&gt;"Desconocido",TRIM('DATOS'!E153&amp;"")&lt;&gt;"Sin confirmar",TRIM('DATOS'!E153&amp;"")&lt;&gt;"Por decidir",TRIM('DATOS'!E153&amp;"")&lt;&gt;"Por comprobar"))),2,IF('DATOS'!M153="No",2,IF('DATOS'!M153="Sí",0,IF(OR('DATOS'!D153&lt;&gt;'DATOS'!E153,LEN('DATOS'!E153)&gt;300,RIGHT(TRIM('DATOS'!E153),3)="...",RIGHT(TRIM('DATOS'!E153),1)="…"),1,0))))),2)</f>
      </c>
      <c r="S153" s="29">
        <f>IFERROR(IF(N153=0,"",IF('REFERENCIAS'!$Q$8&lt;&gt;1,2,IF(NOT(Y153=1),1,IF(OR(ABS('DATOS'!G153-ROUND('DATOS'!G153,'REFERENCIAS'!$E$8))&gt;0.00000001,ABS('DATOS'!H153-ROUND('DATOS'!H153,'REFERENCIAS'!$H$8))&gt;0.00000001,ABS('DATOS'!J153-ROUND('DATOS'!J153,'REFERENCIAS'!$K$8))&gt;0.00000001,IF(ISNUMBER('DATOS'!I153),ABS('DATOS'!I153-ROUND('DATOS'!I153,'REFERENCIAS'!$H$8))&gt;0.00000001,FALSE)),1,0)))),2)</f>
      </c>
      <c r="T153" s="29">
        <f>IFERROR(IF(N153=0,"",IF(NOT(AND(LEN(TRIM('DATOS'!F153&amp;""))&gt;0,TRIM('DATOS'!F153&amp;"")&lt;&gt;"Pendiente",TRIM('DATOS'!F153&amp;"")&lt;&gt;"Por confirmar",TRIM('DATOS'!F153&amp;"")&lt;&gt;"No consta",TRIM('DATOS'!F153&amp;"")&lt;&gt;"Desconocido",TRIM('DATOS'!F153&amp;"")&lt;&gt;"Sin confirmar",TRIM('DATOS'!F153&amp;"")&lt;&gt;"Por decidir",TRIM('DATOS'!F153&amp;"")&lt;&gt;"Por comprobar")),2,IF(COUNTIFS('REFERENCIAS'!$T$15:$T$34,"ID:"&amp;SUBSTITUTE(SUBSTITUTE(SUBSTITUTE(SUBSTITUTE(UPPER(TRIM('DATOS'!F153&amp;"")),"!","!E"),"*","!A"),"?","!B"),"~","!C"),'REFERENCIAS'!$H$15:$H$34,"&lt;&gt;")&gt;0,0,1))),2)</f>
      </c>
      <c r="U153" s="29" t="str">
        <f>'DATOS'!R153</f>
        <v>ID:</v>
      </c>
      <c r="V153" s="29" t="str">
        <f>'DATOS'!S153</f>
        <v>ID:</v>
      </c>
      <c r="W153" s="29" t="n">
        <f>IF(N153=0,0,COUNTIFS('REFERENCIAS'!$R$15:$R$64,U153))</f>
        <v>0</v>
      </c>
      <c r="X153" s="29" t="n">
        <f>IF(N153=0,0,COUNTIFS('DATOS'!$R$10:$R$509,U153,'DATOS'!$S$10:$S$509,V153))</f>
        <v>0</v>
      </c>
      <c r="Y153" s="29" t="n">
        <f>IF(AND(ISNUMBER('DATOS'!G153),ISNUMBER('DATOS'!H153),ISNUMBER('DATOS'!J153)),1,0)</f>
        <v>0</v>
      </c>
    </row>
    <row r="154" ht="64" customHeight="1">
      <c r="B154" s="26">
        <f>IF(N154=1,145,"")</f>
      </c>
      <c r="C154" s="26">
        <f>IF(AND(N154=1,LEN(TRIM('DATOS'!B154&amp;""))&gt;0),'DATOS'!B154,"")</f>
      </c>
      <c r="D154" s="26">
        <f>IF(AND(N154=1,LEN(TRIM('DATOS'!C154&amp;""))&gt;0),'DATOS'!C154,"")</f>
      </c>
      <c r="E154" s="26">
        <f>IF(NOT(ISNUMBER(P154)),"",IF(P154=2,"ROJO",IF(P154=1,"ÁMBAR","VERDE")))</f>
      </c>
      <c r="F154" s="26">
        <f>IF(NOT(ISNUMBER(Q154)),"",IF(Q154=2,"ROJO",IF(Q154=1,"ÁMBAR","VERDE")))</f>
      </c>
      <c r="G154" s="26">
        <f>IF(NOT(ISNUMBER(R154)),"",IF(R154=2,"ROJO",IF(R154=1,"ÁMBAR","VERDE")))</f>
      </c>
      <c r="H154" s="26">
        <f>IF(NOT(ISNUMBER(S154)),"",IF(S154=2,"ROJO",IF(S154=1,"ÁMBAR","VERDE")))</f>
      </c>
      <c r="I154" s="26">
        <f>IF(NOT(ISNUMBER(T154)),"",IF(T154=2,"ROJO",IF(T154=1,"ÁMBAR","VERDE")))</f>
      </c>
      <c r="J154" s="26">
        <f>IF(NOT(ISNUMBER(O154)),"",IF(O154=2,"ROJO",IF(O154=1,"ÁMBAR","VERDE")))</f>
      </c>
      <c r="K154" s="26">
        <f>IFERROR(IF(AND(N154=1,LEN(TRIM('DATOS'!N154&amp;""))&gt;0),'DATOS'!N154,""),"Hay una entrada con error. Corregimos el dato antes de cerrar la comprobación.")</f>
      </c>
      <c r="L154" s="26">
        <f>IFERROR(IF(N154=0,"",IF(O154&gt;0,"Completamos datos, claves o motivo. ","")&amp;IF(P154&gt;0,"Cotejamos precios e importe. ","")&amp;IF(Q154&gt;0,"Aclaramos el cero. ","")&amp;IF(R154&gt;0,"Comprobamos el texto. ","")&amp;IF(S154&gt;0,"Revisamos decimales visibles. ","")&amp;IF(T154&gt;0,"Confirmamos la unidad.","")),"Hay una entrada con error. Corregimos el dato antes de cerrar la comprobación.")</f>
      </c>
      <c r="N154" s="29" t="n">
        <f>IF(COUNTA('DATOS'!B154:O154)&gt;0,1,0)</f>
        <v>0</v>
      </c>
      <c r="O154" s="29">
        <f>IFERROR(IF(N154=0,"",IF(OR(NOT(AND(LEN(TRIM('DATOS'!B154&amp;""))&gt;0,TRIM('DATOS'!B154&amp;"")&lt;&gt;"Pendiente",TRIM('DATOS'!B154&amp;"")&lt;&gt;"Por confirmar",TRIM('DATOS'!B154&amp;"")&lt;&gt;"No consta",TRIM('DATOS'!B154&amp;"")&lt;&gt;"Desconocido",TRIM('DATOS'!B154&amp;"")&lt;&gt;"Sin confirmar",TRIM('DATOS'!B154&amp;"")&lt;&gt;"Por decidir",TRIM('DATOS'!B154&amp;"")&lt;&gt;"Por comprobar")),NOT(AND(LEN(TRIM('DATOS'!C154&amp;""))&gt;0,TRIM('DATOS'!C154&amp;"")&lt;&gt;"Pendiente",TRIM('DATOS'!C154&amp;"")&lt;&gt;"Por confirmar",TRIM('DATOS'!C154&amp;"")&lt;&gt;"No consta",TRIM('DATOS'!C154&amp;"")&lt;&gt;"Desconocido",TRIM('DATOS'!C154&amp;"")&lt;&gt;"Sin confirmar",TRIM('DATOS'!C154&amp;"")&lt;&gt;"Por decidir",TRIM('DATOS'!C154&amp;"")&lt;&gt;"Por comprobar")),NOT(AND(LEN(TRIM('DATOS'!D154&amp;""))&gt;0,TRIM('DATOS'!D154&amp;"")&lt;&gt;"Pendiente",TRIM('DATOS'!D154&amp;"")&lt;&gt;"Por confirmar",TRIM('DATOS'!D154&amp;"")&lt;&gt;"No consta",TRIM('DATOS'!D154&amp;"")&lt;&gt;"Desconocido",TRIM('DATOS'!D154&amp;"")&lt;&gt;"Sin confirmar",TRIM('DATOS'!D154&amp;"")&lt;&gt;"Por decidir",TRIM('DATOS'!D154&amp;"")&lt;&gt;"Por comprobar")),NOT(AND(LEN(TRIM('DATOS'!E154&amp;""))&gt;0,TRIM('DATOS'!E154&amp;"")&lt;&gt;"Pendiente",TRIM('DATOS'!E154&amp;"")&lt;&gt;"Por confirmar",TRIM('DATOS'!E154&amp;"")&lt;&gt;"No consta",TRIM('DATOS'!E154&amp;"")&lt;&gt;"Desconocido",TRIM('DATOS'!E154&amp;"")&lt;&gt;"Sin confirmar",TRIM('DATOS'!E154&amp;"")&lt;&gt;"Por decidir",TRIM('DATOS'!E154&amp;"")&lt;&gt;"Por comprobar")),NOT(AND(LEN(TRIM('DATOS'!F154&amp;""))&gt;0,TRIM('DATOS'!F154&amp;"")&lt;&gt;"Pendiente",TRIM('DATOS'!F154&amp;"")&lt;&gt;"Por confirmar",TRIM('DATOS'!F154&amp;"")&lt;&gt;"No consta",TRIM('DATOS'!F154&amp;"")&lt;&gt;"Desconocido",TRIM('DATOS'!F154&amp;"")&lt;&gt;"Sin confirmar",TRIM('DATOS'!F154&amp;"")&lt;&gt;"Por decidir",TRIM('DATOS'!F154&amp;"")&lt;&gt;"Por comprobar")),NOT(AND(LEN(TRIM('DATOS'!N154&amp;""))&gt;0,TRIM('DATOS'!N154&amp;"")&lt;&gt;"Pendiente",TRIM('DATOS'!N154&amp;"")&lt;&gt;"Por confirmar",TRIM('DATOS'!N154&amp;"")&lt;&gt;"No consta",TRIM('DATOS'!N154&amp;"")&lt;&gt;"Desconocido",TRIM('DATOS'!N154&amp;"")&lt;&gt;"Sin confirmar",TRIM('DATOS'!N154&amp;"")&lt;&gt;"Por decidir",TRIM('DATOS'!N154&amp;"")&lt;&gt;"Por comprobar")),NOT(Y154=1),W154&lt;&gt;1,X154&gt;1,NOT(OR(LEN(TRIM('DATOS'!K154&amp;""))=0,'DATOS'!K154="Sin valorar",'DATOS'!K154="Sin coste documentado",'DATOS'!K154="Incluido en otra partida",'DATOS'!K154="Por confirmar")),NOT(OR(LEN(TRIM('DATOS'!M154&amp;""))=0,'DATOS'!M154="Sí",'DATOS'!M154="No",'DATOS'!M154="Por confirmar")),NOT(OR(LEN(TRIM('DATOS'!O154&amp;""))=0,'DATOS'!O154="Comparamos",'DATOS'!O154="No existe",'DATOS'!O154="Por confirmar"))),2,IF(AND(OR('DATOS'!G154&lt;0,'DATOS'!H154&lt;0,'DATOS'!J154&lt;0),NOT(AND(LEN(TRIM('DATOS'!L154&amp;""))&gt;0,TRIM('DATOS'!L154&amp;"")&lt;&gt;"Pendiente",TRIM('DATOS'!L154&amp;"")&lt;&gt;"Por confirmar",TRIM('DATOS'!L154&amp;"")&lt;&gt;"No consta",TRIM('DATOS'!L154&amp;"")&lt;&gt;"Desconocido",TRIM('DATOS'!L154&amp;"")&lt;&gt;"Sin confirmar",TRIM('DATOS'!L154&amp;"")&lt;&gt;"Por decidir",TRIM('DATOS'!L154&amp;"")&lt;&gt;"Por comprobar"))),1,0))),2)</f>
      </c>
      <c r="P154" s="29">
        <f>IFERROR(IF(N154=0,"",IF(NOT(Y154=1),1,IF('REFERENCIAS'!$Q$8&lt;&gt;1,2,IF(ABS('DATOS'!J154-ROUND('DATOS'!G154*'DATOS'!H154,'REFERENCIAS'!$K$8))&gt;0.00000001,2,IF('DATOS'!O154="No existe",IF(LEN(TRIM('DATOS'!I154&amp;""))=0,0,2),IF('DATOS'!O154="Comparamos",IF(LEN(TRIM('DATOS'!I154&amp;""))=0,1,IF(ISNUMBER('DATOS'!I154),IF(ABS('DATOS'!H154-'DATOS'!I154)&gt;0.00000001,2,0),2)),1)))))),2)</f>
      </c>
      <c r="Q154" s="29">
        <f>IFERROR(IF(N154=0,"",IF(NOT(Y154=1),1,IF('DATOS'!K154="Sin valorar",2,IF('DATOS'!G154=0,1,IF(OR('DATOS'!H154=0,'DATOS'!J154=0),IF(AND(OR('DATOS'!K154="Sin coste documentado",'DATOS'!K154="Incluido en otra partida"),AND(LEN(TRIM('DATOS'!L154&amp;""))&gt;0,TRIM('DATOS'!L154&amp;"")&lt;&gt;"Pendiente",TRIM('DATOS'!L154&amp;"")&lt;&gt;"Por confirmar",TRIM('DATOS'!L154&amp;"")&lt;&gt;"No consta",TRIM('DATOS'!L154&amp;"")&lt;&gt;"Desconocido",TRIM('DATOS'!L154&amp;"")&lt;&gt;"Sin confirmar",TRIM('DATOS'!L154&amp;"")&lt;&gt;"Por decidir",TRIM('DATOS'!L154&amp;"")&lt;&gt;"Por comprobar")),0,1),0))))),2)</f>
      </c>
      <c r="R154" s="29">
        <f>IFERROR(IF(N154=0,"",IF(OR(NOT(AND(LEN(TRIM('DATOS'!D154&amp;""))&gt;0,TRIM('DATOS'!D154&amp;"")&lt;&gt;"Pendiente",TRIM('DATOS'!D154&amp;"")&lt;&gt;"Por confirmar",TRIM('DATOS'!D154&amp;"")&lt;&gt;"No consta",TRIM('DATOS'!D154&amp;"")&lt;&gt;"Desconocido",TRIM('DATOS'!D154&amp;"")&lt;&gt;"Sin confirmar",TRIM('DATOS'!D154&amp;"")&lt;&gt;"Por decidir",TRIM('DATOS'!D154&amp;"")&lt;&gt;"Por comprobar")),NOT(AND(LEN(TRIM('DATOS'!E154&amp;""))&gt;0,TRIM('DATOS'!E154&amp;"")&lt;&gt;"Pendiente",TRIM('DATOS'!E154&amp;"")&lt;&gt;"Por confirmar",TRIM('DATOS'!E154&amp;"")&lt;&gt;"No consta",TRIM('DATOS'!E154&amp;"")&lt;&gt;"Desconocido",TRIM('DATOS'!E154&amp;"")&lt;&gt;"Sin confirmar",TRIM('DATOS'!E154&amp;"")&lt;&gt;"Por decidir",TRIM('DATOS'!E154&amp;"")&lt;&gt;"Por comprobar"))),2,IF('DATOS'!M154="No",2,IF('DATOS'!M154="Sí",0,IF(OR('DATOS'!D154&lt;&gt;'DATOS'!E154,LEN('DATOS'!E154)&gt;300,RIGHT(TRIM('DATOS'!E154),3)="...",RIGHT(TRIM('DATOS'!E154),1)="…"),1,0))))),2)</f>
      </c>
      <c r="S154" s="29">
        <f>IFERROR(IF(N154=0,"",IF('REFERENCIAS'!$Q$8&lt;&gt;1,2,IF(NOT(Y154=1),1,IF(OR(ABS('DATOS'!G154-ROUND('DATOS'!G154,'REFERENCIAS'!$E$8))&gt;0.00000001,ABS('DATOS'!H154-ROUND('DATOS'!H154,'REFERENCIAS'!$H$8))&gt;0.00000001,ABS('DATOS'!J154-ROUND('DATOS'!J154,'REFERENCIAS'!$K$8))&gt;0.00000001,IF(ISNUMBER('DATOS'!I154),ABS('DATOS'!I154-ROUND('DATOS'!I154,'REFERENCIAS'!$H$8))&gt;0.00000001,FALSE)),1,0)))),2)</f>
      </c>
      <c r="T154" s="29">
        <f>IFERROR(IF(N154=0,"",IF(NOT(AND(LEN(TRIM('DATOS'!F154&amp;""))&gt;0,TRIM('DATOS'!F154&amp;"")&lt;&gt;"Pendiente",TRIM('DATOS'!F154&amp;"")&lt;&gt;"Por confirmar",TRIM('DATOS'!F154&amp;"")&lt;&gt;"No consta",TRIM('DATOS'!F154&amp;"")&lt;&gt;"Desconocido",TRIM('DATOS'!F154&amp;"")&lt;&gt;"Sin confirmar",TRIM('DATOS'!F154&amp;"")&lt;&gt;"Por decidir",TRIM('DATOS'!F154&amp;"")&lt;&gt;"Por comprobar")),2,IF(COUNTIFS('REFERENCIAS'!$T$15:$T$34,"ID:"&amp;SUBSTITUTE(SUBSTITUTE(SUBSTITUTE(SUBSTITUTE(UPPER(TRIM('DATOS'!F154&amp;"")),"!","!E"),"*","!A"),"?","!B"),"~","!C"),'REFERENCIAS'!$H$15:$H$34,"&lt;&gt;")&gt;0,0,1))),2)</f>
      </c>
      <c r="U154" s="29" t="str">
        <f>'DATOS'!R154</f>
        <v>ID:</v>
      </c>
      <c r="V154" s="29" t="str">
        <f>'DATOS'!S154</f>
        <v>ID:</v>
      </c>
      <c r="W154" s="29" t="n">
        <f>IF(N154=0,0,COUNTIFS('REFERENCIAS'!$R$15:$R$64,U154))</f>
        <v>0</v>
      </c>
      <c r="X154" s="29" t="n">
        <f>IF(N154=0,0,COUNTIFS('DATOS'!$R$10:$R$509,U154,'DATOS'!$S$10:$S$509,V154))</f>
        <v>0</v>
      </c>
      <c r="Y154" s="29" t="n">
        <f>IF(AND(ISNUMBER('DATOS'!G154),ISNUMBER('DATOS'!H154),ISNUMBER('DATOS'!J154)),1,0)</f>
        <v>0</v>
      </c>
    </row>
    <row r="155" ht="64" customHeight="1">
      <c r="B155" s="26">
        <f>IF(N155=1,146,"")</f>
      </c>
      <c r="C155" s="26">
        <f>IF(AND(N155=1,LEN(TRIM('DATOS'!B155&amp;""))&gt;0),'DATOS'!B155,"")</f>
      </c>
      <c r="D155" s="26">
        <f>IF(AND(N155=1,LEN(TRIM('DATOS'!C155&amp;""))&gt;0),'DATOS'!C155,"")</f>
      </c>
      <c r="E155" s="26">
        <f>IF(NOT(ISNUMBER(P155)),"",IF(P155=2,"ROJO",IF(P155=1,"ÁMBAR","VERDE")))</f>
      </c>
      <c r="F155" s="26">
        <f>IF(NOT(ISNUMBER(Q155)),"",IF(Q155=2,"ROJO",IF(Q155=1,"ÁMBAR","VERDE")))</f>
      </c>
      <c r="G155" s="26">
        <f>IF(NOT(ISNUMBER(R155)),"",IF(R155=2,"ROJO",IF(R155=1,"ÁMBAR","VERDE")))</f>
      </c>
      <c r="H155" s="26">
        <f>IF(NOT(ISNUMBER(S155)),"",IF(S155=2,"ROJO",IF(S155=1,"ÁMBAR","VERDE")))</f>
      </c>
      <c r="I155" s="26">
        <f>IF(NOT(ISNUMBER(T155)),"",IF(T155=2,"ROJO",IF(T155=1,"ÁMBAR","VERDE")))</f>
      </c>
      <c r="J155" s="26">
        <f>IF(NOT(ISNUMBER(O155)),"",IF(O155=2,"ROJO",IF(O155=1,"ÁMBAR","VERDE")))</f>
      </c>
      <c r="K155" s="26">
        <f>IFERROR(IF(AND(N155=1,LEN(TRIM('DATOS'!N155&amp;""))&gt;0),'DATOS'!N155,""),"Hay una entrada con error. Corregimos el dato antes de cerrar la comprobación.")</f>
      </c>
      <c r="L155" s="26">
        <f>IFERROR(IF(N155=0,"",IF(O155&gt;0,"Completamos datos, claves o motivo. ","")&amp;IF(P155&gt;0,"Cotejamos precios e importe. ","")&amp;IF(Q155&gt;0,"Aclaramos el cero. ","")&amp;IF(R155&gt;0,"Comprobamos el texto. ","")&amp;IF(S155&gt;0,"Revisamos decimales visibles. ","")&amp;IF(T155&gt;0,"Confirmamos la unidad.","")),"Hay una entrada con error. Corregimos el dato antes de cerrar la comprobación.")</f>
      </c>
      <c r="N155" s="29" t="n">
        <f>IF(COUNTA('DATOS'!B155:O155)&gt;0,1,0)</f>
        <v>0</v>
      </c>
      <c r="O155" s="29">
        <f>IFERROR(IF(N155=0,"",IF(OR(NOT(AND(LEN(TRIM('DATOS'!B155&amp;""))&gt;0,TRIM('DATOS'!B155&amp;"")&lt;&gt;"Pendiente",TRIM('DATOS'!B155&amp;"")&lt;&gt;"Por confirmar",TRIM('DATOS'!B155&amp;"")&lt;&gt;"No consta",TRIM('DATOS'!B155&amp;"")&lt;&gt;"Desconocido",TRIM('DATOS'!B155&amp;"")&lt;&gt;"Sin confirmar",TRIM('DATOS'!B155&amp;"")&lt;&gt;"Por decidir",TRIM('DATOS'!B155&amp;"")&lt;&gt;"Por comprobar")),NOT(AND(LEN(TRIM('DATOS'!C155&amp;""))&gt;0,TRIM('DATOS'!C155&amp;"")&lt;&gt;"Pendiente",TRIM('DATOS'!C155&amp;"")&lt;&gt;"Por confirmar",TRIM('DATOS'!C155&amp;"")&lt;&gt;"No consta",TRIM('DATOS'!C155&amp;"")&lt;&gt;"Desconocido",TRIM('DATOS'!C155&amp;"")&lt;&gt;"Sin confirmar",TRIM('DATOS'!C155&amp;"")&lt;&gt;"Por decidir",TRIM('DATOS'!C155&amp;"")&lt;&gt;"Por comprobar")),NOT(AND(LEN(TRIM('DATOS'!D155&amp;""))&gt;0,TRIM('DATOS'!D155&amp;"")&lt;&gt;"Pendiente",TRIM('DATOS'!D155&amp;"")&lt;&gt;"Por confirmar",TRIM('DATOS'!D155&amp;"")&lt;&gt;"No consta",TRIM('DATOS'!D155&amp;"")&lt;&gt;"Desconocido",TRIM('DATOS'!D155&amp;"")&lt;&gt;"Sin confirmar",TRIM('DATOS'!D155&amp;"")&lt;&gt;"Por decidir",TRIM('DATOS'!D155&amp;"")&lt;&gt;"Por comprobar")),NOT(AND(LEN(TRIM('DATOS'!E155&amp;""))&gt;0,TRIM('DATOS'!E155&amp;"")&lt;&gt;"Pendiente",TRIM('DATOS'!E155&amp;"")&lt;&gt;"Por confirmar",TRIM('DATOS'!E155&amp;"")&lt;&gt;"No consta",TRIM('DATOS'!E155&amp;"")&lt;&gt;"Desconocido",TRIM('DATOS'!E155&amp;"")&lt;&gt;"Sin confirmar",TRIM('DATOS'!E155&amp;"")&lt;&gt;"Por decidir",TRIM('DATOS'!E155&amp;"")&lt;&gt;"Por comprobar")),NOT(AND(LEN(TRIM('DATOS'!F155&amp;""))&gt;0,TRIM('DATOS'!F155&amp;"")&lt;&gt;"Pendiente",TRIM('DATOS'!F155&amp;"")&lt;&gt;"Por confirmar",TRIM('DATOS'!F155&amp;"")&lt;&gt;"No consta",TRIM('DATOS'!F155&amp;"")&lt;&gt;"Desconocido",TRIM('DATOS'!F155&amp;"")&lt;&gt;"Sin confirmar",TRIM('DATOS'!F155&amp;"")&lt;&gt;"Por decidir",TRIM('DATOS'!F155&amp;"")&lt;&gt;"Por comprobar")),NOT(AND(LEN(TRIM('DATOS'!N155&amp;""))&gt;0,TRIM('DATOS'!N155&amp;"")&lt;&gt;"Pendiente",TRIM('DATOS'!N155&amp;"")&lt;&gt;"Por confirmar",TRIM('DATOS'!N155&amp;"")&lt;&gt;"No consta",TRIM('DATOS'!N155&amp;"")&lt;&gt;"Desconocido",TRIM('DATOS'!N155&amp;"")&lt;&gt;"Sin confirmar",TRIM('DATOS'!N155&amp;"")&lt;&gt;"Por decidir",TRIM('DATOS'!N155&amp;"")&lt;&gt;"Por comprobar")),NOT(Y155=1),W155&lt;&gt;1,X155&gt;1,NOT(OR(LEN(TRIM('DATOS'!K155&amp;""))=0,'DATOS'!K155="Sin valorar",'DATOS'!K155="Sin coste documentado",'DATOS'!K155="Incluido en otra partida",'DATOS'!K155="Por confirmar")),NOT(OR(LEN(TRIM('DATOS'!M155&amp;""))=0,'DATOS'!M155="Sí",'DATOS'!M155="No",'DATOS'!M155="Por confirmar")),NOT(OR(LEN(TRIM('DATOS'!O155&amp;""))=0,'DATOS'!O155="Comparamos",'DATOS'!O155="No existe",'DATOS'!O155="Por confirmar"))),2,IF(AND(OR('DATOS'!G155&lt;0,'DATOS'!H155&lt;0,'DATOS'!J155&lt;0),NOT(AND(LEN(TRIM('DATOS'!L155&amp;""))&gt;0,TRIM('DATOS'!L155&amp;"")&lt;&gt;"Pendiente",TRIM('DATOS'!L155&amp;"")&lt;&gt;"Por confirmar",TRIM('DATOS'!L155&amp;"")&lt;&gt;"No consta",TRIM('DATOS'!L155&amp;"")&lt;&gt;"Desconocido",TRIM('DATOS'!L155&amp;"")&lt;&gt;"Sin confirmar",TRIM('DATOS'!L155&amp;"")&lt;&gt;"Por decidir",TRIM('DATOS'!L155&amp;"")&lt;&gt;"Por comprobar"))),1,0))),2)</f>
      </c>
      <c r="P155" s="29">
        <f>IFERROR(IF(N155=0,"",IF(NOT(Y155=1),1,IF('REFERENCIAS'!$Q$8&lt;&gt;1,2,IF(ABS('DATOS'!J155-ROUND('DATOS'!G155*'DATOS'!H155,'REFERENCIAS'!$K$8))&gt;0.00000001,2,IF('DATOS'!O155="No existe",IF(LEN(TRIM('DATOS'!I155&amp;""))=0,0,2),IF('DATOS'!O155="Comparamos",IF(LEN(TRIM('DATOS'!I155&amp;""))=0,1,IF(ISNUMBER('DATOS'!I155),IF(ABS('DATOS'!H155-'DATOS'!I155)&gt;0.00000001,2,0),2)),1)))))),2)</f>
      </c>
      <c r="Q155" s="29">
        <f>IFERROR(IF(N155=0,"",IF(NOT(Y155=1),1,IF('DATOS'!K155="Sin valorar",2,IF('DATOS'!G155=0,1,IF(OR('DATOS'!H155=0,'DATOS'!J155=0),IF(AND(OR('DATOS'!K155="Sin coste documentado",'DATOS'!K155="Incluido en otra partida"),AND(LEN(TRIM('DATOS'!L155&amp;""))&gt;0,TRIM('DATOS'!L155&amp;"")&lt;&gt;"Pendiente",TRIM('DATOS'!L155&amp;"")&lt;&gt;"Por confirmar",TRIM('DATOS'!L155&amp;"")&lt;&gt;"No consta",TRIM('DATOS'!L155&amp;"")&lt;&gt;"Desconocido",TRIM('DATOS'!L155&amp;"")&lt;&gt;"Sin confirmar",TRIM('DATOS'!L155&amp;"")&lt;&gt;"Por decidir",TRIM('DATOS'!L155&amp;"")&lt;&gt;"Por comprobar")),0,1),0))))),2)</f>
      </c>
      <c r="R155" s="29">
        <f>IFERROR(IF(N155=0,"",IF(OR(NOT(AND(LEN(TRIM('DATOS'!D155&amp;""))&gt;0,TRIM('DATOS'!D155&amp;"")&lt;&gt;"Pendiente",TRIM('DATOS'!D155&amp;"")&lt;&gt;"Por confirmar",TRIM('DATOS'!D155&amp;"")&lt;&gt;"No consta",TRIM('DATOS'!D155&amp;"")&lt;&gt;"Desconocido",TRIM('DATOS'!D155&amp;"")&lt;&gt;"Sin confirmar",TRIM('DATOS'!D155&amp;"")&lt;&gt;"Por decidir",TRIM('DATOS'!D155&amp;"")&lt;&gt;"Por comprobar")),NOT(AND(LEN(TRIM('DATOS'!E155&amp;""))&gt;0,TRIM('DATOS'!E155&amp;"")&lt;&gt;"Pendiente",TRIM('DATOS'!E155&amp;"")&lt;&gt;"Por confirmar",TRIM('DATOS'!E155&amp;"")&lt;&gt;"No consta",TRIM('DATOS'!E155&amp;"")&lt;&gt;"Desconocido",TRIM('DATOS'!E155&amp;"")&lt;&gt;"Sin confirmar",TRIM('DATOS'!E155&amp;"")&lt;&gt;"Por decidir",TRIM('DATOS'!E155&amp;"")&lt;&gt;"Por comprobar"))),2,IF('DATOS'!M155="No",2,IF('DATOS'!M155="Sí",0,IF(OR('DATOS'!D155&lt;&gt;'DATOS'!E155,LEN('DATOS'!E155)&gt;300,RIGHT(TRIM('DATOS'!E155),3)="...",RIGHT(TRIM('DATOS'!E155),1)="…"),1,0))))),2)</f>
      </c>
      <c r="S155" s="29">
        <f>IFERROR(IF(N155=0,"",IF('REFERENCIAS'!$Q$8&lt;&gt;1,2,IF(NOT(Y155=1),1,IF(OR(ABS('DATOS'!G155-ROUND('DATOS'!G155,'REFERENCIAS'!$E$8))&gt;0.00000001,ABS('DATOS'!H155-ROUND('DATOS'!H155,'REFERENCIAS'!$H$8))&gt;0.00000001,ABS('DATOS'!J155-ROUND('DATOS'!J155,'REFERENCIAS'!$K$8))&gt;0.00000001,IF(ISNUMBER('DATOS'!I155),ABS('DATOS'!I155-ROUND('DATOS'!I155,'REFERENCIAS'!$H$8))&gt;0.00000001,FALSE)),1,0)))),2)</f>
      </c>
      <c r="T155" s="29">
        <f>IFERROR(IF(N155=0,"",IF(NOT(AND(LEN(TRIM('DATOS'!F155&amp;""))&gt;0,TRIM('DATOS'!F155&amp;"")&lt;&gt;"Pendiente",TRIM('DATOS'!F155&amp;"")&lt;&gt;"Por confirmar",TRIM('DATOS'!F155&amp;"")&lt;&gt;"No consta",TRIM('DATOS'!F155&amp;"")&lt;&gt;"Desconocido",TRIM('DATOS'!F155&amp;"")&lt;&gt;"Sin confirmar",TRIM('DATOS'!F155&amp;"")&lt;&gt;"Por decidir",TRIM('DATOS'!F155&amp;"")&lt;&gt;"Por comprobar")),2,IF(COUNTIFS('REFERENCIAS'!$T$15:$T$34,"ID:"&amp;SUBSTITUTE(SUBSTITUTE(SUBSTITUTE(SUBSTITUTE(UPPER(TRIM('DATOS'!F155&amp;"")),"!","!E"),"*","!A"),"?","!B"),"~","!C"),'REFERENCIAS'!$H$15:$H$34,"&lt;&gt;")&gt;0,0,1))),2)</f>
      </c>
      <c r="U155" s="29" t="str">
        <f>'DATOS'!R155</f>
        <v>ID:</v>
      </c>
      <c r="V155" s="29" t="str">
        <f>'DATOS'!S155</f>
        <v>ID:</v>
      </c>
      <c r="W155" s="29" t="n">
        <f>IF(N155=0,0,COUNTIFS('REFERENCIAS'!$R$15:$R$64,U155))</f>
        <v>0</v>
      </c>
      <c r="X155" s="29" t="n">
        <f>IF(N155=0,0,COUNTIFS('DATOS'!$R$10:$R$509,U155,'DATOS'!$S$10:$S$509,V155))</f>
        <v>0</v>
      </c>
      <c r="Y155" s="29" t="n">
        <f>IF(AND(ISNUMBER('DATOS'!G155),ISNUMBER('DATOS'!H155),ISNUMBER('DATOS'!J155)),1,0)</f>
        <v>0</v>
      </c>
    </row>
    <row r="156" ht="64" customHeight="1">
      <c r="B156" s="26">
        <f>IF(N156=1,147,"")</f>
      </c>
      <c r="C156" s="26">
        <f>IF(AND(N156=1,LEN(TRIM('DATOS'!B156&amp;""))&gt;0),'DATOS'!B156,"")</f>
      </c>
      <c r="D156" s="26">
        <f>IF(AND(N156=1,LEN(TRIM('DATOS'!C156&amp;""))&gt;0),'DATOS'!C156,"")</f>
      </c>
      <c r="E156" s="26">
        <f>IF(NOT(ISNUMBER(P156)),"",IF(P156=2,"ROJO",IF(P156=1,"ÁMBAR","VERDE")))</f>
      </c>
      <c r="F156" s="26">
        <f>IF(NOT(ISNUMBER(Q156)),"",IF(Q156=2,"ROJO",IF(Q156=1,"ÁMBAR","VERDE")))</f>
      </c>
      <c r="G156" s="26">
        <f>IF(NOT(ISNUMBER(R156)),"",IF(R156=2,"ROJO",IF(R156=1,"ÁMBAR","VERDE")))</f>
      </c>
      <c r="H156" s="26">
        <f>IF(NOT(ISNUMBER(S156)),"",IF(S156=2,"ROJO",IF(S156=1,"ÁMBAR","VERDE")))</f>
      </c>
      <c r="I156" s="26">
        <f>IF(NOT(ISNUMBER(T156)),"",IF(T156=2,"ROJO",IF(T156=1,"ÁMBAR","VERDE")))</f>
      </c>
      <c r="J156" s="26">
        <f>IF(NOT(ISNUMBER(O156)),"",IF(O156=2,"ROJO",IF(O156=1,"ÁMBAR","VERDE")))</f>
      </c>
      <c r="K156" s="26">
        <f>IFERROR(IF(AND(N156=1,LEN(TRIM('DATOS'!N156&amp;""))&gt;0),'DATOS'!N156,""),"Hay una entrada con error. Corregimos el dato antes de cerrar la comprobación.")</f>
      </c>
      <c r="L156" s="26">
        <f>IFERROR(IF(N156=0,"",IF(O156&gt;0,"Completamos datos, claves o motivo. ","")&amp;IF(P156&gt;0,"Cotejamos precios e importe. ","")&amp;IF(Q156&gt;0,"Aclaramos el cero. ","")&amp;IF(R156&gt;0,"Comprobamos el texto. ","")&amp;IF(S156&gt;0,"Revisamos decimales visibles. ","")&amp;IF(T156&gt;0,"Confirmamos la unidad.","")),"Hay una entrada con error. Corregimos el dato antes de cerrar la comprobación.")</f>
      </c>
      <c r="N156" s="29" t="n">
        <f>IF(COUNTA('DATOS'!B156:O156)&gt;0,1,0)</f>
        <v>0</v>
      </c>
      <c r="O156" s="29">
        <f>IFERROR(IF(N156=0,"",IF(OR(NOT(AND(LEN(TRIM('DATOS'!B156&amp;""))&gt;0,TRIM('DATOS'!B156&amp;"")&lt;&gt;"Pendiente",TRIM('DATOS'!B156&amp;"")&lt;&gt;"Por confirmar",TRIM('DATOS'!B156&amp;"")&lt;&gt;"No consta",TRIM('DATOS'!B156&amp;"")&lt;&gt;"Desconocido",TRIM('DATOS'!B156&amp;"")&lt;&gt;"Sin confirmar",TRIM('DATOS'!B156&amp;"")&lt;&gt;"Por decidir",TRIM('DATOS'!B156&amp;"")&lt;&gt;"Por comprobar")),NOT(AND(LEN(TRIM('DATOS'!C156&amp;""))&gt;0,TRIM('DATOS'!C156&amp;"")&lt;&gt;"Pendiente",TRIM('DATOS'!C156&amp;"")&lt;&gt;"Por confirmar",TRIM('DATOS'!C156&amp;"")&lt;&gt;"No consta",TRIM('DATOS'!C156&amp;"")&lt;&gt;"Desconocido",TRIM('DATOS'!C156&amp;"")&lt;&gt;"Sin confirmar",TRIM('DATOS'!C156&amp;"")&lt;&gt;"Por decidir",TRIM('DATOS'!C156&amp;"")&lt;&gt;"Por comprobar")),NOT(AND(LEN(TRIM('DATOS'!D156&amp;""))&gt;0,TRIM('DATOS'!D156&amp;"")&lt;&gt;"Pendiente",TRIM('DATOS'!D156&amp;"")&lt;&gt;"Por confirmar",TRIM('DATOS'!D156&amp;"")&lt;&gt;"No consta",TRIM('DATOS'!D156&amp;"")&lt;&gt;"Desconocido",TRIM('DATOS'!D156&amp;"")&lt;&gt;"Sin confirmar",TRIM('DATOS'!D156&amp;"")&lt;&gt;"Por decidir",TRIM('DATOS'!D156&amp;"")&lt;&gt;"Por comprobar")),NOT(AND(LEN(TRIM('DATOS'!E156&amp;""))&gt;0,TRIM('DATOS'!E156&amp;"")&lt;&gt;"Pendiente",TRIM('DATOS'!E156&amp;"")&lt;&gt;"Por confirmar",TRIM('DATOS'!E156&amp;"")&lt;&gt;"No consta",TRIM('DATOS'!E156&amp;"")&lt;&gt;"Desconocido",TRIM('DATOS'!E156&amp;"")&lt;&gt;"Sin confirmar",TRIM('DATOS'!E156&amp;"")&lt;&gt;"Por decidir",TRIM('DATOS'!E156&amp;"")&lt;&gt;"Por comprobar")),NOT(AND(LEN(TRIM('DATOS'!F156&amp;""))&gt;0,TRIM('DATOS'!F156&amp;"")&lt;&gt;"Pendiente",TRIM('DATOS'!F156&amp;"")&lt;&gt;"Por confirmar",TRIM('DATOS'!F156&amp;"")&lt;&gt;"No consta",TRIM('DATOS'!F156&amp;"")&lt;&gt;"Desconocido",TRIM('DATOS'!F156&amp;"")&lt;&gt;"Sin confirmar",TRIM('DATOS'!F156&amp;"")&lt;&gt;"Por decidir",TRIM('DATOS'!F156&amp;"")&lt;&gt;"Por comprobar")),NOT(AND(LEN(TRIM('DATOS'!N156&amp;""))&gt;0,TRIM('DATOS'!N156&amp;"")&lt;&gt;"Pendiente",TRIM('DATOS'!N156&amp;"")&lt;&gt;"Por confirmar",TRIM('DATOS'!N156&amp;"")&lt;&gt;"No consta",TRIM('DATOS'!N156&amp;"")&lt;&gt;"Desconocido",TRIM('DATOS'!N156&amp;"")&lt;&gt;"Sin confirmar",TRIM('DATOS'!N156&amp;"")&lt;&gt;"Por decidir",TRIM('DATOS'!N156&amp;"")&lt;&gt;"Por comprobar")),NOT(Y156=1),W156&lt;&gt;1,X156&gt;1,NOT(OR(LEN(TRIM('DATOS'!K156&amp;""))=0,'DATOS'!K156="Sin valorar",'DATOS'!K156="Sin coste documentado",'DATOS'!K156="Incluido en otra partida",'DATOS'!K156="Por confirmar")),NOT(OR(LEN(TRIM('DATOS'!M156&amp;""))=0,'DATOS'!M156="Sí",'DATOS'!M156="No",'DATOS'!M156="Por confirmar")),NOT(OR(LEN(TRIM('DATOS'!O156&amp;""))=0,'DATOS'!O156="Comparamos",'DATOS'!O156="No existe",'DATOS'!O156="Por confirmar"))),2,IF(AND(OR('DATOS'!G156&lt;0,'DATOS'!H156&lt;0,'DATOS'!J156&lt;0),NOT(AND(LEN(TRIM('DATOS'!L156&amp;""))&gt;0,TRIM('DATOS'!L156&amp;"")&lt;&gt;"Pendiente",TRIM('DATOS'!L156&amp;"")&lt;&gt;"Por confirmar",TRIM('DATOS'!L156&amp;"")&lt;&gt;"No consta",TRIM('DATOS'!L156&amp;"")&lt;&gt;"Desconocido",TRIM('DATOS'!L156&amp;"")&lt;&gt;"Sin confirmar",TRIM('DATOS'!L156&amp;"")&lt;&gt;"Por decidir",TRIM('DATOS'!L156&amp;"")&lt;&gt;"Por comprobar"))),1,0))),2)</f>
      </c>
      <c r="P156" s="29">
        <f>IFERROR(IF(N156=0,"",IF(NOT(Y156=1),1,IF('REFERENCIAS'!$Q$8&lt;&gt;1,2,IF(ABS('DATOS'!J156-ROUND('DATOS'!G156*'DATOS'!H156,'REFERENCIAS'!$K$8))&gt;0.00000001,2,IF('DATOS'!O156="No existe",IF(LEN(TRIM('DATOS'!I156&amp;""))=0,0,2),IF('DATOS'!O156="Comparamos",IF(LEN(TRIM('DATOS'!I156&amp;""))=0,1,IF(ISNUMBER('DATOS'!I156),IF(ABS('DATOS'!H156-'DATOS'!I156)&gt;0.00000001,2,0),2)),1)))))),2)</f>
      </c>
      <c r="Q156" s="29">
        <f>IFERROR(IF(N156=0,"",IF(NOT(Y156=1),1,IF('DATOS'!K156="Sin valorar",2,IF('DATOS'!G156=0,1,IF(OR('DATOS'!H156=0,'DATOS'!J156=0),IF(AND(OR('DATOS'!K156="Sin coste documentado",'DATOS'!K156="Incluido en otra partida"),AND(LEN(TRIM('DATOS'!L156&amp;""))&gt;0,TRIM('DATOS'!L156&amp;"")&lt;&gt;"Pendiente",TRIM('DATOS'!L156&amp;"")&lt;&gt;"Por confirmar",TRIM('DATOS'!L156&amp;"")&lt;&gt;"No consta",TRIM('DATOS'!L156&amp;"")&lt;&gt;"Desconocido",TRIM('DATOS'!L156&amp;"")&lt;&gt;"Sin confirmar",TRIM('DATOS'!L156&amp;"")&lt;&gt;"Por decidir",TRIM('DATOS'!L156&amp;"")&lt;&gt;"Por comprobar")),0,1),0))))),2)</f>
      </c>
      <c r="R156" s="29">
        <f>IFERROR(IF(N156=0,"",IF(OR(NOT(AND(LEN(TRIM('DATOS'!D156&amp;""))&gt;0,TRIM('DATOS'!D156&amp;"")&lt;&gt;"Pendiente",TRIM('DATOS'!D156&amp;"")&lt;&gt;"Por confirmar",TRIM('DATOS'!D156&amp;"")&lt;&gt;"No consta",TRIM('DATOS'!D156&amp;"")&lt;&gt;"Desconocido",TRIM('DATOS'!D156&amp;"")&lt;&gt;"Sin confirmar",TRIM('DATOS'!D156&amp;"")&lt;&gt;"Por decidir",TRIM('DATOS'!D156&amp;"")&lt;&gt;"Por comprobar")),NOT(AND(LEN(TRIM('DATOS'!E156&amp;""))&gt;0,TRIM('DATOS'!E156&amp;"")&lt;&gt;"Pendiente",TRIM('DATOS'!E156&amp;"")&lt;&gt;"Por confirmar",TRIM('DATOS'!E156&amp;"")&lt;&gt;"No consta",TRIM('DATOS'!E156&amp;"")&lt;&gt;"Desconocido",TRIM('DATOS'!E156&amp;"")&lt;&gt;"Sin confirmar",TRIM('DATOS'!E156&amp;"")&lt;&gt;"Por decidir",TRIM('DATOS'!E156&amp;"")&lt;&gt;"Por comprobar"))),2,IF('DATOS'!M156="No",2,IF('DATOS'!M156="Sí",0,IF(OR('DATOS'!D156&lt;&gt;'DATOS'!E156,LEN('DATOS'!E156)&gt;300,RIGHT(TRIM('DATOS'!E156),3)="...",RIGHT(TRIM('DATOS'!E156),1)="…"),1,0))))),2)</f>
      </c>
      <c r="S156" s="29">
        <f>IFERROR(IF(N156=0,"",IF('REFERENCIAS'!$Q$8&lt;&gt;1,2,IF(NOT(Y156=1),1,IF(OR(ABS('DATOS'!G156-ROUND('DATOS'!G156,'REFERENCIAS'!$E$8))&gt;0.00000001,ABS('DATOS'!H156-ROUND('DATOS'!H156,'REFERENCIAS'!$H$8))&gt;0.00000001,ABS('DATOS'!J156-ROUND('DATOS'!J156,'REFERENCIAS'!$K$8))&gt;0.00000001,IF(ISNUMBER('DATOS'!I156),ABS('DATOS'!I156-ROUND('DATOS'!I156,'REFERENCIAS'!$H$8))&gt;0.00000001,FALSE)),1,0)))),2)</f>
      </c>
      <c r="T156" s="29">
        <f>IFERROR(IF(N156=0,"",IF(NOT(AND(LEN(TRIM('DATOS'!F156&amp;""))&gt;0,TRIM('DATOS'!F156&amp;"")&lt;&gt;"Pendiente",TRIM('DATOS'!F156&amp;"")&lt;&gt;"Por confirmar",TRIM('DATOS'!F156&amp;"")&lt;&gt;"No consta",TRIM('DATOS'!F156&amp;"")&lt;&gt;"Desconocido",TRIM('DATOS'!F156&amp;"")&lt;&gt;"Sin confirmar",TRIM('DATOS'!F156&amp;"")&lt;&gt;"Por decidir",TRIM('DATOS'!F156&amp;"")&lt;&gt;"Por comprobar")),2,IF(COUNTIFS('REFERENCIAS'!$T$15:$T$34,"ID:"&amp;SUBSTITUTE(SUBSTITUTE(SUBSTITUTE(SUBSTITUTE(UPPER(TRIM('DATOS'!F156&amp;"")),"!","!E"),"*","!A"),"?","!B"),"~","!C"),'REFERENCIAS'!$H$15:$H$34,"&lt;&gt;")&gt;0,0,1))),2)</f>
      </c>
      <c r="U156" s="29" t="str">
        <f>'DATOS'!R156</f>
        <v>ID:</v>
      </c>
      <c r="V156" s="29" t="str">
        <f>'DATOS'!S156</f>
        <v>ID:</v>
      </c>
      <c r="W156" s="29" t="n">
        <f>IF(N156=0,0,COUNTIFS('REFERENCIAS'!$R$15:$R$64,U156))</f>
        <v>0</v>
      </c>
      <c r="X156" s="29" t="n">
        <f>IF(N156=0,0,COUNTIFS('DATOS'!$R$10:$R$509,U156,'DATOS'!$S$10:$S$509,V156))</f>
        <v>0</v>
      </c>
      <c r="Y156" s="29" t="n">
        <f>IF(AND(ISNUMBER('DATOS'!G156),ISNUMBER('DATOS'!H156),ISNUMBER('DATOS'!J156)),1,0)</f>
        <v>0</v>
      </c>
    </row>
    <row r="157" ht="64" customHeight="1">
      <c r="B157" s="26">
        <f>IF(N157=1,148,"")</f>
      </c>
      <c r="C157" s="26">
        <f>IF(AND(N157=1,LEN(TRIM('DATOS'!B157&amp;""))&gt;0),'DATOS'!B157,"")</f>
      </c>
      <c r="D157" s="26">
        <f>IF(AND(N157=1,LEN(TRIM('DATOS'!C157&amp;""))&gt;0),'DATOS'!C157,"")</f>
      </c>
      <c r="E157" s="26">
        <f>IF(NOT(ISNUMBER(P157)),"",IF(P157=2,"ROJO",IF(P157=1,"ÁMBAR","VERDE")))</f>
      </c>
      <c r="F157" s="26">
        <f>IF(NOT(ISNUMBER(Q157)),"",IF(Q157=2,"ROJO",IF(Q157=1,"ÁMBAR","VERDE")))</f>
      </c>
      <c r="G157" s="26">
        <f>IF(NOT(ISNUMBER(R157)),"",IF(R157=2,"ROJO",IF(R157=1,"ÁMBAR","VERDE")))</f>
      </c>
      <c r="H157" s="26">
        <f>IF(NOT(ISNUMBER(S157)),"",IF(S157=2,"ROJO",IF(S157=1,"ÁMBAR","VERDE")))</f>
      </c>
      <c r="I157" s="26">
        <f>IF(NOT(ISNUMBER(T157)),"",IF(T157=2,"ROJO",IF(T157=1,"ÁMBAR","VERDE")))</f>
      </c>
      <c r="J157" s="26">
        <f>IF(NOT(ISNUMBER(O157)),"",IF(O157=2,"ROJO",IF(O157=1,"ÁMBAR","VERDE")))</f>
      </c>
      <c r="K157" s="26">
        <f>IFERROR(IF(AND(N157=1,LEN(TRIM('DATOS'!N157&amp;""))&gt;0),'DATOS'!N157,""),"Hay una entrada con error. Corregimos el dato antes de cerrar la comprobación.")</f>
      </c>
      <c r="L157" s="26">
        <f>IFERROR(IF(N157=0,"",IF(O157&gt;0,"Completamos datos, claves o motivo. ","")&amp;IF(P157&gt;0,"Cotejamos precios e importe. ","")&amp;IF(Q157&gt;0,"Aclaramos el cero. ","")&amp;IF(R157&gt;0,"Comprobamos el texto. ","")&amp;IF(S157&gt;0,"Revisamos decimales visibles. ","")&amp;IF(T157&gt;0,"Confirmamos la unidad.","")),"Hay una entrada con error. Corregimos el dato antes de cerrar la comprobación.")</f>
      </c>
      <c r="N157" s="29" t="n">
        <f>IF(COUNTA('DATOS'!B157:O157)&gt;0,1,0)</f>
        <v>0</v>
      </c>
      <c r="O157" s="29">
        <f>IFERROR(IF(N157=0,"",IF(OR(NOT(AND(LEN(TRIM('DATOS'!B157&amp;""))&gt;0,TRIM('DATOS'!B157&amp;"")&lt;&gt;"Pendiente",TRIM('DATOS'!B157&amp;"")&lt;&gt;"Por confirmar",TRIM('DATOS'!B157&amp;"")&lt;&gt;"No consta",TRIM('DATOS'!B157&amp;"")&lt;&gt;"Desconocido",TRIM('DATOS'!B157&amp;"")&lt;&gt;"Sin confirmar",TRIM('DATOS'!B157&amp;"")&lt;&gt;"Por decidir",TRIM('DATOS'!B157&amp;"")&lt;&gt;"Por comprobar")),NOT(AND(LEN(TRIM('DATOS'!C157&amp;""))&gt;0,TRIM('DATOS'!C157&amp;"")&lt;&gt;"Pendiente",TRIM('DATOS'!C157&amp;"")&lt;&gt;"Por confirmar",TRIM('DATOS'!C157&amp;"")&lt;&gt;"No consta",TRIM('DATOS'!C157&amp;"")&lt;&gt;"Desconocido",TRIM('DATOS'!C157&amp;"")&lt;&gt;"Sin confirmar",TRIM('DATOS'!C157&amp;"")&lt;&gt;"Por decidir",TRIM('DATOS'!C157&amp;"")&lt;&gt;"Por comprobar")),NOT(AND(LEN(TRIM('DATOS'!D157&amp;""))&gt;0,TRIM('DATOS'!D157&amp;"")&lt;&gt;"Pendiente",TRIM('DATOS'!D157&amp;"")&lt;&gt;"Por confirmar",TRIM('DATOS'!D157&amp;"")&lt;&gt;"No consta",TRIM('DATOS'!D157&amp;"")&lt;&gt;"Desconocido",TRIM('DATOS'!D157&amp;"")&lt;&gt;"Sin confirmar",TRIM('DATOS'!D157&amp;"")&lt;&gt;"Por decidir",TRIM('DATOS'!D157&amp;"")&lt;&gt;"Por comprobar")),NOT(AND(LEN(TRIM('DATOS'!E157&amp;""))&gt;0,TRIM('DATOS'!E157&amp;"")&lt;&gt;"Pendiente",TRIM('DATOS'!E157&amp;"")&lt;&gt;"Por confirmar",TRIM('DATOS'!E157&amp;"")&lt;&gt;"No consta",TRIM('DATOS'!E157&amp;"")&lt;&gt;"Desconocido",TRIM('DATOS'!E157&amp;"")&lt;&gt;"Sin confirmar",TRIM('DATOS'!E157&amp;"")&lt;&gt;"Por decidir",TRIM('DATOS'!E157&amp;"")&lt;&gt;"Por comprobar")),NOT(AND(LEN(TRIM('DATOS'!F157&amp;""))&gt;0,TRIM('DATOS'!F157&amp;"")&lt;&gt;"Pendiente",TRIM('DATOS'!F157&amp;"")&lt;&gt;"Por confirmar",TRIM('DATOS'!F157&amp;"")&lt;&gt;"No consta",TRIM('DATOS'!F157&amp;"")&lt;&gt;"Desconocido",TRIM('DATOS'!F157&amp;"")&lt;&gt;"Sin confirmar",TRIM('DATOS'!F157&amp;"")&lt;&gt;"Por decidir",TRIM('DATOS'!F157&amp;"")&lt;&gt;"Por comprobar")),NOT(AND(LEN(TRIM('DATOS'!N157&amp;""))&gt;0,TRIM('DATOS'!N157&amp;"")&lt;&gt;"Pendiente",TRIM('DATOS'!N157&amp;"")&lt;&gt;"Por confirmar",TRIM('DATOS'!N157&amp;"")&lt;&gt;"No consta",TRIM('DATOS'!N157&amp;"")&lt;&gt;"Desconocido",TRIM('DATOS'!N157&amp;"")&lt;&gt;"Sin confirmar",TRIM('DATOS'!N157&amp;"")&lt;&gt;"Por decidir",TRIM('DATOS'!N157&amp;"")&lt;&gt;"Por comprobar")),NOT(Y157=1),W157&lt;&gt;1,X157&gt;1,NOT(OR(LEN(TRIM('DATOS'!K157&amp;""))=0,'DATOS'!K157="Sin valorar",'DATOS'!K157="Sin coste documentado",'DATOS'!K157="Incluido en otra partida",'DATOS'!K157="Por confirmar")),NOT(OR(LEN(TRIM('DATOS'!M157&amp;""))=0,'DATOS'!M157="Sí",'DATOS'!M157="No",'DATOS'!M157="Por confirmar")),NOT(OR(LEN(TRIM('DATOS'!O157&amp;""))=0,'DATOS'!O157="Comparamos",'DATOS'!O157="No existe",'DATOS'!O157="Por confirmar"))),2,IF(AND(OR('DATOS'!G157&lt;0,'DATOS'!H157&lt;0,'DATOS'!J157&lt;0),NOT(AND(LEN(TRIM('DATOS'!L157&amp;""))&gt;0,TRIM('DATOS'!L157&amp;"")&lt;&gt;"Pendiente",TRIM('DATOS'!L157&amp;"")&lt;&gt;"Por confirmar",TRIM('DATOS'!L157&amp;"")&lt;&gt;"No consta",TRIM('DATOS'!L157&amp;"")&lt;&gt;"Desconocido",TRIM('DATOS'!L157&amp;"")&lt;&gt;"Sin confirmar",TRIM('DATOS'!L157&amp;"")&lt;&gt;"Por decidir",TRIM('DATOS'!L157&amp;"")&lt;&gt;"Por comprobar"))),1,0))),2)</f>
      </c>
      <c r="P157" s="29">
        <f>IFERROR(IF(N157=0,"",IF(NOT(Y157=1),1,IF('REFERENCIAS'!$Q$8&lt;&gt;1,2,IF(ABS('DATOS'!J157-ROUND('DATOS'!G157*'DATOS'!H157,'REFERENCIAS'!$K$8))&gt;0.00000001,2,IF('DATOS'!O157="No existe",IF(LEN(TRIM('DATOS'!I157&amp;""))=0,0,2),IF('DATOS'!O157="Comparamos",IF(LEN(TRIM('DATOS'!I157&amp;""))=0,1,IF(ISNUMBER('DATOS'!I157),IF(ABS('DATOS'!H157-'DATOS'!I157)&gt;0.00000001,2,0),2)),1)))))),2)</f>
      </c>
      <c r="Q157" s="29">
        <f>IFERROR(IF(N157=0,"",IF(NOT(Y157=1),1,IF('DATOS'!K157="Sin valorar",2,IF('DATOS'!G157=0,1,IF(OR('DATOS'!H157=0,'DATOS'!J157=0),IF(AND(OR('DATOS'!K157="Sin coste documentado",'DATOS'!K157="Incluido en otra partida"),AND(LEN(TRIM('DATOS'!L157&amp;""))&gt;0,TRIM('DATOS'!L157&amp;"")&lt;&gt;"Pendiente",TRIM('DATOS'!L157&amp;"")&lt;&gt;"Por confirmar",TRIM('DATOS'!L157&amp;"")&lt;&gt;"No consta",TRIM('DATOS'!L157&amp;"")&lt;&gt;"Desconocido",TRIM('DATOS'!L157&amp;"")&lt;&gt;"Sin confirmar",TRIM('DATOS'!L157&amp;"")&lt;&gt;"Por decidir",TRIM('DATOS'!L157&amp;"")&lt;&gt;"Por comprobar")),0,1),0))))),2)</f>
      </c>
      <c r="R157" s="29">
        <f>IFERROR(IF(N157=0,"",IF(OR(NOT(AND(LEN(TRIM('DATOS'!D157&amp;""))&gt;0,TRIM('DATOS'!D157&amp;"")&lt;&gt;"Pendiente",TRIM('DATOS'!D157&amp;"")&lt;&gt;"Por confirmar",TRIM('DATOS'!D157&amp;"")&lt;&gt;"No consta",TRIM('DATOS'!D157&amp;"")&lt;&gt;"Desconocido",TRIM('DATOS'!D157&amp;"")&lt;&gt;"Sin confirmar",TRIM('DATOS'!D157&amp;"")&lt;&gt;"Por decidir",TRIM('DATOS'!D157&amp;"")&lt;&gt;"Por comprobar")),NOT(AND(LEN(TRIM('DATOS'!E157&amp;""))&gt;0,TRIM('DATOS'!E157&amp;"")&lt;&gt;"Pendiente",TRIM('DATOS'!E157&amp;"")&lt;&gt;"Por confirmar",TRIM('DATOS'!E157&amp;"")&lt;&gt;"No consta",TRIM('DATOS'!E157&amp;"")&lt;&gt;"Desconocido",TRIM('DATOS'!E157&amp;"")&lt;&gt;"Sin confirmar",TRIM('DATOS'!E157&amp;"")&lt;&gt;"Por decidir",TRIM('DATOS'!E157&amp;"")&lt;&gt;"Por comprobar"))),2,IF('DATOS'!M157="No",2,IF('DATOS'!M157="Sí",0,IF(OR('DATOS'!D157&lt;&gt;'DATOS'!E157,LEN('DATOS'!E157)&gt;300,RIGHT(TRIM('DATOS'!E157),3)="...",RIGHT(TRIM('DATOS'!E157),1)="…"),1,0))))),2)</f>
      </c>
      <c r="S157" s="29">
        <f>IFERROR(IF(N157=0,"",IF('REFERENCIAS'!$Q$8&lt;&gt;1,2,IF(NOT(Y157=1),1,IF(OR(ABS('DATOS'!G157-ROUND('DATOS'!G157,'REFERENCIAS'!$E$8))&gt;0.00000001,ABS('DATOS'!H157-ROUND('DATOS'!H157,'REFERENCIAS'!$H$8))&gt;0.00000001,ABS('DATOS'!J157-ROUND('DATOS'!J157,'REFERENCIAS'!$K$8))&gt;0.00000001,IF(ISNUMBER('DATOS'!I157),ABS('DATOS'!I157-ROUND('DATOS'!I157,'REFERENCIAS'!$H$8))&gt;0.00000001,FALSE)),1,0)))),2)</f>
      </c>
      <c r="T157" s="29">
        <f>IFERROR(IF(N157=0,"",IF(NOT(AND(LEN(TRIM('DATOS'!F157&amp;""))&gt;0,TRIM('DATOS'!F157&amp;"")&lt;&gt;"Pendiente",TRIM('DATOS'!F157&amp;"")&lt;&gt;"Por confirmar",TRIM('DATOS'!F157&amp;"")&lt;&gt;"No consta",TRIM('DATOS'!F157&amp;"")&lt;&gt;"Desconocido",TRIM('DATOS'!F157&amp;"")&lt;&gt;"Sin confirmar",TRIM('DATOS'!F157&amp;"")&lt;&gt;"Por decidir",TRIM('DATOS'!F157&amp;"")&lt;&gt;"Por comprobar")),2,IF(COUNTIFS('REFERENCIAS'!$T$15:$T$34,"ID:"&amp;SUBSTITUTE(SUBSTITUTE(SUBSTITUTE(SUBSTITUTE(UPPER(TRIM('DATOS'!F157&amp;"")),"!","!E"),"*","!A"),"?","!B"),"~","!C"),'REFERENCIAS'!$H$15:$H$34,"&lt;&gt;")&gt;0,0,1))),2)</f>
      </c>
      <c r="U157" s="29" t="str">
        <f>'DATOS'!R157</f>
        <v>ID:</v>
      </c>
      <c r="V157" s="29" t="str">
        <f>'DATOS'!S157</f>
        <v>ID:</v>
      </c>
      <c r="W157" s="29" t="n">
        <f>IF(N157=0,0,COUNTIFS('REFERENCIAS'!$R$15:$R$64,U157))</f>
        <v>0</v>
      </c>
      <c r="X157" s="29" t="n">
        <f>IF(N157=0,0,COUNTIFS('DATOS'!$R$10:$R$509,U157,'DATOS'!$S$10:$S$509,V157))</f>
        <v>0</v>
      </c>
      <c r="Y157" s="29" t="n">
        <f>IF(AND(ISNUMBER('DATOS'!G157),ISNUMBER('DATOS'!H157),ISNUMBER('DATOS'!J157)),1,0)</f>
        <v>0</v>
      </c>
    </row>
    <row r="158" ht="64" customHeight="1">
      <c r="B158" s="26">
        <f>IF(N158=1,149,"")</f>
      </c>
      <c r="C158" s="26">
        <f>IF(AND(N158=1,LEN(TRIM('DATOS'!B158&amp;""))&gt;0),'DATOS'!B158,"")</f>
      </c>
      <c r="D158" s="26">
        <f>IF(AND(N158=1,LEN(TRIM('DATOS'!C158&amp;""))&gt;0),'DATOS'!C158,"")</f>
      </c>
      <c r="E158" s="26">
        <f>IF(NOT(ISNUMBER(P158)),"",IF(P158=2,"ROJO",IF(P158=1,"ÁMBAR","VERDE")))</f>
      </c>
      <c r="F158" s="26">
        <f>IF(NOT(ISNUMBER(Q158)),"",IF(Q158=2,"ROJO",IF(Q158=1,"ÁMBAR","VERDE")))</f>
      </c>
      <c r="G158" s="26">
        <f>IF(NOT(ISNUMBER(R158)),"",IF(R158=2,"ROJO",IF(R158=1,"ÁMBAR","VERDE")))</f>
      </c>
      <c r="H158" s="26">
        <f>IF(NOT(ISNUMBER(S158)),"",IF(S158=2,"ROJO",IF(S158=1,"ÁMBAR","VERDE")))</f>
      </c>
      <c r="I158" s="26">
        <f>IF(NOT(ISNUMBER(T158)),"",IF(T158=2,"ROJO",IF(T158=1,"ÁMBAR","VERDE")))</f>
      </c>
      <c r="J158" s="26">
        <f>IF(NOT(ISNUMBER(O158)),"",IF(O158=2,"ROJO",IF(O158=1,"ÁMBAR","VERDE")))</f>
      </c>
      <c r="K158" s="26">
        <f>IFERROR(IF(AND(N158=1,LEN(TRIM('DATOS'!N158&amp;""))&gt;0),'DATOS'!N158,""),"Hay una entrada con error. Corregimos el dato antes de cerrar la comprobación.")</f>
      </c>
      <c r="L158" s="26">
        <f>IFERROR(IF(N158=0,"",IF(O158&gt;0,"Completamos datos, claves o motivo. ","")&amp;IF(P158&gt;0,"Cotejamos precios e importe. ","")&amp;IF(Q158&gt;0,"Aclaramos el cero. ","")&amp;IF(R158&gt;0,"Comprobamos el texto. ","")&amp;IF(S158&gt;0,"Revisamos decimales visibles. ","")&amp;IF(T158&gt;0,"Confirmamos la unidad.","")),"Hay una entrada con error. Corregimos el dato antes de cerrar la comprobación.")</f>
      </c>
      <c r="N158" s="29" t="n">
        <f>IF(COUNTA('DATOS'!B158:O158)&gt;0,1,0)</f>
        <v>0</v>
      </c>
      <c r="O158" s="29">
        <f>IFERROR(IF(N158=0,"",IF(OR(NOT(AND(LEN(TRIM('DATOS'!B158&amp;""))&gt;0,TRIM('DATOS'!B158&amp;"")&lt;&gt;"Pendiente",TRIM('DATOS'!B158&amp;"")&lt;&gt;"Por confirmar",TRIM('DATOS'!B158&amp;"")&lt;&gt;"No consta",TRIM('DATOS'!B158&amp;"")&lt;&gt;"Desconocido",TRIM('DATOS'!B158&amp;"")&lt;&gt;"Sin confirmar",TRIM('DATOS'!B158&amp;"")&lt;&gt;"Por decidir",TRIM('DATOS'!B158&amp;"")&lt;&gt;"Por comprobar")),NOT(AND(LEN(TRIM('DATOS'!C158&amp;""))&gt;0,TRIM('DATOS'!C158&amp;"")&lt;&gt;"Pendiente",TRIM('DATOS'!C158&amp;"")&lt;&gt;"Por confirmar",TRIM('DATOS'!C158&amp;"")&lt;&gt;"No consta",TRIM('DATOS'!C158&amp;"")&lt;&gt;"Desconocido",TRIM('DATOS'!C158&amp;"")&lt;&gt;"Sin confirmar",TRIM('DATOS'!C158&amp;"")&lt;&gt;"Por decidir",TRIM('DATOS'!C158&amp;"")&lt;&gt;"Por comprobar")),NOT(AND(LEN(TRIM('DATOS'!D158&amp;""))&gt;0,TRIM('DATOS'!D158&amp;"")&lt;&gt;"Pendiente",TRIM('DATOS'!D158&amp;"")&lt;&gt;"Por confirmar",TRIM('DATOS'!D158&amp;"")&lt;&gt;"No consta",TRIM('DATOS'!D158&amp;"")&lt;&gt;"Desconocido",TRIM('DATOS'!D158&amp;"")&lt;&gt;"Sin confirmar",TRIM('DATOS'!D158&amp;"")&lt;&gt;"Por decidir",TRIM('DATOS'!D158&amp;"")&lt;&gt;"Por comprobar")),NOT(AND(LEN(TRIM('DATOS'!E158&amp;""))&gt;0,TRIM('DATOS'!E158&amp;"")&lt;&gt;"Pendiente",TRIM('DATOS'!E158&amp;"")&lt;&gt;"Por confirmar",TRIM('DATOS'!E158&amp;"")&lt;&gt;"No consta",TRIM('DATOS'!E158&amp;"")&lt;&gt;"Desconocido",TRIM('DATOS'!E158&amp;"")&lt;&gt;"Sin confirmar",TRIM('DATOS'!E158&amp;"")&lt;&gt;"Por decidir",TRIM('DATOS'!E158&amp;"")&lt;&gt;"Por comprobar")),NOT(AND(LEN(TRIM('DATOS'!F158&amp;""))&gt;0,TRIM('DATOS'!F158&amp;"")&lt;&gt;"Pendiente",TRIM('DATOS'!F158&amp;"")&lt;&gt;"Por confirmar",TRIM('DATOS'!F158&amp;"")&lt;&gt;"No consta",TRIM('DATOS'!F158&amp;"")&lt;&gt;"Desconocido",TRIM('DATOS'!F158&amp;"")&lt;&gt;"Sin confirmar",TRIM('DATOS'!F158&amp;"")&lt;&gt;"Por decidir",TRIM('DATOS'!F158&amp;"")&lt;&gt;"Por comprobar")),NOT(AND(LEN(TRIM('DATOS'!N158&amp;""))&gt;0,TRIM('DATOS'!N158&amp;"")&lt;&gt;"Pendiente",TRIM('DATOS'!N158&amp;"")&lt;&gt;"Por confirmar",TRIM('DATOS'!N158&amp;"")&lt;&gt;"No consta",TRIM('DATOS'!N158&amp;"")&lt;&gt;"Desconocido",TRIM('DATOS'!N158&amp;"")&lt;&gt;"Sin confirmar",TRIM('DATOS'!N158&amp;"")&lt;&gt;"Por decidir",TRIM('DATOS'!N158&amp;"")&lt;&gt;"Por comprobar")),NOT(Y158=1),W158&lt;&gt;1,X158&gt;1,NOT(OR(LEN(TRIM('DATOS'!K158&amp;""))=0,'DATOS'!K158="Sin valorar",'DATOS'!K158="Sin coste documentado",'DATOS'!K158="Incluido en otra partida",'DATOS'!K158="Por confirmar")),NOT(OR(LEN(TRIM('DATOS'!M158&amp;""))=0,'DATOS'!M158="Sí",'DATOS'!M158="No",'DATOS'!M158="Por confirmar")),NOT(OR(LEN(TRIM('DATOS'!O158&amp;""))=0,'DATOS'!O158="Comparamos",'DATOS'!O158="No existe",'DATOS'!O158="Por confirmar"))),2,IF(AND(OR('DATOS'!G158&lt;0,'DATOS'!H158&lt;0,'DATOS'!J158&lt;0),NOT(AND(LEN(TRIM('DATOS'!L158&amp;""))&gt;0,TRIM('DATOS'!L158&amp;"")&lt;&gt;"Pendiente",TRIM('DATOS'!L158&amp;"")&lt;&gt;"Por confirmar",TRIM('DATOS'!L158&amp;"")&lt;&gt;"No consta",TRIM('DATOS'!L158&amp;"")&lt;&gt;"Desconocido",TRIM('DATOS'!L158&amp;"")&lt;&gt;"Sin confirmar",TRIM('DATOS'!L158&amp;"")&lt;&gt;"Por decidir",TRIM('DATOS'!L158&amp;"")&lt;&gt;"Por comprobar"))),1,0))),2)</f>
      </c>
      <c r="P158" s="29">
        <f>IFERROR(IF(N158=0,"",IF(NOT(Y158=1),1,IF('REFERENCIAS'!$Q$8&lt;&gt;1,2,IF(ABS('DATOS'!J158-ROUND('DATOS'!G158*'DATOS'!H158,'REFERENCIAS'!$K$8))&gt;0.00000001,2,IF('DATOS'!O158="No existe",IF(LEN(TRIM('DATOS'!I158&amp;""))=0,0,2),IF('DATOS'!O158="Comparamos",IF(LEN(TRIM('DATOS'!I158&amp;""))=0,1,IF(ISNUMBER('DATOS'!I158),IF(ABS('DATOS'!H158-'DATOS'!I158)&gt;0.00000001,2,0),2)),1)))))),2)</f>
      </c>
      <c r="Q158" s="29">
        <f>IFERROR(IF(N158=0,"",IF(NOT(Y158=1),1,IF('DATOS'!K158="Sin valorar",2,IF('DATOS'!G158=0,1,IF(OR('DATOS'!H158=0,'DATOS'!J158=0),IF(AND(OR('DATOS'!K158="Sin coste documentado",'DATOS'!K158="Incluido en otra partida"),AND(LEN(TRIM('DATOS'!L158&amp;""))&gt;0,TRIM('DATOS'!L158&amp;"")&lt;&gt;"Pendiente",TRIM('DATOS'!L158&amp;"")&lt;&gt;"Por confirmar",TRIM('DATOS'!L158&amp;"")&lt;&gt;"No consta",TRIM('DATOS'!L158&amp;"")&lt;&gt;"Desconocido",TRIM('DATOS'!L158&amp;"")&lt;&gt;"Sin confirmar",TRIM('DATOS'!L158&amp;"")&lt;&gt;"Por decidir",TRIM('DATOS'!L158&amp;"")&lt;&gt;"Por comprobar")),0,1),0))))),2)</f>
      </c>
      <c r="R158" s="29">
        <f>IFERROR(IF(N158=0,"",IF(OR(NOT(AND(LEN(TRIM('DATOS'!D158&amp;""))&gt;0,TRIM('DATOS'!D158&amp;"")&lt;&gt;"Pendiente",TRIM('DATOS'!D158&amp;"")&lt;&gt;"Por confirmar",TRIM('DATOS'!D158&amp;"")&lt;&gt;"No consta",TRIM('DATOS'!D158&amp;"")&lt;&gt;"Desconocido",TRIM('DATOS'!D158&amp;"")&lt;&gt;"Sin confirmar",TRIM('DATOS'!D158&amp;"")&lt;&gt;"Por decidir",TRIM('DATOS'!D158&amp;"")&lt;&gt;"Por comprobar")),NOT(AND(LEN(TRIM('DATOS'!E158&amp;""))&gt;0,TRIM('DATOS'!E158&amp;"")&lt;&gt;"Pendiente",TRIM('DATOS'!E158&amp;"")&lt;&gt;"Por confirmar",TRIM('DATOS'!E158&amp;"")&lt;&gt;"No consta",TRIM('DATOS'!E158&amp;"")&lt;&gt;"Desconocido",TRIM('DATOS'!E158&amp;"")&lt;&gt;"Sin confirmar",TRIM('DATOS'!E158&amp;"")&lt;&gt;"Por decidir",TRIM('DATOS'!E158&amp;"")&lt;&gt;"Por comprobar"))),2,IF('DATOS'!M158="No",2,IF('DATOS'!M158="Sí",0,IF(OR('DATOS'!D158&lt;&gt;'DATOS'!E158,LEN('DATOS'!E158)&gt;300,RIGHT(TRIM('DATOS'!E158),3)="...",RIGHT(TRIM('DATOS'!E158),1)="…"),1,0))))),2)</f>
      </c>
      <c r="S158" s="29">
        <f>IFERROR(IF(N158=0,"",IF('REFERENCIAS'!$Q$8&lt;&gt;1,2,IF(NOT(Y158=1),1,IF(OR(ABS('DATOS'!G158-ROUND('DATOS'!G158,'REFERENCIAS'!$E$8))&gt;0.00000001,ABS('DATOS'!H158-ROUND('DATOS'!H158,'REFERENCIAS'!$H$8))&gt;0.00000001,ABS('DATOS'!J158-ROUND('DATOS'!J158,'REFERENCIAS'!$K$8))&gt;0.00000001,IF(ISNUMBER('DATOS'!I158),ABS('DATOS'!I158-ROUND('DATOS'!I158,'REFERENCIAS'!$H$8))&gt;0.00000001,FALSE)),1,0)))),2)</f>
      </c>
      <c r="T158" s="29">
        <f>IFERROR(IF(N158=0,"",IF(NOT(AND(LEN(TRIM('DATOS'!F158&amp;""))&gt;0,TRIM('DATOS'!F158&amp;"")&lt;&gt;"Pendiente",TRIM('DATOS'!F158&amp;"")&lt;&gt;"Por confirmar",TRIM('DATOS'!F158&amp;"")&lt;&gt;"No consta",TRIM('DATOS'!F158&amp;"")&lt;&gt;"Desconocido",TRIM('DATOS'!F158&amp;"")&lt;&gt;"Sin confirmar",TRIM('DATOS'!F158&amp;"")&lt;&gt;"Por decidir",TRIM('DATOS'!F158&amp;"")&lt;&gt;"Por comprobar")),2,IF(COUNTIFS('REFERENCIAS'!$T$15:$T$34,"ID:"&amp;SUBSTITUTE(SUBSTITUTE(SUBSTITUTE(SUBSTITUTE(UPPER(TRIM('DATOS'!F158&amp;"")),"!","!E"),"*","!A"),"?","!B"),"~","!C"),'REFERENCIAS'!$H$15:$H$34,"&lt;&gt;")&gt;0,0,1))),2)</f>
      </c>
      <c r="U158" s="29" t="str">
        <f>'DATOS'!R158</f>
        <v>ID:</v>
      </c>
      <c r="V158" s="29" t="str">
        <f>'DATOS'!S158</f>
        <v>ID:</v>
      </c>
      <c r="W158" s="29" t="n">
        <f>IF(N158=0,0,COUNTIFS('REFERENCIAS'!$R$15:$R$64,U158))</f>
        <v>0</v>
      </c>
      <c r="X158" s="29" t="n">
        <f>IF(N158=0,0,COUNTIFS('DATOS'!$R$10:$R$509,U158,'DATOS'!$S$10:$S$509,V158))</f>
        <v>0</v>
      </c>
      <c r="Y158" s="29" t="n">
        <f>IF(AND(ISNUMBER('DATOS'!G158),ISNUMBER('DATOS'!H158),ISNUMBER('DATOS'!J158)),1,0)</f>
        <v>0</v>
      </c>
    </row>
    <row r="159" ht="64" customHeight="1">
      <c r="B159" s="26">
        <f>IF(N159=1,150,"")</f>
      </c>
      <c r="C159" s="26">
        <f>IF(AND(N159=1,LEN(TRIM('DATOS'!B159&amp;""))&gt;0),'DATOS'!B159,"")</f>
      </c>
      <c r="D159" s="26">
        <f>IF(AND(N159=1,LEN(TRIM('DATOS'!C159&amp;""))&gt;0),'DATOS'!C159,"")</f>
      </c>
      <c r="E159" s="26">
        <f>IF(NOT(ISNUMBER(P159)),"",IF(P159=2,"ROJO",IF(P159=1,"ÁMBAR","VERDE")))</f>
      </c>
      <c r="F159" s="26">
        <f>IF(NOT(ISNUMBER(Q159)),"",IF(Q159=2,"ROJO",IF(Q159=1,"ÁMBAR","VERDE")))</f>
      </c>
      <c r="G159" s="26">
        <f>IF(NOT(ISNUMBER(R159)),"",IF(R159=2,"ROJO",IF(R159=1,"ÁMBAR","VERDE")))</f>
      </c>
      <c r="H159" s="26">
        <f>IF(NOT(ISNUMBER(S159)),"",IF(S159=2,"ROJO",IF(S159=1,"ÁMBAR","VERDE")))</f>
      </c>
      <c r="I159" s="26">
        <f>IF(NOT(ISNUMBER(T159)),"",IF(T159=2,"ROJO",IF(T159=1,"ÁMBAR","VERDE")))</f>
      </c>
      <c r="J159" s="26">
        <f>IF(NOT(ISNUMBER(O159)),"",IF(O159=2,"ROJO",IF(O159=1,"ÁMBAR","VERDE")))</f>
      </c>
      <c r="K159" s="26">
        <f>IFERROR(IF(AND(N159=1,LEN(TRIM('DATOS'!N159&amp;""))&gt;0),'DATOS'!N159,""),"Hay una entrada con error. Corregimos el dato antes de cerrar la comprobación.")</f>
      </c>
      <c r="L159" s="26">
        <f>IFERROR(IF(N159=0,"",IF(O159&gt;0,"Completamos datos, claves o motivo. ","")&amp;IF(P159&gt;0,"Cotejamos precios e importe. ","")&amp;IF(Q159&gt;0,"Aclaramos el cero. ","")&amp;IF(R159&gt;0,"Comprobamos el texto. ","")&amp;IF(S159&gt;0,"Revisamos decimales visibles. ","")&amp;IF(T159&gt;0,"Confirmamos la unidad.","")),"Hay una entrada con error. Corregimos el dato antes de cerrar la comprobación.")</f>
      </c>
      <c r="N159" s="29" t="n">
        <f>IF(COUNTA('DATOS'!B159:O159)&gt;0,1,0)</f>
        <v>0</v>
      </c>
      <c r="O159" s="29">
        <f>IFERROR(IF(N159=0,"",IF(OR(NOT(AND(LEN(TRIM('DATOS'!B159&amp;""))&gt;0,TRIM('DATOS'!B159&amp;"")&lt;&gt;"Pendiente",TRIM('DATOS'!B159&amp;"")&lt;&gt;"Por confirmar",TRIM('DATOS'!B159&amp;"")&lt;&gt;"No consta",TRIM('DATOS'!B159&amp;"")&lt;&gt;"Desconocido",TRIM('DATOS'!B159&amp;"")&lt;&gt;"Sin confirmar",TRIM('DATOS'!B159&amp;"")&lt;&gt;"Por decidir",TRIM('DATOS'!B159&amp;"")&lt;&gt;"Por comprobar")),NOT(AND(LEN(TRIM('DATOS'!C159&amp;""))&gt;0,TRIM('DATOS'!C159&amp;"")&lt;&gt;"Pendiente",TRIM('DATOS'!C159&amp;"")&lt;&gt;"Por confirmar",TRIM('DATOS'!C159&amp;"")&lt;&gt;"No consta",TRIM('DATOS'!C159&amp;"")&lt;&gt;"Desconocido",TRIM('DATOS'!C159&amp;"")&lt;&gt;"Sin confirmar",TRIM('DATOS'!C159&amp;"")&lt;&gt;"Por decidir",TRIM('DATOS'!C159&amp;"")&lt;&gt;"Por comprobar")),NOT(AND(LEN(TRIM('DATOS'!D159&amp;""))&gt;0,TRIM('DATOS'!D159&amp;"")&lt;&gt;"Pendiente",TRIM('DATOS'!D159&amp;"")&lt;&gt;"Por confirmar",TRIM('DATOS'!D159&amp;"")&lt;&gt;"No consta",TRIM('DATOS'!D159&amp;"")&lt;&gt;"Desconocido",TRIM('DATOS'!D159&amp;"")&lt;&gt;"Sin confirmar",TRIM('DATOS'!D159&amp;"")&lt;&gt;"Por decidir",TRIM('DATOS'!D159&amp;"")&lt;&gt;"Por comprobar")),NOT(AND(LEN(TRIM('DATOS'!E159&amp;""))&gt;0,TRIM('DATOS'!E159&amp;"")&lt;&gt;"Pendiente",TRIM('DATOS'!E159&amp;"")&lt;&gt;"Por confirmar",TRIM('DATOS'!E159&amp;"")&lt;&gt;"No consta",TRIM('DATOS'!E159&amp;"")&lt;&gt;"Desconocido",TRIM('DATOS'!E159&amp;"")&lt;&gt;"Sin confirmar",TRIM('DATOS'!E159&amp;"")&lt;&gt;"Por decidir",TRIM('DATOS'!E159&amp;"")&lt;&gt;"Por comprobar")),NOT(AND(LEN(TRIM('DATOS'!F159&amp;""))&gt;0,TRIM('DATOS'!F159&amp;"")&lt;&gt;"Pendiente",TRIM('DATOS'!F159&amp;"")&lt;&gt;"Por confirmar",TRIM('DATOS'!F159&amp;"")&lt;&gt;"No consta",TRIM('DATOS'!F159&amp;"")&lt;&gt;"Desconocido",TRIM('DATOS'!F159&amp;"")&lt;&gt;"Sin confirmar",TRIM('DATOS'!F159&amp;"")&lt;&gt;"Por decidir",TRIM('DATOS'!F159&amp;"")&lt;&gt;"Por comprobar")),NOT(AND(LEN(TRIM('DATOS'!N159&amp;""))&gt;0,TRIM('DATOS'!N159&amp;"")&lt;&gt;"Pendiente",TRIM('DATOS'!N159&amp;"")&lt;&gt;"Por confirmar",TRIM('DATOS'!N159&amp;"")&lt;&gt;"No consta",TRIM('DATOS'!N159&amp;"")&lt;&gt;"Desconocido",TRIM('DATOS'!N159&amp;"")&lt;&gt;"Sin confirmar",TRIM('DATOS'!N159&amp;"")&lt;&gt;"Por decidir",TRIM('DATOS'!N159&amp;"")&lt;&gt;"Por comprobar")),NOT(Y159=1),W159&lt;&gt;1,X159&gt;1,NOT(OR(LEN(TRIM('DATOS'!K159&amp;""))=0,'DATOS'!K159="Sin valorar",'DATOS'!K159="Sin coste documentado",'DATOS'!K159="Incluido en otra partida",'DATOS'!K159="Por confirmar")),NOT(OR(LEN(TRIM('DATOS'!M159&amp;""))=0,'DATOS'!M159="Sí",'DATOS'!M159="No",'DATOS'!M159="Por confirmar")),NOT(OR(LEN(TRIM('DATOS'!O159&amp;""))=0,'DATOS'!O159="Comparamos",'DATOS'!O159="No existe",'DATOS'!O159="Por confirmar"))),2,IF(AND(OR('DATOS'!G159&lt;0,'DATOS'!H159&lt;0,'DATOS'!J159&lt;0),NOT(AND(LEN(TRIM('DATOS'!L159&amp;""))&gt;0,TRIM('DATOS'!L159&amp;"")&lt;&gt;"Pendiente",TRIM('DATOS'!L159&amp;"")&lt;&gt;"Por confirmar",TRIM('DATOS'!L159&amp;"")&lt;&gt;"No consta",TRIM('DATOS'!L159&amp;"")&lt;&gt;"Desconocido",TRIM('DATOS'!L159&amp;"")&lt;&gt;"Sin confirmar",TRIM('DATOS'!L159&amp;"")&lt;&gt;"Por decidir",TRIM('DATOS'!L159&amp;"")&lt;&gt;"Por comprobar"))),1,0))),2)</f>
      </c>
      <c r="P159" s="29">
        <f>IFERROR(IF(N159=0,"",IF(NOT(Y159=1),1,IF('REFERENCIAS'!$Q$8&lt;&gt;1,2,IF(ABS('DATOS'!J159-ROUND('DATOS'!G159*'DATOS'!H159,'REFERENCIAS'!$K$8))&gt;0.00000001,2,IF('DATOS'!O159="No existe",IF(LEN(TRIM('DATOS'!I159&amp;""))=0,0,2),IF('DATOS'!O159="Comparamos",IF(LEN(TRIM('DATOS'!I159&amp;""))=0,1,IF(ISNUMBER('DATOS'!I159),IF(ABS('DATOS'!H159-'DATOS'!I159)&gt;0.00000001,2,0),2)),1)))))),2)</f>
      </c>
      <c r="Q159" s="29">
        <f>IFERROR(IF(N159=0,"",IF(NOT(Y159=1),1,IF('DATOS'!K159="Sin valorar",2,IF('DATOS'!G159=0,1,IF(OR('DATOS'!H159=0,'DATOS'!J159=0),IF(AND(OR('DATOS'!K159="Sin coste documentado",'DATOS'!K159="Incluido en otra partida"),AND(LEN(TRIM('DATOS'!L159&amp;""))&gt;0,TRIM('DATOS'!L159&amp;"")&lt;&gt;"Pendiente",TRIM('DATOS'!L159&amp;"")&lt;&gt;"Por confirmar",TRIM('DATOS'!L159&amp;"")&lt;&gt;"No consta",TRIM('DATOS'!L159&amp;"")&lt;&gt;"Desconocido",TRIM('DATOS'!L159&amp;"")&lt;&gt;"Sin confirmar",TRIM('DATOS'!L159&amp;"")&lt;&gt;"Por decidir",TRIM('DATOS'!L159&amp;"")&lt;&gt;"Por comprobar")),0,1),0))))),2)</f>
      </c>
      <c r="R159" s="29">
        <f>IFERROR(IF(N159=0,"",IF(OR(NOT(AND(LEN(TRIM('DATOS'!D159&amp;""))&gt;0,TRIM('DATOS'!D159&amp;"")&lt;&gt;"Pendiente",TRIM('DATOS'!D159&amp;"")&lt;&gt;"Por confirmar",TRIM('DATOS'!D159&amp;"")&lt;&gt;"No consta",TRIM('DATOS'!D159&amp;"")&lt;&gt;"Desconocido",TRIM('DATOS'!D159&amp;"")&lt;&gt;"Sin confirmar",TRIM('DATOS'!D159&amp;"")&lt;&gt;"Por decidir",TRIM('DATOS'!D159&amp;"")&lt;&gt;"Por comprobar")),NOT(AND(LEN(TRIM('DATOS'!E159&amp;""))&gt;0,TRIM('DATOS'!E159&amp;"")&lt;&gt;"Pendiente",TRIM('DATOS'!E159&amp;"")&lt;&gt;"Por confirmar",TRIM('DATOS'!E159&amp;"")&lt;&gt;"No consta",TRIM('DATOS'!E159&amp;"")&lt;&gt;"Desconocido",TRIM('DATOS'!E159&amp;"")&lt;&gt;"Sin confirmar",TRIM('DATOS'!E159&amp;"")&lt;&gt;"Por decidir",TRIM('DATOS'!E159&amp;"")&lt;&gt;"Por comprobar"))),2,IF('DATOS'!M159="No",2,IF('DATOS'!M159="Sí",0,IF(OR('DATOS'!D159&lt;&gt;'DATOS'!E159,LEN('DATOS'!E159)&gt;300,RIGHT(TRIM('DATOS'!E159),3)="...",RIGHT(TRIM('DATOS'!E159),1)="…"),1,0))))),2)</f>
      </c>
      <c r="S159" s="29">
        <f>IFERROR(IF(N159=0,"",IF('REFERENCIAS'!$Q$8&lt;&gt;1,2,IF(NOT(Y159=1),1,IF(OR(ABS('DATOS'!G159-ROUND('DATOS'!G159,'REFERENCIAS'!$E$8))&gt;0.00000001,ABS('DATOS'!H159-ROUND('DATOS'!H159,'REFERENCIAS'!$H$8))&gt;0.00000001,ABS('DATOS'!J159-ROUND('DATOS'!J159,'REFERENCIAS'!$K$8))&gt;0.00000001,IF(ISNUMBER('DATOS'!I159),ABS('DATOS'!I159-ROUND('DATOS'!I159,'REFERENCIAS'!$H$8))&gt;0.00000001,FALSE)),1,0)))),2)</f>
      </c>
      <c r="T159" s="29">
        <f>IFERROR(IF(N159=0,"",IF(NOT(AND(LEN(TRIM('DATOS'!F159&amp;""))&gt;0,TRIM('DATOS'!F159&amp;"")&lt;&gt;"Pendiente",TRIM('DATOS'!F159&amp;"")&lt;&gt;"Por confirmar",TRIM('DATOS'!F159&amp;"")&lt;&gt;"No consta",TRIM('DATOS'!F159&amp;"")&lt;&gt;"Desconocido",TRIM('DATOS'!F159&amp;"")&lt;&gt;"Sin confirmar",TRIM('DATOS'!F159&amp;"")&lt;&gt;"Por decidir",TRIM('DATOS'!F159&amp;"")&lt;&gt;"Por comprobar")),2,IF(COUNTIFS('REFERENCIAS'!$T$15:$T$34,"ID:"&amp;SUBSTITUTE(SUBSTITUTE(SUBSTITUTE(SUBSTITUTE(UPPER(TRIM('DATOS'!F159&amp;"")),"!","!E"),"*","!A"),"?","!B"),"~","!C"),'REFERENCIAS'!$H$15:$H$34,"&lt;&gt;")&gt;0,0,1))),2)</f>
      </c>
      <c r="U159" s="29" t="str">
        <f>'DATOS'!R159</f>
        <v>ID:</v>
      </c>
      <c r="V159" s="29" t="str">
        <f>'DATOS'!S159</f>
        <v>ID:</v>
      </c>
      <c r="W159" s="29" t="n">
        <f>IF(N159=0,0,COUNTIFS('REFERENCIAS'!$R$15:$R$64,U159))</f>
        <v>0</v>
      </c>
      <c r="X159" s="29" t="n">
        <f>IF(N159=0,0,COUNTIFS('DATOS'!$R$10:$R$509,U159,'DATOS'!$S$10:$S$509,V159))</f>
        <v>0</v>
      </c>
      <c r="Y159" s="29" t="n">
        <f>IF(AND(ISNUMBER('DATOS'!G159),ISNUMBER('DATOS'!H159),ISNUMBER('DATOS'!J159)),1,0)</f>
        <v>0</v>
      </c>
    </row>
    <row r="160" ht="64" customHeight="1">
      <c r="B160" s="26">
        <f>IF(N160=1,151,"")</f>
      </c>
      <c r="C160" s="26">
        <f>IF(AND(N160=1,LEN(TRIM('DATOS'!B160&amp;""))&gt;0),'DATOS'!B160,"")</f>
      </c>
      <c r="D160" s="26">
        <f>IF(AND(N160=1,LEN(TRIM('DATOS'!C160&amp;""))&gt;0),'DATOS'!C160,"")</f>
      </c>
      <c r="E160" s="26">
        <f>IF(NOT(ISNUMBER(P160)),"",IF(P160=2,"ROJO",IF(P160=1,"ÁMBAR","VERDE")))</f>
      </c>
      <c r="F160" s="26">
        <f>IF(NOT(ISNUMBER(Q160)),"",IF(Q160=2,"ROJO",IF(Q160=1,"ÁMBAR","VERDE")))</f>
      </c>
      <c r="G160" s="26">
        <f>IF(NOT(ISNUMBER(R160)),"",IF(R160=2,"ROJO",IF(R160=1,"ÁMBAR","VERDE")))</f>
      </c>
      <c r="H160" s="26">
        <f>IF(NOT(ISNUMBER(S160)),"",IF(S160=2,"ROJO",IF(S160=1,"ÁMBAR","VERDE")))</f>
      </c>
      <c r="I160" s="26">
        <f>IF(NOT(ISNUMBER(T160)),"",IF(T160=2,"ROJO",IF(T160=1,"ÁMBAR","VERDE")))</f>
      </c>
      <c r="J160" s="26">
        <f>IF(NOT(ISNUMBER(O160)),"",IF(O160=2,"ROJO",IF(O160=1,"ÁMBAR","VERDE")))</f>
      </c>
      <c r="K160" s="26">
        <f>IFERROR(IF(AND(N160=1,LEN(TRIM('DATOS'!N160&amp;""))&gt;0),'DATOS'!N160,""),"Hay una entrada con error. Corregimos el dato antes de cerrar la comprobación.")</f>
      </c>
      <c r="L160" s="26">
        <f>IFERROR(IF(N160=0,"",IF(O160&gt;0,"Completamos datos, claves o motivo. ","")&amp;IF(P160&gt;0,"Cotejamos precios e importe. ","")&amp;IF(Q160&gt;0,"Aclaramos el cero. ","")&amp;IF(R160&gt;0,"Comprobamos el texto. ","")&amp;IF(S160&gt;0,"Revisamos decimales visibles. ","")&amp;IF(T160&gt;0,"Confirmamos la unidad.","")),"Hay una entrada con error. Corregimos el dato antes de cerrar la comprobación.")</f>
      </c>
      <c r="N160" s="29" t="n">
        <f>IF(COUNTA('DATOS'!B160:O160)&gt;0,1,0)</f>
        <v>0</v>
      </c>
      <c r="O160" s="29">
        <f>IFERROR(IF(N160=0,"",IF(OR(NOT(AND(LEN(TRIM('DATOS'!B160&amp;""))&gt;0,TRIM('DATOS'!B160&amp;"")&lt;&gt;"Pendiente",TRIM('DATOS'!B160&amp;"")&lt;&gt;"Por confirmar",TRIM('DATOS'!B160&amp;"")&lt;&gt;"No consta",TRIM('DATOS'!B160&amp;"")&lt;&gt;"Desconocido",TRIM('DATOS'!B160&amp;"")&lt;&gt;"Sin confirmar",TRIM('DATOS'!B160&amp;"")&lt;&gt;"Por decidir",TRIM('DATOS'!B160&amp;"")&lt;&gt;"Por comprobar")),NOT(AND(LEN(TRIM('DATOS'!C160&amp;""))&gt;0,TRIM('DATOS'!C160&amp;"")&lt;&gt;"Pendiente",TRIM('DATOS'!C160&amp;"")&lt;&gt;"Por confirmar",TRIM('DATOS'!C160&amp;"")&lt;&gt;"No consta",TRIM('DATOS'!C160&amp;"")&lt;&gt;"Desconocido",TRIM('DATOS'!C160&amp;"")&lt;&gt;"Sin confirmar",TRIM('DATOS'!C160&amp;"")&lt;&gt;"Por decidir",TRIM('DATOS'!C160&amp;"")&lt;&gt;"Por comprobar")),NOT(AND(LEN(TRIM('DATOS'!D160&amp;""))&gt;0,TRIM('DATOS'!D160&amp;"")&lt;&gt;"Pendiente",TRIM('DATOS'!D160&amp;"")&lt;&gt;"Por confirmar",TRIM('DATOS'!D160&amp;"")&lt;&gt;"No consta",TRIM('DATOS'!D160&amp;"")&lt;&gt;"Desconocido",TRIM('DATOS'!D160&amp;"")&lt;&gt;"Sin confirmar",TRIM('DATOS'!D160&amp;"")&lt;&gt;"Por decidir",TRIM('DATOS'!D160&amp;"")&lt;&gt;"Por comprobar")),NOT(AND(LEN(TRIM('DATOS'!E160&amp;""))&gt;0,TRIM('DATOS'!E160&amp;"")&lt;&gt;"Pendiente",TRIM('DATOS'!E160&amp;"")&lt;&gt;"Por confirmar",TRIM('DATOS'!E160&amp;"")&lt;&gt;"No consta",TRIM('DATOS'!E160&amp;"")&lt;&gt;"Desconocido",TRIM('DATOS'!E160&amp;"")&lt;&gt;"Sin confirmar",TRIM('DATOS'!E160&amp;"")&lt;&gt;"Por decidir",TRIM('DATOS'!E160&amp;"")&lt;&gt;"Por comprobar")),NOT(AND(LEN(TRIM('DATOS'!F160&amp;""))&gt;0,TRIM('DATOS'!F160&amp;"")&lt;&gt;"Pendiente",TRIM('DATOS'!F160&amp;"")&lt;&gt;"Por confirmar",TRIM('DATOS'!F160&amp;"")&lt;&gt;"No consta",TRIM('DATOS'!F160&amp;"")&lt;&gt;"Desconocido",TRIM('DATOS'!F160&amp;"")&lt;&gt;"Sin confirmar",TRIM('DATOS'!F160&amp;"")&lt;&gt;"Por decidir",TRIM('DATOS'!F160&amp;"")&lt;&gt;"Por comprobar")),NOT(AND(LEN(TRIM('DATOS'!N160&amp;""))&gt;0,TRIM('DATOS'!N160&amp;"")&lt;&gt;"Pendiente",TRIM('DATOS'!N160&amp;"")&lt;&gt;"Por confirmar",TRIM('DATOS'!N160&amp;"")&lt;&gt;"No consta",TRIM('DATOS'!N160&amp;"")&lt;&gt;"Desconocido",TRIM('DATOS'!N160&amp;"")&lt;&gt;"Sin confirmar",TRIM('DATOS'!N160&amp;"")&lt;&gt;"Por decidir",TRIM('DATOS'!N160&amp;"")&lt;&gt;"Por comprobar")),NOT(Y160=1),W160&lt;&gt;1,X160&gt;1,NOT(OR(LEN(TRIM('DATOS'!K160&amp;""))=0,'DATOS'!K160="Sin valorar",'DATOS'!K160="Sin coste documentado",'DATOS'!K160="Incluido en otra partida",'DATOS'!K160="Por confirmar")),NOT(OR(LEN(TRIM('DATOS'!M160&amp;""))=0,'DATOS'!M160="Sí",'DATOS'!M160="No",'DATOS'!M160="Por confirmar")),NOT(OR(LEN(TRIM('DATOS'!O160&amp;""))=0,'DATOS'!O160="Comparamos",'DATOS'!O160="No existe",'DATOS'!O160="Por confirmar"))),2,IF(AND(OR('DATOS'!G160&lt;0,'DATOS'!H160&lt;0,'DATOS'!J160&lt;0),NOT(AND(LEN(TRIM('DATOS'!L160&amp;""))&gt;0,TRIM('DATOS'!L160&amp;"")&lt;&gt;"Pendiente",TRIM('DATOS'!L160&amp;"")&lt;&gt;"Por confirmar",TRIM('DATOS'!L160&amp;"")&lt;&gt;"No consta",TRIM('DATOS'!L160&amp;"")&lt;&gt;"Desconocido",TRIM('DATOS'!L160&amp;"")&lt;&gt;"Sin confirmar",TRIM('DATOS'!L160&amp;"")&lt;&gt;"Por decidir",TRIM('DATOS'!L160&amp;"")&lt;&gt;"Por comprobar"))),1,0))),2)</f>
      </c>
      <c r="P160" s="29">
        <f>IFERROR(IF(N160=0,"",IF(NOT(Y160=1),1,IF('REFERENCIAS'!$Q$8&lt;&gt;1,2,IF(ABS('DATOS'!J160-ROUND('DATOS'!G160*'DATOS'!H160,'REFERENCIAS'!$K$8))&gt;0.00000001,2,IF('DATOS'!O160="No existe",IF(LEN(TRIM('DATOS'!I160&amp;""))=0,0,2),IF('DATOS'!O160="Comparamos",IF(LEN(TRIM('DATOS'!I160&amp;""))=0,1,IF(ISNUMBER('DATOS'!I160),IF(ABS('DATOS'!H160-'DATOS'!I160)&gt;0.00000001,2,0),2)),1)))))),2)</f>
      </c>
      <c r="Q160" s="29">
        <f>IFERROR(IF(N160=0,"",IF(NOT(Y160=1),1,IF('DATOS'!K160="Sin valorar",2,IF('DATOS'!G160=0,1,IF(OR('DATOS'!H160=0,'DATOS'!J160=0),IF(AND(OR('DATOS'!K160="Sin coste documentado",'DATOS'!K160="Incluido en otra partida"),AND(LEN(TRIM('DATOS'!L160&amp;""))&gt;0,TRIM('DATOS'!L160&amp;"")&lt;&gt;"Pendiente",TRIM('DATOS'!L160&amp;"")&lt;&gt;"Por confirmar",TRIM('DATOS'!L160&amp;"")&lt;&gt;"No consta",TRIM('DATOS'!L160&amp;"")&lt;&gt;"Desconocido",TRIM('DATOS'!L160&amp;"")&lt;&gt;"Sin confirmar",TRIM('DATOS'!L160&amp;"")&lt;&gt;"Por decidir",TRIM('DATOS'!L160&amp;"")&lt;&gt;"Por comprobar")),0,1),0))))),2)</f>
      </c>
      <c r="R160" s="29">
        <f>IFERROR(IF(N160=0,"",IF(OR(NOT(AND(LEN(TRIM('DATOS'!D160&amp;""))&gt;0,TRIM('DATOS'!D160&amp;"")&lt;&gt;"Pendiente",TRIM('DATOS'!D160&amp;"")&lt;&gt;"Por confirmar",TRIM('DATOS'!D160&amp;"")&lt;&gt;"No consta",TRIM('DATOS'!D160&amp;"")&lt;&gt;"Desconocido",TRIM('DATOS'!D160&amp;"")&lt;&gt;"Sin confirmar",TRIM('DATOS'!D160&amp;"")&lt;&gt;"Por decidir",TRIM('DATOS'!D160&amp;"")&lt;&gt;"Por comprobar")),NOT(AND(LEN(TRIM('DATOS'!E160&amp;""))&gt;0,TRIM('DATOS'!E160&amp;"")&lt;&gt;"Pendiente",TRIM('DATOS'!E160&amp;"")&lt;&gt;"Por confirmar",TRIM('DATOS'!E160&amp;"")&lt;&gt;"No consta",TRIM('DATOS'!E160&amp;"")&lt;&gt;"Desconocido",TRIM('DATOS'!E160&amp;"")&lt;&gt;"Sin confirmar",TRIM('DATOS'!E160&amp;"")&lt;&gt;"Por decidir",TRIM('DATOS'!E160&amp;"")&lt;&gt;"Por comprobar"))),2,IF('DATOS'!M160="No",2,IF('DATOS'!M160="Sí",0,IF(OR('DATOS'!D160&lt;&gt;'DATOS'!E160,LEN('DATOS'!E160)&gt;300,RIGHT(TRIM('DATOS'!E160),3)="...",RIGHT(TRIM('DATOS'!E160),1)="…"),1,0))))),2)</f>
      </c>
      <c r="S160" s="29">
        <f>IFERROR(IF(N160=0,"",IF('REFERENCIAS'!$Q$8&lt;&gt;1,2,IF(NOT(Y160=1),1,IF(OR(ABS('DATOS'!G160-ROUND('DATOS'!G160,'REFERENCIAS'!$E$8))&gt;0.00000001,ABS('DATOS'!H160-ROUND('DATOS'!H160,'REFERENCIAS'!$H$8))&gt;0.00000001,ABS('DATOS'!J160-ROUND('DATOS'!J160,'REFERENCIAS'!$K$8))&gt;0.00000001,IF(ISNUMBER('DATOS'!I160),ABS('DATOS'!I160-ROUND('DATOS'!I160,'REFERENCIAS'!$H$8))&gt;0.00000001,FALSE)),1,0)))),2)</f>
      </c>
      <c r="T160" s="29">
        <f>IFERROR(IF(N160=0,"",IF(NOT(AND(LEN(TRIM('DATOS'!F160&amp;""))&gt;0,TRIM('DATOS'!F160&amp;"")&lt;&gt;"Pendiente",TRIM('DATOS'!F160&amp;"")&lt;&gt;"Por confirmar",TRIM('DATOS'!F160&amp;"")&lt;&gt;"No consta",TRIM('DATOS'!F160&amp;"")&lt;&gt;"Desconocido",TRIM('DATOS'!F160&amp;"")&lt;&gt;"Sin confirmar",TRIM('DATOS'!F160&amp;"")&lt;&gt;"Por decidir",TRIM('DATOS'!F160&amp;"")&lt;&gt;"Por comprobar")),2,IF(COUNTIFS('REFERENCIAS'!$T$15:$T$34,"ID:"&amp;SUBSTITUTE(SUBSTITUTE(SUBSTITUTE(SUBSTITUTE(UPPER(TRIM('DATOS'!F160&amp;"")),"!","!E"),"*","!A"),"?","!B"),"~","!C"),'REFERENCIAS'!$H$15:$H$34,"&lt;&gt;")&gt;0,0,1))),2)</f>
      </c>
      <c r="U160" s="29" t="str">
        <f>'DATOS'!R160</f>
        <v>ID:</v>
      </c>
      <c r="V160" s="29" t="str">
        <f>'DATOS'!S160</f>
        <v>ID:</v>
      </c>
      <c r="W160" s="29" t="n">
        <f>IF(N160=0,0,COUNTIFS('REFERENCIAS'!$R$15:$R$64,U160))</f>
        <v>0</v>
      </c>
      <c r="X160" s="29" t="n">
        <f>IF(N160=0,0,COUNTIFS('DATOS'!$R$10:$R$509,U160,'DATOS'!$S$10:$S$509,V160))</f>
        <v>0</v>
      </c>
      <c r="Y160" s="29" t="n">
        <f>IF(AND(ISNUMBER('DATOS'!G160),ISNUMBER('DATOS'!H160),ISNUMBER('DATOS'!J160)),1,0)</f>
        <v>0</v>
      </c>
    </row>
    <row r="161" ht="64" customHeight="1">
      <c r="B161" s="26">
        <f>IF(N161=1,152,"")</f>
      </c>
      <c r="C161" s="26">
        <f>IF(AND(N161=1,LEN(TRIM('DATOS'!B161&amp;""))&gt;0),'DATOS'!B161,"")</f>
      </c>
      <c r="D161" s="26">
        <f>IF(AND(N161=1,LEN(TRIM('DATOS'!C161&amp;""))&gt;0),'DATOS'!C161,"")</f>
      </c>
      <c r="E161" s="26">
        <f>IF(NOT(ISNUMBER(P161)),"",IF(P161=2,"ROJO",IF(P161=1,"ÁMBAR","VERDE")))</f>
      </c>
      <c r="F161" s="26">
        <f>IF(NOT(ISNUMBER(Q161)),"",IF(Q161=2,"ROJO",IF(Q161=1,"ÁMBAR","VERDE")))</f>
      </c>
      <c r="G161" s="26">
        <f>IF(NOT(ISNUMBER(R161)),"",IF(R161=2,"ROJO",IF(R161=1,"ÁMBAR","VERDE")))</f>
      </c>
      <c r="H161" s="26">
        <f>IF(NOT(ISNUMBER(S161)),"",IF(S161=2,"ROJO",IF(S161=1,"ÁMBAR","VERDE")))</f>
      </c>
      <c r="I161" s="26">
        <f>IF(NOT(ISNUMBER(T161)),"",IF(T161=2,"ROJO",IF(T161=1,"ÁMBAR","VERDE")))</f>
      </c>
      <c r="J161" s="26">
        <f>IF(NOT(ISNUMBER(O161)),"",IF(O161=2,"ROJO",IF(O161=1,"ÁMBAR","VERDE")))</f>
      </c>
      <c r="K161" s="26">
        <f>IFERROR(IF(AND(N161=1,LEN(TRIM('DATOS'!N161&amp;""))&gt;0),'DATOS'!N161,""),"Hay una entrada con error. Corregimos el dato antes de cerrar la comprobación.")</f>
      </c>
      <c r="L161" s="26">
        <f>IFERROR(IF(N161=0,"",IF(O161&gt;0,"Completamos datos, claves o motivo. ","")&amp;IF(P161&gt;0,"Cotejamos precios e importe. ","")&amp;IF(Q161&gt;0,"Aclaramos el cero. ","")&amp;IF(R161&gt;0,"Comprobamos el texto. ","")&amp;IF(S161&gt;0,"Revisamos decimales visibles. ","")&amp;IF(T161&gt;0,"Confirmamos la unidad.","")),"Hay una entrada con error. Corregimos el dato antes de cerrar la comprobación.")</f>
      </c>
      <c r="N161" s="29" t="n">
        <f>IF(COUNTA('DATOS'!B161:O161)&gt;0,1,0)</f>
        <v>0</v>
      </c>
      <c r="O161" s="29">
        <f>IFERROR(IF(N161=0,"",IF(OR(NOT(AND(LEN(TRIM('DATOS'!B161&amp;""))&gt;0,TRIM('DATOS'!B161&amp;"")&lt;&gt;"Pendiente",TRIM('DATOS'!B161&amp;"")&lt;&gt;"Por confirmar",TRIM('DATOS'!B161&amp;"")&lt;&gt;"No consta",TRIM('DATOS'!B161&amp;"")&lt;&gt;"Desconocido",TRIM('DATOS'!B161&amp;"")&lt;&gt;"Sin confirmar",TRIM('DATOS'!B161&amp;"")&lt;&gt;"Por decidir",TRIM('DATOS'!B161&amp;"")&lt;&gt;"Por comprobar")),NOT(AND(LEN(TRIM('DATOS'!C161&amp;""))&gt;0,TRIM('DATOS'!C161&amp;"")&lt;&gt;"Pendiente",TRIM('DATOS'!C161&amp;"")&lt;&gt;"Por confirmar",TRIM('DATOS'!C161&amp;"")&lt;&gt;"No consta",TRIM('DATOS'!C161&amp;"")&lt;&gt;"Desconocido",TRIM('DATOS'!C161&amp;"")&lt;&gt;"Sin confirmar",TRIM('DATOS'!C161&amp;"")&lt;&gt;"Por decidir",TRIM('DATOS'!C161&amp;"")&lt;&gt;"Por comprobar")),NOT(AND(LEN(TRIM('DATOS'!D161&amp;""))&gt;0,TRIM('DATOS'!D161&amp;"")&lt;&gt;"Pendiente",TRIM('DATOS'!D161&amp;"")&lt;&gt;"Por confirmar",TRIM('DATOS'!D161&amp;"")&lt;&gt;"No consta",TRIM('DATOS'!D161&amp;"")&lt;&gt;"Desconocido",TRIM('DATOS'!D161&amp;"")&lt;&gt;"Sin confirmar",TRIM('DATOS'!D161&amp;"")&lt;&gt;"Por decidir",TRIM('DATOS'!D161&amp;"")&lt;&gt;"Por comprobar")),NOT(AND(LEN(TRIM('DATOS'!E161&amp;""))&gt;0,TRIM('DATOS'!E161&amp;"")&lt;&gt;"Pendiente",TRIM('DATOS'!E161&amp;"")&lt;&gt;"Por confirmar",TRIM('DATOS'!E161&amp;"")&lt;&gt;"No consta",TRIM('DATOS'!E161&amp;"")&lt;&gt;"Desconocido",TRIM('DATOS'!E161&amp;"")&lt;&gt;"Sin confirmar",TRIM('DATOS'!E161&amp;"")&lt;&gt;"Por decidir",TRIM('DATOS'!E161&amp;"")&lt;&gt;"Por comprobar")),NOT(AND(LEN(TRIM('DATOS'!F161&amp;""))&gt;0,TRIM('DATOS'!F161&amp;"")&lt;&gt;"Pendiente",TRIM('DATOS'!F161&amp;"")&lt;&gt;"Por confirmar",TRIM('DATOS'!F161&amp;"")&lt;&gt;"No consta",TRIM('DATOS'!F161&amp;"")&lt;&gt;"Desconocido",TRIM('DATOS'!F161&amp;"")&lt;&gt;"Sin confirmar",TRIM('DATOS'!F161&amp;"")&lt;&gt;"Por decidir",TRIM('DATOS'!F161&amp;"")&lt;&gt;"Por comprobar")),NOT(AND(LEN(TRIM('DATOS'!N161&amp;""))&gt;0,TRIM('DATOS'!N161&amp;"")&lt;&gt;"Pendiente",TRIM('DATOS'!N161&amp;"")&lt;&gt;"Por confirmar",TRIM('DATOS'!N161&amp;"")&lt;&gt;"No consta",TRIM('DATOS'!N161&amp;"")&lt;&gt;"Desconocido",TRIM('DATOS'!N161&amp;"")&lt;&gt;"Sin confirmar",TRIM('DATOS'!N161&amp;"")&lt;&gt;"Por decidir",TRIM('DATOS'!N161&amp;"")&lt;&gt;"Por comprobar")),NOT(Y161=1),W161&lt;&gt;1,X161&gt;1,NOT(OR(LEN(TRIM('DATOS'!K161&amp;""))=0,'DATOS'!K161="Sin valorar",'DATOS'!K161="Sin coste documentado",'DATOS'!K161="Incluido en otra partida",'DATOS'!K161="Por confirmar")),NOT(OR(LEN(TRIM('DATOS'!M161&amp;""))=0,'DATOS'!M161="Sí",'DATOS'!M161="No",'DATOS'!M161="Por confirmar")),NOT(OR(LEN(TRIM('DATOS'!O161&amp;""))=0,'DATOS'!O161="Comparamos",'DATOS'!O161="No existe",'DATOS'!O161="Por confirmar"))),2,IF(AND(OR('DATOS'!G161&lt;0,'DATOS'!H161&lt;0,'DATOS'!J161&lt;0),NOT(AND(LEN(TRIM('DATOS'!L161&amp;""))&gt;0,TRIM('DATOS'!L161&amp;"")&lt;&gt;"Pendiente",TRIM('DATOS'!L161&amp;"")&lt;&gt;"Por confirmar",TRIM('DATOS'!L161&amp;"")&lt;&gt;"No consta",TRIM('DATOS'!L161&amp;"")&lt;&gt;"Desconocido",TRIM('DATOS'!L161&amp;"")&lt;&gt;"Sin confirmar",TRIM('DATOS'!L161&amp;"")&lt;&gt;"Por decidir",TRIM('DATOS'!L161&amp;"")&lt;&gt;"Por comprobar"))),1,0))),2)</f>
      </c>
      <c r="P161" s="29">
        <f>IFERROR(IF(N161=0,"",IF(NOT(Y161=1),1,IF('REFERENCIAS'!$Q$8&lt;&gt;1,2,IF(ABS('DATOS'!J161-ROUND('DATOS'!G161*'DATOS'!H161,'REFERENCIAS'!$K$8))&gt;0.00000001,2,IF('DATOS'!O161="No existe",IF(LEN(TRIM('DATOS'!I161&amp;""))=0,0,2),IF('DATOS'!O161="Comparamos",IF(LEN(TRIM('DATOS'!I161&amp;""))=0,1,IF(ISNUMBER('DATOS'!I161),IF(ABS('DATOS'!H161-'DATOS'!I161)&gt;0.00000001,2,0),2)),1)))))),2)</f>
      </c>
      <c r="Q161" s="29">
        <f>IFERROR(IF(N161=0,"",IF(NOT(Y161=1),1,IF('DATOS'!K161="Sin valorar",2,IF('DATOS'!G161=0,1,IF(OR('DATOS'!H161=0,'DATOS'!J161=0),IF(AND(OR('DATOS'!K161="Sin coste documentado",'DATOS'!K161="Incluido en otra partida"),AND(LEN(TRIM('DATOS'!L161&amp;""))&gt;0,TRIM('DATOS'!L161&amp;"")&lt;&gt;"Pendiente",TRIM('DATOS'!L161&amp;"")&lt;&gt;"Por confirmar",TRIM('DATOS'!L161&amp;"")&lt;&gt;"No consta",TRIM('DATOS'!L161&amp;"")&lt;&gt;"Desconocido",TRIM('DATOS'!L161&amp;"")&lt;&gt;"Sin confirmar",TRIM('DATOS'!L161&amp;"")&lt;&gt;"Por decidir",TRIM('DATOS'!L161&amp;"")&lt;&gt;"Por comprobar")),0,1),0))))),2)</f>
      </c>
      <c r="R161" s="29">
        <f>IFERROR(IF(N161=0,"",IF(OR(NOT(AND(LEN(TRIM('DATOS'!D161&amp;""))&gt;0,TRIM('DATOS'!D161&amp;"")&lt;&gt;"Pendiente",TRIM('DATOS'!D161&amp;"")&lt;&gt;"Por confirmar",TRIM('DATOS'!D161&amp;"")&lt;&gt;"No consta",TRIM('DATOS'!D161&amp;"")&lt;&gt;"Desconocido",TRIM('DATOS'!D161&amp;"")&lt;&gt;"Sin confirmar",TRIM('DATOS'!D161&amp;"")&lt;&gt;"Por decidir",TRIM('DATOS'!D161&amp;"")&lt;&gt;"Por comprobar")),NOT(AND(LEN(TRIM('DATOS'!E161&amp;""))&gt;0,TRIM('DATOS'!E161&amp;"")&lt;&gt;"Pendiente",TRIM('DATOS'!E161&amp;"")&lt;&gt;"Por confirmar",TRIM('DATOS'!E161&amp;"")&lt;&gt;"No consta",TRIM('DATOS'!E161&amp;"")&lt;&gt;"Desconocido",TRIM('DATOS'!E161&amp;"")&lt;&gt;"Sin confirmar",TRIM('DATOS'!E161&amp;"")&lt;&gt;"Por decidir",TRIM('DATOS'!E161&amp;"")&lt;&gt;"Por comprobar"))),2,IF('DATOS'!M161="No",2,IF('DATOS'!M161="Sí",0,IF(OR('DATOS'!D161&lt;&gt;'DATOS'!E161,LEN('DATOS'!E161)&gt;300,RIGHT(TRIM('DATOS'!E161),3)="...",RIGHT(TRIM('DATOS'!E161),1)="…"),1,0))))),2)</f>
      </c>
      <c r="S161" s="29">
        <f>IFERROR(IF(N161=0,"",IF('REFERENCIAS'!$Q$8&lt;&gt;1,2,IF(NOT(Y161=1),1,IF(OR(ABS('DATOS'!G161-ROUND('DATOS'!G161,'REFERENCIAS'!$E$8))&gt;0.00000001,ABS('DATOS'!H161-ROUND('DATOS'!H161,'REFERENCIAS'!$H$8))&gt;0.00000001,ABS('DATOS'!J161-ROUND('DATOS'!J161,'REFERENCIAS'!$K$8))&gt;0.00000001,IF(ISNUMBER('DATOS'!I161),ABS('DATOS'!I161-ROUND('DATOS'!I161,'REFERENCIAS'!$H$8))&gt;0.00000001,FALSE)),1,0)))),2)</f>
      </c>
      <c r="T161" s="29">
        <f>IFERROR(IF(N161=0,"",IF(NOT(AND(LEN(TRIM('DATOS'!F161&amp;""))&gt;0,TRIM('DATOS'!F161&amp;"")&lt;&gt;"Pendiente",TRIM('DATOS'!F161&amp;"")&lt;&gt;"Por confirmar",TRIM('DATOS'!F161&amp;"")&lt;&gt;"No consta",TRIM('DATOS'!F161&amp;"")&lt;&gt;"Desconocido",TRIM('DATOS'!F161&amp;"")&lt;&gt;"Sin confirmar",TRIM('DATOS'!F161&amp;"")&lt;&gt;"Por decidir",TRIM('DATOS'!F161&amp;"")&lt;&gt;"Por comprobar")),2,IF(COUNTIFS('REFERENCIAS'!$T$15:$T$34,"ID:"&amp;SUBSTITUTE(SUBSTITUTE(SUBSTITUTE(SUBSTITUTE(UPPER(TRIM('DATOS'!F161&amp;"")),"!","!E"),"*","!A"),"?","!B"),"~","!C"),'REFERENCIAS'!$H$15:$H$34,"&lt;&gt;")&gt;0,0,1))),2)</f>
      </c>
      <c r="U161" s="29" t="str">
        <f>'DATOS'!R161</f>
        <v>ID:</v>
      </c>
      <c r="V161" s="29" t="str">
        <f>'DATOS'!S161</f>
        <v>ID:</v>
      </c>
      <c r="W161" s="29" t="n">
        <f>IF(N161=0,0,COUNTIFS('REFERENCIAS'!$R$15:$R$64,U161))</f>
        <v>0</v>
      </c>
      <c r="X161" s="29" t="n">
        <f>IF(N161=0,0,COUNTIFS('DATOS'!$R$10:$R$509,U161,'DATOS'!$S$10:$S$509,V161))</f>
        <v>0</v>
      </c>
      <c r="Y161" s="29" t="n">
        <f>IF(AND(ISNUMBER('DATOS'!G161),ISNUMBER('DATOS'!H161),ISNUMBER('DATOS'!J161)),1,0)</f>
        <v>0</v>
      </c>
    </row>
    <row r="162" ht="64" customHeight="1">
      <c r="B162" s="26">
        <f>IF(N162=1,153,"")</f>
      </c>
      <c r="C162" s="26">
        <f>IF(AND(N162=1,LEN(TRIM('DATOS'!B162&amp;""))&gt;0),'DATOS'!B162,"")</f>
      </c>
      <c r="D162" s="26">
        <f>IF(AND(N162=1,LEN(TRIM('DATOS'!C162&amp;""))&gt;0),'DATOS'!C162,"")</f>
      </c>
      <c r="E162" s="26">
        <f>IF(NOT(ISNUMBER(P162)),"",IF(P162=2,"ROJO",IF(P162=1,"ÁMBAR","VERDE")))</f>
      </c>
      <c r="F162" s="26">
        <f>IF(NOT(ISNUMBER(Q162)),"",IF(Q162=2,"ROJO",IF(Q162=1,"ÁMBAR","VERDE")))</f>
      </c>
      <c r="G162" s="26">
        <f>IF(NOT(ISNUMBER(R162)),"",IF(R162=2,"ROJO",IF(R162=1,"ÁMBAR","VERDE")))</f>
      </c>
      <c r="H162" s="26">
        <f>IF(NOT(ISNUMBER(S162)),"",IF(S162=2,"ROJO",IF(S162=1,"ÁMBAR","VERDE")))</f>
      </c>
      <c r="I162" s="26">
        <f>IF(NOT(ISNUMBER(T162)),"",IF(T162=2,"ROJO",IF(T162=1,"ÁMBAR","VERDE")))</f>
      </c>
      <c r="J162" s="26">
        <f>IF(NOT(ISNUMBER(O162)),"",IF(O162=2,"ROJO",IF(O162=1,"ÁMBAR","VERDE")))</f>
      </c>
      <c r="K162" s="26">
        <f>IFERROR(IF(AND(N162=1,LEN(TRIM('DATOS'!N162&amp;""))&gt;0),'DATOS'!N162,""),"Hay una entrada con error. Corregimos el dato antes de cerrar la comprobación.")</f>
      </c>
      <c r="L162" s="26">
        <f>IFERROR(IF(N162=0,"",IF(O162&gt;0,"Completamos datos, claves o motivo. ","")&amp;IF(P162&gt;0,"Cotejamos precios e importe. ","")&amp;IF(Q162&gt;0,"Aclaramos el cero. ","")&amp;IF(R162&gt;0,"Comprobamos el texto. ","")&amp;IF(S162&gt;0,"Revisamos decimales visibles. ","")&amp;IF(T162&gt;0,"Confirmamos la unidad.","")),"Hay una entrada con error. Corregimos el dato antes de cerrar la comprobación.")</f>
      </c>
      <c r="N162" s="29" t="n">
        <f>IF(COUNTA('DATOS'!B162:O162)&gt;0,1,0)</f>
        <v>0</v>
      </c>
      <c r="O162" s="29">
        <f>IFERROR(IF(N162=0,"",IF(OR(NOT(AND(LEN(TRIM('DATOS'!B162&amp;""))&gt;0,TRIM('DATOS'!B162&amp;"")&lt;&gt;"Pendiente",TRIM('DATOS'!B162&amp;"")&lt;&gt;"Por confirmar",TRIM('DATOS'!B162&amp;"")&lt;&gt;"No consta",TRIM('DATOS'!B162&amp;"")&lt;&gt;"Desconocido",TRIM('DATOS'!B162&amp;"")&lt;&gt;"Sin confirmar",TRIM('DATOS'!B162&amp;"")&lt;&gt;"Por decidir",TRIM('DATOS'!B162&amp;"")&lt;&gt;"Por comprobar")),NOT(AND(LEN(TRIM('DATOS'!C162&amp;""))&gt;0,TRIM('DATOS'!C162&amp;"")&lt;&gt;"Pendiente",TRIM('DATOS'!C162&amp;"")&lt;&gt;"Por confirmar",TRIM('DATOS'!C162&amp;"")&lt;&gt;"No consta",TRIM('DATOS'!C162&amp;"")&lt;&gt;"Desconocido",TRIM('DATOS'!C162&amp;"")&lt;&gt;"Sin confirmar",TRIM('DATOS'!C162&amp;"")&lt;&gt;"Por decidir",TRIM('DATOS'!C162&amp;"")&lt;&gt;"Por comprobar")),NOT(AND(LEN(TRIM('DATOS'!D162&amp;""))&gt;0,TRIM('DATOS'!D162&amp;"")&lt;&gt;"Pendiente",TRIM('DATOS'!D162&amp;"")&lt;&gt;"Por confirmar",TRIM('DATOS'!D162&amp;"")&lt;&gt;"No consta",TRIM('DATOS'!D162&amp;"")&lt;&gt;"Desconocido",TRIM('DATOS'!D162&amp;"")&lt;&gt;"Sin confirmar",TRIM('DATOS'!D162&amp;"")&lt;&gt;"Por decidir",TRIM('DATOS'!D162&amp;"")&lt;&gt;"Por comprobar")),NOT(AND(LEN(TRIM('DATOS'!E162&amp;""))&gt;0,TRIM('DATOS'!E162&amp;"")&lt;&gt;"Pendiente",TRIM('DATOS'!E162&amp;"")&lt;&gt;"Por confirmar",TRIM('DATOS'!E162&amp;"")&lt;&gt;"No consta",TRIM('DATOS'!E162&amp;"")&lt;&gt;"Desconocido",TRIM('DATOS'!E162&amp;"")&lt;&gt;"Sin confirmar",TRIM('DATOS'!E162&amp;"")&lt;&gt;"Por decidir",TRIM('DATOS'!E162&amp;"")&lt;&gt;"Por comprobar")),NOT(AND(LEN(TRIM('DATOS'!F162&amp;""))&gt;0,TRIM('DATOS'!F162&amp;"")&lt;&gt;"Pendiente",TRIM('DATOS'!F162&amp;"")&lt;&gt;"Por confirmar",TRIM('DATOS'!F162&amp;"")&lt;&gt;"No consta",TRIM('DATOS'!F162&amp;"")&lt;&gt;"Desconocido",TRIM('DATOS'!F162&amp;"")&lt;&gt;"Sin confirmar",TRIM('DATOS'!F162&amp;"")&lt;&gt;"Por decidir",TRIM('DATOS'!F162&amp;"")&lt;&gt;"Por comprobar")),NOT(AND(LEN(TRIM('DATOS'!N162&amp;""))&gt;0,TRIM('DATOS'!N162&amp;"")&lt;&gt;"Pendiente",TRIM('DATOS'!N162&amp;"")&lt;&gt;"Por confirmar",TRIM('DATOS'!N162&amp;"")&lt;&gt;"No consta",TRIM('DATOS'!N162&amp;"")&lt;&gt;"Desconocido",TRIM('DATOS'!N162&amp;"")&lt;&gt;"Sin confirmar",TRIM('DATOS'!N162&amp;"")&lt;&gt;"Por decidir",TRIM('DATOS'!N162&amp;"")&lt;&gt;"Por comprobar")),NOT(Y162=1),W162&lt;&gt;1,X162&gt;1,NOT(OR(LEN(TRIM('DATOS'!K162&amp;""))=0,'DATOS'!K162="Sin valorar",'DATOS'!K162="Sin coste documentado",'DATOS'!K162="Incluido en otra partida",'DATOS'!K162="Por confirmar")),NOT(OR(LEN(TRIM('DATOS'!M162&amp;""))=0,'DATOS'!M162="Sí",'DATOS'!M162="No",'DATOS'!M162="Por confirmar")),NOT(OR(LEN(TRIM('DATOS'!O162&amp;""))=0,'DATOS'!O162="Comparamos",'DATOS'!O162="No existe",'DATOS'!O162="Por confirmar"))),2,IF(AND(OR('DATOS'!G162&lt;0,'DATOS'!H162&lt;0,'DATOS'!J162&lt;0),NOT(AND(LEN(TRIM('DATOS'!L162&amp;""))&gt;0,TRIM('DATOS'!L162&amp;"")&lt;&gt;"Pendiente",TRIM('DATOS'!L162&amp;"")&lt;&gt;"Por confirmar",TRIM('DATOS'!L162&amp;"")&lt;&gt;"No consta",TRIM('DATOS'!L162&amp;"")&lt;&gt;"Desconocido",TRIM('DATOS'!L162&amp;"")&lt;&gt;"Sin confirmar",TRIM('DATOS'!L162&amp;"")&lt;&gt;"Por decidir",TRIM('DATOS'!L162&amp;"")&lt;&gt;"Por comprobar"))),1,0))),2)</f>
      </c>
      <c r="P162" s="29">
        <f>IFERROR(IF(N162=0,"",IF(NOT(Y162=1),1,IF('REFERENCIAS'!$Q$8&lt;&gt;1,2,IF(ABS('DATOS'!J162-ROUND('DATOS'!G162*'DATOS'!H162,'REFERENCIAS'!$K$8))&gt;0.00000001,2,IF('DATOS'!O162="No existe",IF(LEN(TRIM('DATOS'!I162&amp;""))=0,0,2),IF('DATOS'!O162="Comparamos",IF(LEN(TRIM('DATOS'!I162&amp;""))=0,1,IF(ISNUMBER('DATOS'!I162),IF(ABS('DATOS'!H162-'DATOS'!I162)&gt;0.00000001,2,0),2)),1)))))),2)</f>
      </c>
      <c r="Q162" s="29">
        <f>IFERROR(IF(N162=0,"",IF(NOT(Y162=1),1,IF('DATOS'!K162="Sin valorar",2,IF('DATOS'!G162=0,1,IF(OR('DATOS'!H162=0,'DATOS'!J162=0),IF(AND(OR('DATOS'!K162="Sin coste documentado",'DATOS'!K162="Incluido en otra partida"),AND(LEN(TRIM('DATOS'!L162&amp;""))&gt;0,TRIM('DATOS'!L162&amp;"")&lt;&gt;"Pendiente",TRIM('DATOS'!L162&amp;"")&lt;&gt;"Por confirmar",TRIM('DATOS'!L162&amp;"")&lt;&gt;"No consta",TRIM('DATOS'!L162&amp;"")&lt;&gt;"Desconocido",TRIM('DATOS'!L162&amp;"")&lt;&gt;"Sin confirmar",TRIM('DATOS'!L162&amp;"")&lt;&gt;"Por decidir",TRIM('DATOS'!L162&amp;"")&lt;&gt;"Por comprobar")),0,1),0))))),2)</f>
      </c>
      <c r="R162" s="29">
        <f>IFERROR(IF(N162=0,"",IF(OR(NOT(AND(LEN(TRIM('DATOS'!D162&amp;""))&gt;0,TRIM('DATOS'!D162&amp;"")&lt;&gt;"Pendiente",TRIM('DATOS'!D162&amp;"")&lt;&gt;"Por confirmar",TRIM('DATOS'!D162&amp;"")&lt;&gt;"No consta",TRIM('DATOS'!D162&amp;"")&lt;&gt;"Desconocido",TRIM('DATOS'!D162&amp;"")&lt;&gt;"Sin confirmar",TRIM('DATOS'!D162&amp;"")&lt;&gt;"Por decidir",TRIM('DATOS'!D162&amp;"")&lt;&gt;"Por comprobar")),NOT(AND(LEN(TRIM('DATOS'!E162&amp;""))&gt;0,TRIM('DATOS'!E162&amp;"")&lt;&gt;"Pendiente",TRIM('DATOS'!E162&amp;"")&lt;&gt;"Por confirmar",TRIM('DATOS'!E162&amp;"")&lt;&gt;"No consta",TRIM('DATOS'!E162&amp;"")&lt;&gt;"Desconocido",TRIM('DATOS'!E162&amp;"")&lt;&gt;"Sin confirmar",TRIM('DATOS'!E162&amp;"")&lt;&gt;"Por decidir",TRIM('DATOS'!E162&amp;"")&lt;&gt;"Por comprobar"))),2,IF('DATOS'!M162="No",2,IF('DATOS'!M162="Sí",0,IF(OR('DATOS'!D162&lt;&gt;'DATOS'!E162,LEN('DATOS'!E162)&gt;300,RIGHT(TRIM('DATOS'!E162),3)="...",RIGHT(TRIM('DATOS'!E162),1)="…"),1,0))))),2)</f>
      </c>
      <c r="S162" s="29">
        <f>IFERROR(IF(N162=0,"",IF('REFERENCIAS'!$Q$8&lt;&gt;1,2,IF(NOT(Y162=1),1,IF(OR(ABS('DATOS'!G162-ROUND('DATOS'!G162,'REFERENCIAS'!$E$8))&gt;0.00000001,ABS('DATOS'!H162-ROUND('DATOS'!H162,'REFERENCIAS'!$H$8))&gt;0.00000001,ABS('DATOS'!J162-ROUND('DATOS'!J162,'REFERENCIAS'!$K$8))&gt;0.00000001,IF(ISNUMBER('DATOS'!I162),ABS('DATOS'!I162-ROUND('DATOS'!I162,'REFERENCIAS'!$H$8))&gt;0.00000001,FALSE)),1,0)))),2)</f>
      </c>
      <c r="T162" s="29">
        <f>IFERROR(IF(N162=0,"",IF(NOT(AND(LEN(TRIM('DATOS'!F162&amp;""))&gt;0,TRIM('DATOS'!F162&amp;"")&lt;&gt;"Pendiente",TRIM('DATOS'!F162&amp;"")&lt;&gt;"Por confirmar",TRIM('DATOS'!F162&amp;"")&lt;&gt;"No consta",TRIM('DATOS'!F162&amp;"")&lt;&gt;"Desconocido",TRIM('DATOS'!F162&amp;"")&lt;&gt;"Sin confirmar",TRIM('DATOS'!F162&amp;"")&lt;&gt;"Por decidir",TRIM('DATOS'!F162&amp;"")&lt;&gt;"Por comprobar")),2,IF(COUNTIFS('REFERENCIAS'!$T$15:$T$34,"ID:"&amp;SUBSTITUTE(SUBSTITUTE(SUBSTITUTE(SUBSTITUTE(UPPER(TRIM('DATOS'!F162&amp;"")),"!","!E"),"*","!A"),"?","!B"),"~","!C"),'REFERENCIAS'!$H$15:$H$34,"&lt;&gt;")&gt;0,0,1))),2)</f>
      </c>
      <c r="U162" s="29" t="str">
        <f>'DATOS'!R162</f>
        <v>ID:</v>
      </c>
      <c r="V162" s="29" t="str">
        <f>'DATOS'!S162</f>
        <v>ID:</v>
      </c>
      <c r="W162" s="29" t="n">
        <f>IF(N162=0,0,COUNTIFS('REFERENCIAS'!$R$15:$R$64,U162))</f>
        <v>0</v>
      </c>
      <c r="X162" s="29" t="n">
        <f>IF(N162=0,0,COUNTIFS('DATOS'!$R$10:$R$509,U162,'DATOS'!$S$10:$S$509,V162))</f>
        <v>0</v>
      </c>
      <c r="Y162" s="29" t="n">
        <f>IF(AND(ISNUMBER('DATOS'!G162),ISNUMBER('DATOS'!H162),ISNUMBER('DATOS'!J162)),1,0)</f>
        <v>0</v>
      </c>
    </row>
    <row r="163" ht="64" customHeight="1">
      <c r="B163" s="26">
        <f>IF(N163=1,154,"")</f>
      </c>
      <c r="C163" s="26">
        <f>IF(AND(N163=1,LEN(TRIM('DATOS'!B163&amp;""))&gt;0),'DATOS'!B163,"")</f>
      </c>
      <c r="D163" s="26">
        <f>IF(AND(N163=1,LEN(TRIM('DATOS'!C163&amp;""))&gt;0),'DATOS'!C163,"")</f>
      </c>
      <c r="E163" s="26">
        <f>IF(NOT(ISNUMBER(P163)),"",IF(P163=2,"ROJO",IF(P163=1,"ÁMBAR","VERDE")))</f>
      </c>
      <c r="F163" s="26">
        <f>IF(NOT(ISNUMBER(Q163)),"",IF(Q163=2,"ROJO",IF(Q163=1,"ÁMBAR","VERDE")))</f>
      </c>
      <c r="G163" s="26">
        <f>IF(NOT(ISNUMBER(R163)),"",IF(R163=2,"ROJO",IF(R163=1,"ÁMBAR","VERDE")))</f>
      </c>
      <c r="H163" s="26">
        <f>IF(NOT(ISNUMBER(S163)),"",IF(S163=2,"ROJO",IF(S163=1,"ÁMBAR","VERDE")))</f>
      </c>
      <c r="I163" s="26">
        <f>IF(NOT(ISNUMBER(T163)),"",IF(T163=2,"ROJO",IF(T163=1,"ÁMBAR","VERDE")))</f>
      </c>
      <c r="J163" s="26">
        <f>IF(NOT(ISNUMBER(O163)),"",IF(O163=2,"ROJO",IF(O163=1,"ÁMBAR","VERDE")))</f>
      </c>
      <c r="K163" s="26">
        <f>IFERROR(IF(AND(N163=1,LEN(TRIM('DATOS'!N163&amp;""))&gt;0),'DATOS'!N163,""),"Hay una entrada con error. Corregimos el dato antes de cerrar la comprobación.")</f>
      </c>
      <c r="L163" s="26">
        <f>IFERROR(IF(N163=0,"",IF(O163&gt;0,"Completamos datos, claves o motivo. ","")&amp;IF(P163&gt;0,"Cotejamos precios e importe. ","")&amp;IF(Q163&gt;0,"Aclaramos el cero. ","")&amp;IF(R163&gt;0,"Comprobamos el texto. ","")&amp;IF(S163&gt;0,"Revisamos decimales visibles. ","")&amp;IF(T163&gt;0,"Confirmamos la unidad.","")),"Hay una entrada con error. Corregimos el dato antes de cerrar la comprobación.")</f>
      </c>
      <c r="N163" s="29" t="n">
        <f>IF(COUNTA('DATOS'!B163:O163)&gt;0,1,0)</f>
        <v>0</v>
      </c>
      <c r="O163" s="29">
        <f>IFERROR(IF(N163=0,"",IF(OR(NOT(AND(LEN(TRIM('DATOS'!B163&amp;""))&gt;0,TRIM('DATOS'!B163&amp;"")&lt;&gt;"Pendiente",TRIM('DATOS'!B163&amp;"")&lt;&gt;"Por confirmar",TRIM('DATOS'!B163&amp;"")&lt;&gt;"No consta",TRIM('DATOS'!B163&amp;"")&lt;&gt;"Desconocido",TRIM('DATOS'!B163&amp;"")&lt;&gt;"Sin confirmar",TRIM('DATOS'!B163&amp;"")&lt;&gt;"Por decidir",TRIM('DATOS'!B163&amp;"")&lt;&gt;"Por comprobar")),NOT(AND(LEN(TRIM('DATOS'!C163&amp;""))&gt;0,TRIM('DATOS'!C163&amp;"")&lt;&gt;"Pendiente",TRIM('DATOS'!C163&amp;"")&lt;&gt;"Por confirmar",TRIM('DATOS'!C163&amp;"")&lt;&gt;"No consta",TRIM('DATOS'!C163&amp;"")&lt;&gt;"Desconocido",TRIM('DATOS'!C163&amp;"")&lt;&gt;"Sin confirmar",TRIM('DATOS'!C163&amp;"")&lt;&gt;"Por decidir",TRIM('DATOS'!C163&amp;"")&lt;&gt;"Por comprobar")),NOT(AND(LEN(TRIM('DATOS'!D163&amp;""))&gt;0,TRIM('DATOS'!D163&amp;"")&lt;&gt;"Pendiente",TRIM('DATOS'!D163&amp;"")&lt;&gt;"Por confirmar",TRIM('DATOS'!D163&amp;"")&lt;&gt;"No consta",TRIM('DATOS'!D163&amp;"")&lt;&gt;"Desconocido",TRIM('DATOS'!D163&amp;"")&lt;&gt;"Sin confirmar",TRIM('DATOS'!D163&amp;"")&lt;&gt;"Por decidir",TRIM('DATOS'!D163&amp;"")&lt;&gt;"Por comprobar")),NOT(AND(LEN(TRIM('DATOS'!E163&amp;""))&gt;0,TRIM('DATOS'!E163&amp;"")&lt;&gt;"Pendiente",TRIM('DATOS'!E163&amp;"")&lt;&gt;"Por confirmar",TRIM('DATOS'!E163&amp;"")&lt;&gt;"No consta",TRIM('DATOS'!E163&amp;"")&lt;&gt;"Desconocido",TRIM('DATOS'!E163&amp;"")&lt;&gt;"Sin confirmar",TRIM('DATOS'!E163&amp;"")&lt;&gt;"Por decidir",TRIM('DATOS'!E163&amp;"")&lt;&gt;"Por comprobar")),NOT(AND(LEN(TRIM('DATOS'!F163&amp;""))&gt;0,TRIM('DATOS'!F163&amp;"")&lt;&gt;"Pendiente",TRIM('DATOS'!F163&amp;"")&lt;&gt;"Por confirmar",TRIM('DATOS'!F163&amp;"")&lt;&gt;"No consta",TRIM('DATOS'!F163&amp;"")&lt;&gt;"Desconocido",TRIM('DATOS'!F163&amp;"")&lt;&gt;"Sin confirmar",TRIM('DATOS'!F163&amp;"")&lt;&gt;"Por decidir",TRIM('DATOS'!F163&amp;"")&lt;&gt;"Por comprobar")),NOT(AND(LEN(TRIM('DATOS'!N163&amp;""))&gt;0,TRIM('DATOS'!N163&amp;"")&lt;&gt;"Pendiente",TRIM('DATOS'!N163&amp;"")&lt;&gt;"Por confirmar",TRIM('DATOS'!N163&amp;"")&lt;&gt;"No consta",TRIM('DATOS'!N163&amp;"")&lt;&gt;"Desconocido",TRIM('DATOS'!N163&amp;"")&lt;&gt;"Sin confirmar",TRIM('DATOS'!N163&amp;"")&lt;&gt;"Por decidir",TRIM('DATOS'!N163&amp;"")&lt;&gt;"Por comprobar")),NOT(Y163=1),W163&lt;&gt;1,X163&gt;1,NOT(OR(LEN(TRIM('DATOS'!K163&amp;""))=0,'DATOS'!K163="Sin valorar",'DATOS'!K163="Sin coste documentado",'DATOS'!K163="Incluido en otra partida",'DATOS'!K163="Por confirmar")),NOT(OR(LEN(TRIM('DATOS'!M163&amp;""))=0,'DATOS'!M163="Sí",'DATOS'!M163="No",'DATOS'!M163="Por confirmar")),NOT(OR(LEN(TRIM('DATOS'!O163&amp;""))=0,'DATOS'!O163="Comparamos",'DATOS'!O163="No existe",'DATOS'!O163="Por confirmar"))),2,IF(AND(OR('DATOS'!G163&lt;0,'DATOS'!H163&lt;0,'DATOS'!J163&lt;0),NOT(AND(LEN(TRIM('DATOS'!L163&amp;""))&gt;0,TRIM('DATOS'!L163&amp;"")&lt;&gt;"Pendiente",TRIM('DATOS'!L163&amp;"")&lt;&gt;"Por confirmar",TRIM('DATOS'!L163&amp;"")&lt;&gt;"No consta",TRIM('DATOS'!L163&amp;"")&lt;&gt;"Desconocido",TRIM('DATOS'!L163&amp;"")&lt;&gt;"Sin confirmar",TRIM('DATOS'!L163&amp;"")&lt;&gt;"Por decidir",TRIM('DATOS'!L163&amp;"")&lt;&gt;"Por comprobar"))),1,0))),2)</f>
      </c>
      <c r="P163" s="29">
        <f>IFERROR(IF(N163=0,"",IF(NOT(Y163=1),1,IF('REFERENCIAS'!$Q$8&lt;&gt;1,2,IF(ABS('DATOS'!J163-ROUND('DATOS'!G163*'DATOS'!H163,'REFERENCIAS'!$K$8))&gt;0.00000001,2,IF('DATOS'!O163="No existe",IF(LEN(TRIM('DATOS'!I163&amp;""))=0,0,2),IF('DATOS'!O163="Comparamos",IF(LEN(TRIM('DATOS'!I163&amp;""))=0,1,IF(ISNUMBER('DATOS'!I163),IF(ABS('DATOS'!H163-'DATOS'!I163)&gt;0.00000001,2,0),2)),1)))))),2)</f>
      </c>
      <c r="Q163" s="29">
        <f>IFERROR(IF(N163=0,"",IF(NOT(Y163=1),1,IF('DATOS'!K163="Sin valorar",2,IF('DATOS'!G163=0,1,IF(OR('DATOS'!H163=0,'DATOS'!J163=0),IF(AND(OR('DATOS'!K163="Sin coste documentado",'DATOS'!K163="Incluido en otra partida"),AND(LEN(TRIM('DATOS'!L163&amp;""))&gt;0,TRIM('DATOS'!L163&amp;"")&lt;&gt;"Pendiente",TRIM('DATOS'!L163&amp;"")&lt;&gt;"Por confirmar",TRIM('DATOS'!L163&amp;"")&lt;&gt;"No consta",TRIM('DATOS'!L163&amp;"")&lt;&gt;"Desconocido",TRIM('DATOS'!L163&amp;"")&lt;&gt;"Sin confirmar",TRIM('DATOS'!L163&amp;"")&lt;&gt;"Por decidir",TRIM('DATOS'!L163&amp;"")&lt;&gt;"Por comprobar")),0,1),0))))),2)</f>
      </c>
      <c r="R163" s="29">
        <f>IFERROR(IF(N163=0,"",IF(OR(NOT(AND(LEN(TRIM('DATOS'!D163&amp;""))&gt;0,TRIM('DATOS'!D163&amp;"")&lt;&gt;"Pendiente",TRIM('DATOS'!D163&amp;"")&lt;&gt;"Por confirmar",TRIM('DATOS'!D163&amp;"")&lt;&gt;"No consta",TRIM('DATOS'!D163&amp;"")&lt;&gt;"Desconocido",TRIM('DATOS'!D163&amp;"")&lt;&gt;"Sin confirmar",TRIM('DATOS'!D163&amp;"")&lt;&gt;"Por decidir",TRIM('DATOS'!D163&amp;"")&lt;&gt;"Por comprobar")),NOT(AND(LEN(TRIM('DATOS'!E163&amp;""))&gt;0,TRIM('DATOS'!E163&amp;"")&lt;&gt;"Pendiente",TRIM('DATOS'!E163&amp;"")&lt;&gt;"Por confirmar",TRIM('DATOS'!E163&amp;"")&lt;&gt;"No consta",TRIM('DATOS'!E163&amp;"")&lt;&gt;"Desconocido",TRIM('DATOS'!E163&amp;"")&lt;&gt;"Sin confirmar",TRIM('DATOS'!E163&amp;"")&lt;&gt;"Por decidir",TRIM('DATOS'!E163&amp;"")&lt;&gt;"Por comprobar"))),2,IF('DATOS'!M163="No",2,IF('DATOS'!M163="Sí",0,IF(OR('DATOS'!D163&lt;&gt;'DATOS'!E163,LEN('DATOS'!E163)&gt;300,RIGHT(TRIM('DATOS'!E163),3)="...",RIGHT(TRIM('DATOS'!E163),1)="…"),1,0))))),2)</f>
      </c>
      <c r="S163" s="29">
        <f>IFERROR(IF(N163=0,"",IF('REFERENCIAS'!$Q$8&lt;&gt;1,2,IF(NOT(Y163=1),1,IF(OR(ABS('DATOS'!G163-ROUND('DATOS'!G163,'REFERENCIAS'!$E$8))&gt;0.00000001,ABS('DATOS'!H163-ROUND('DATOS'!H163,'REFERENCIAS'!$H$8))&gt;0.00000001,ABS('DATOS'!J163-ROUND('DATOS'!J163,'REFERENCIAS'!$K$8))&gt;0.00000001,IF(ISNUMBER('DATOS'!I163),ABS('DATOS'!I163-ROUND('DATOS'!I163,'REFERENCIAS'!$H$8))&gt;0.00000001,FALSE)),1,0)))),2)</f>
      </c>
      <c r="T163" s="29">
        <f>IFERROR(IF(N163=0,"",IF(NOT(AND(LEN(TRIM('DATOS'!F163&amp;""))&gt;0,TRIM('DATOS'!F163&amp;"")&lt;&gt;"Pendiente",TRIM('DATOS'!F163&amp;"")&lt;&gt;"Por confirmar",TRIM('DATOS'!F163&amp;"")&lt;&gt;"No consta",TRIM('DATOS'!F163&amp;"")&lt;&gt;"Desconocido",TRIM('DATOS'!F163&amp;"")&lt;&gt;"Sin confirmar",TRIM('DATOS'!F163&amp;"")&lt;&gt;"Por decidir",TRIM('DATOS'!F163&amp;"")&lt;&gt;"Por comprobar")),2,IF(COUNTIFS('REFERENCIAS'!$T$15:$T$34,"ID:"&amp;SUBSTITUTE(SUBSTITUTE(SUBSTITUTE(SUBSTITUTE(UPPER(TRIM('DATOS'!F163&amp;"")),"!","!E"),"*","!A"),"?","!B"),"~","!C"),'REFERENCIAS'!$H$15:$H$34,"&lt;&gt;")&gt;0,0,1))),2)</f>
      </c>
      <c r="U163" s="29" t="str">
        <f>'DATOS'!R163</f>
        <v>ID:</v>
      </c>
      <c r="V163" s="29" t="str">
        <f>'DATOS'!S163</f>
        <v>ID:</v>
      </c>
      <c r="W163" s="29" t="n">
        <f>IF(N163=0,0,COUNTIFS('REFERENCIAS'!$R$15:$R$64,U163))</f>
        <v>0</v>
      </c>
      <c r="X163" s="29" t="n">
        <f>IF(N163=0,0,COUNTIFS('DATOS'!$R$10:$R$509,U163,'DATOS'!$S$10:$S$509,V163))</f>
        <v>0</v>
      </c>
      <c r="Y163" s="29" t="n">
        <f>IF(AND(ISNUMBER('DATOS'!G163),ISNUMBER('DATOS'!H163),ISNUMBER('DATOS'!J163)),1,0)</f>
        <v>0</v>
      </c>
    </row>
    <row r="164" ht="64" customHeight="1">
      <c r="B164" s="26">
        <f>IF(N164=1,155,"")</f>
      </c>
      <c r="C164" s="26">
        <f>IF(AND(N164=1,LEN(TRIM('DATOS'!B164&amp;""))&gt;0),'DATOS'!B164,"")</f>
      </c>
      <c r="D164" s="26">
        <f>IF(AND(N164=1,LEN(TRIM('DATOS'!C164&amp;""))&gt;0),'DATOS'!C164,"")</f>
      </c>
      <c r="E164" s="26">
        <f>IF(NOT(ISNUMBER(P164)),"",IF(P164=2,"ROJO",IF(P164=1,"ÁMBAR","VERDE")))</f>
      </c>
      <c r="F164" s="26">
        <f>IF(NOT(ISNUMBER(Q164)),"",IF(Q164=2,"ROJO",IF(Q164=1,"ÁMBAR","VERDE")))</f>
      </c>
      <c r="G164" s="26">
        <f>IF(NOT(ISNUMBER(R164)),"",IF(R164=2,"ROJO",IF(R164=1,"ÁMBAR","VERDE")))</f>
      </c>
      <c r="H164" s="26">
        <f>IF(NOT(ISNUMBER(S164)),"",IF(S164=2,"ROJO",IF(S164=1,"ÁMBAR","VERDE")))</f>
      </c>
      <c r="I164" s="26">
        <f>IF(NOT(ISNUMBER(T164)),"",IF(T164=2,"ROJO",IF(T164=1,"ÁMBAR","VERDE")))</f>
      </c>
      <c r="J164" s="26">
        <f>IF(NOT(ISNUMBER(O164)),"",IF(O164=2,"ROJO",IF(O164=1,"ÁMBAR","VERDE")))</f>
      </c>
      <c r="K164" s="26">
        <f>IFERROR(IF(AND(N164=1,LEN(TRIM('DATOS'!N164&amp;""))&gt;0),'DATOS'!N164,""),"Hay una entrada con error. Corregimos el dato antes de cerrar la comprobación.")</f>
      </c>
      <c r="L164" s="26">
        <f>IFERROR(IF(N164=0,"",IF(O164&gt;0,"Completamos datos, claves o motivo. ","")&amp;IF(P164&gt;0,"Cotejamos precios e importe. ","")&amp;IF(Q164&gt;0,"Aclaramos el cero. ","")&amp;IF(R164&gt;0,"Comprobamos el texto. ","")&amp;IF(S164&gt;0,"Revisamos decimales visibles. ","")&amp;IF(T164&gt;0,"Confirmamos la unidad.","")),"Hay una entrada con error. Corregimos el dato antes de cerrar la comprobación.")</f>
      </c>
      <c r="N164" s="29" t="n">
        <f>IF(COUNTA('DATOS'!B164:O164)&gt;0,1,0)</f>
        <v>0</v>
      </c>
      <c r="O164" s="29">
        <f>IFERROR(IF(N164=0,"",IF(OR(NOT(AND(LEN(TRIM('DATOS'!B164&amp;""))&gt;0,TRIM('DATOS'!B164&amp;"")&lt;&gt;"Pendiente",TRIM('DATOS'!B164&amp;"")&lt;&gt;"Por confirmar",TRIM('DATOS'!B164&amp;"")&lt;&gt;"No consta",TRIM('DATOS'!B164&amp;"")&lt;&gt;"Desconocido",TRIM('DATOS'!B164&amp;"")&lt;&gt;"Sin confirmar",TRIM('DATOS'!B164&amp;"")&lt;&gt;"Por decidir",TRIM('DATOS'!B164&amp;"")&lt;&gt;"Por comprobar")),NOT(AND(LEN(TRIM('DATOS'!C164&amp;""))&gt;0,TRIM('DATOS'!C164&amp;"")&lt;&gt;"Pendiente",TRIM('DATOS'!C164&amp;"")&lt;&gt;"Por confirmar",TRIM('DATOS'!C164&amp;"")&lt;&gt;"No consta",TRIM('DATOS'!C164&amp;"")&lt;&gt;"Desconocido",TRIM('DATOS'!C164&amp;"")&lt;&gt;"Sin confirmar",TRIM('DATOS'!C164&amp;"")&lt;&gt;"Por decidir",TRIM('DATOS'!C164&amp;"")&lt;&gt;"Por comprobar")),NOT(AND(LEN(TRIM('DATOS'!D164&amp;""))&gt;0,TRIM('DATOS'!D164&amp;"")&lt;&gt;"Pendiente",TRIM('DATOS'!D164&amp;"")&lt;&gt;"Por confirmar",TRIM('DATOS'!D164&amp;"")&lt;&gt;"No consta",TRIM('DATOS'!D164&amp;"")&lt;&gt;"Desconocido",TRIM('DATOS'!D164&amp;"")&lt;&gt;"Sin confirmar",TRIM('DATOS'!D164&amp;"")&lt;&gt;"Por decidir",TRIM('DATOS'!D164&amp;"")&lt;&gt;"Por comprobar")),NOT(AND(LEN(TRIM('DATOS'!E164&amp;""))&gt;0,TRIM('DATOS'!E164&amp;"")&lt;&gt;"Pendiente",TRIM('DATOS'!E164&amp;"")&lt;&gt;"Por confirmar",TRIM('DATOS'!E164&amp;"")&lt;&gt;"No consta",TRIM('DATOS'!E164&amp;"")&lt;&gt;"Desconocido",TRIM('DATOS'!E164&amp;"")&lt;&gt;"Sin confirmar",TRIM('DATOS'!E164&amp;"")&lt;&gt;"Por decidir",TRIM('DATOS'!E164&amp;"")&lt;&gt;"Por comprobar")),NOT(AND(LEN(TRIM('DATOS'!F164&amp;""))&gt;0,TRIM('DATOS'!F164&amp;"")&lt;&gt;"Pendiente",TRIM('DATOS'!F164&amp;"")&lt;&gt;"Por confirmar",TRIM('DATOS'!F164&amp;"")&lt;&gt;"No consta",TRIM('DATOS'!F164&amp;"")&lt;&gt;"Desconocido",TRIM('DATOS'!F164&amp;"")&lt;&gt;"Sin confirmar",TRIM('DATOS'!F164&amp;"")&lt;&gt;"Por decidir",TRIM('DATOS'!F164&amp;"")&lt;&gt;"Por comprobar")),NOT(AND(LEN(TRIM('DATOS'!N164&amp;""))&gt;0,TRIM('DATOS'!N164&amp;"")&lt;&gt;"Pendiente",TRIM('DATOS'!N164&amp;"")&lt;&gt;"Por confirmar",TRIM('DATOS'!N164&amp;"")&lt;&gt;"No consta",TRIM('DATOS'!N164&amp;"")&lt;&gt;"Desconocido",TRIM('DATOS'!N164&amp;"")&lt;&gt;"Sin confirmar",TRIM('DATOS'!N164&amp;"")&lt;&gt;"Por decidir",TRIM('DATOS'!N164&amp;"")&lt;&gt;"Por comprobar")),NOT(Y164=1),W164&lt;&gt;1,X164&gt;1,NOT(OR(LEN(TRIM('DATOS'!K164&amp;""))=0,'DATOS'!K164="Sin valorar",'DATOS'!K164="Sin coste documentado",'DATOS'!K164="Incluido en otra partida",'DATOS'!K164="Por confirmar")),NOT(OR(LEN(TRIM('DATOS'!M164&amp;""))=0,'DATOS'!M164="Sí",'DATOS'!M164="No",'DATOS'!M164="Por confirmar")),NOT(OR(LEN(TRIM('DATOS'!O164&amp;""))=0,'DATOS'!O164="Comparamos",'DATOS'!O164="No existe",'DATOS'!O164="Por confirmar"))),2,IF(AND(OR('DATOS'!G164&lt;0,'DATOS'!H164&lt;0,'DATOS'!J164&lt;0),NOT(AND(LEN(TRIM('DATOS'!L164&amp;""))&gt;0,TRIM('DATOS'!L164&amp;"")&lt;&gt;"Pendiente",TRIM('DATOS'!L164&amp;"")&lt;&gt;"Por confirmar",TRIM('DATOS'!L164&amp;"")&lt;&gt;"No consta",TRIM('DATOS'!L164&amp;"")&lt;&gt;"Desconocido",TRIM('DATOS'!L164&amp;"")&lt;&gt;"Sin confirmar",TRIM('DATOS'!L164&amp;"")&lt;&gt;"Por decidir",TRIM('DATOS'!L164&amp;"")&lt;&gt;"Por comprobar"))),1,0))),2)</f>
      </c>
      <c r="P164" s="29">
        <f>IFERROR(IF(N164=0,"",IF(NOT(Y164=1),1,IF('REFERENCIAS'!$Q$8&lt;&gt;1,2,IF(ABS('DATOS'!J164-ROUND('DATOS'!G164*'DATOS'!H164,'REFERENCIAS'!$K$8))&gt;0.00000001,2,IF('DATOS'!O164="No existe",IF(LEN(TRIM('DATOS'!I164&amp;""))=0,0,2),IF('DATOS'!O164="Comparamos",IF(LEN(TRIM('DATOS'!I164&amp;""))=0,1,IF(ISNUMBER('DATOS'!I164),IF(ABS('DATOS'!H164-'DATOS'!I164)&gt;0.00000001,2,0),2)),1)))))),2)</f>
      </c>
      <c r="Q164" s="29">
        <f>IFERROR(IF(N164=0,"",IF(NOT(Y164=1),1,IF('DATOS'!K164="Sin valorar",2,IF('DATOS'!G164=0,1,IF(OR('DATOS'!H164=0,'DATOS'!J164=0),IF(AND(OR('DATOS'!K164="Sin coste documentado",'DATOS'!K164="Incluido en otra partida"),AND(LEN(TRIM('DATOS'!L164&amp;""))&gt;0,TRIM('DATOS'!L164&amp;"")&lt;&gt;"Pendiente",TRIM('DATOS'!L164&amp;"")&lt;&gt;"Por confirmar",TRIM('DATOS'!L164&amp;"")&lt;&gt;"No consta",TRIM('DATOS'!L164&amp;"")&lt;&gt;"Desconocido",TRIM('DATOS'!L164&amp;"")&lt;&gt;"Sin confirmar",TRIM('DATOS'!L164&amp;"")&lt;&gt;"Por decidir",TRIM('DATOS'!L164&amp;"")&lt;&gt;"Por comprobar")),0,1),0))))),2)</f>
      </c>
      <c r="R164" s="29">
        <f>IFERROR(IF(N164=0,"",IF(OR(NOT(AND(LEN(TRIM('DATOS'!D164&amp;""))&gt;0,TRIM('DATOS'!D164&amp;"")&lt;&gt;"Pendiente",TRIM('DATOS'!D164&amp;"")&lt;&gt;"Por confirmar",TRIM('DATOS'!D164&amp;"")&lt;&gt;"No consta",TRIM('DATOS'!D164&amp;"")&lt;&gt;"Desconocido",TRIM('DATOS'!D164&amp;"")&lt;&gt;"Sin confirmar",TRIM('DATOS'!D164&amp;"")&lt;&gt;"Por decidir",TRIM('DATOS'!D164&amp;"")&lt;&gt;"Por comprobar")),NOT(AND(LEN(TRIM('DATOS'!E164&amp;""))&gt;0,TRIM('DATOS'!E164&amp;"")&lt;&gt;"Pendiente",TRIM('DATOS'!E164&amp;"")&lt;&gt;"Por confirmar",TRIM('DATOS'!E164&amp;"")&lt;&gt;"No consta",TRIM('DATOS'!E164&amp;"")&lt;&gt;"Desconocido",TRIM('DATOS'!E164&amp;"")&lt;&gt;"Sin confirmar",TRIM('DATOS'!E164&amp;"")&lt;&gt;"Por decidir",TRIM('DATOS'!E164&amp;"")&lt;&gt;"Por comprobar"))),2,IF('DATOS'!M164="No",2,IF('DATOS'!M164="Sí",0,IF(OR('DATOS'!D164&lt;&gt;'DATOS'!E164,LEN('DATOS'!E164)&gt;300,RIGHT(TRIM('DATOS'!E164),3)="...",RIGHT(TRIM('DATOS'!E164),1)="…"),1,0))))),2)</f>
      </c>
      <c r="S164" s="29">
        <f>IFERROR(IF(N164=0,"",IF('REFERENCIAS'!$Q$8&lt;&gt;1,2,IF(NOT(Y164=1),1,IF(OR(ABS('DATOS'!G164-ROUND('DATOS'!G164,'REFERENCIAS'!$E$8))&gt;0.00000001,ABS('DATOS'!H164-ROUND('DATOS'!H164,'REFERENCIAS'!$H$8))&gt;0.00000001,ABS('DATOS'!J164-ROUND('DATOS'!J164,'REFERENCIAS'!$K$8))&gt;0.00000001,IF(ISNUMBER('DATOS'!I164),ABS('DATOS'!I164-ROUND('DATOS'!I164,'REFERENCIAS'!$H$8))&gt;0.00000001,FALSE)),1,0)))),2)</f>
      </c>
      <c r="T164" s="29">
        <f>IFERROR(IF(N164=0,"",IF(NOT(AND(LEN(TRIM('DATOS'!F164&amp;""))&gt;0,TRIM('DATOS'!F164&amp;"")&lt;&gt;"Pendiente",TRIM('DATOS'!F164&amp;"")&lt;&gt;"Por confirmar",TRIM('DATOS'!F164&amp;"")&lt;&gt;"No consta",TRIM('DATOS'!F164&amp;"")&lt;&gt;"Desconocido",TRIM('DATOS'!F164&amp;"")&lt;&gt;"Sin confirmar",TRIM('DATOS'!F164&amp;"")&lt;&gt;"Por decidir",TRIM('DATOS'!F164&amp;"")&lt;&gt;"Por comprobar")),2,IF(COUNTIFS('REFERENCIAS'!$T$15:$T$34,"ID:"&amp;SUBSTITUTE(SUBSTITUTE(SUBSTITUTE(SUBSTITUTE(UPPER(TRIM('DATOS'!F164&amp;"")),"!","!E"),"*","!A"),"?","!B"),"~","!C"),'REFERENCIAS'!$H$15:$H$34,"&lt;&gt;")&gt;0,0,1))),2)</f>
      </c>
      <c r="U164" s="29" t="str">
        <f>'DATOS'!R164</f>
        <v>ID:</v>
      </c>
      <c r="V164" s="29" t="str">
        <f>'DATOS'!S164</f>
        <v>ID:</v>
      </c>
      <c r="W164" s="29" t="n">
        <f>IF(N164=0,0,COUNTIFS('REFERENCIAS'!$R$15:$R$64,U164))</f>
        <v>0</v>
      </c>
      <c r="X164" s="29" t="n">
        <f>IF(N164=0,0,COUNTIFS('DATOS'!$R$10:$R$509,U164,'DATOS'!$S$10:$S$509,V164))</f>
        <v>0</v>
      </c>
      <c r="Y164" s="29" t="n">
        <f>IF(AND(ISNUMBER('DATOS'!G164),ISNUMBER('DATOS'!H164),ISNUMBER('DATOS'!J164)),1,0)</f>
        <v>0</v>
      </c>
    </row>
    <row r="165" ht="64" customHeight="1">
      <c r="B165" s="26">
        <f>IF(N165=1,156,"")</f>
      </c>
      <c r="C165" s="26">
        <f>IF(AND(N165=1,LEN(TRIM('DATOS'!B165&amp;""))&gt;0),'DATOS'!B165,"")</f>
      </c>
      <c r="D165" s="26">
        <f>IF(AND(N165=1,LEN(TRIM('DATOS'!C165&amp;""))&gt;0),'DATOS'!C165,"")</f>
      </c>
      <c r="E165" s="26">
        <f>IF(NOT(ISNUMBER(P165)),"",IF(P165=2,"ROJO",IF(P165=1,"ÁMBAR","VERDE")))</f>
      </c>
      <c r="F165" s="26">
        <f>IF(NOT(ISNUMBER(Q165)),"",IF(Q165=2,"ROJO",IF(Q165=1,"ÁMBAR","VERDE")))</f>
      </c>
      <c r="G165" s="26">
        <f>IF(NOT(ISNUMBER(R165)),"",IF(R165=2,"ROJO",IF(R165=1,"ÁMBAR","VERDE")))</f>
      </c>
      <c r="H165" s="26">
        <f>IF(NOT(ISNUMBER(S165)),"",IF(S165=2,"ROJO",IF(S165=1,"ÁMBAR","VERDE")))</f>
      </c>
      <c r="I165" s="26">
        <f>IF(NOT(ISNUMBER(T165)),"",IF(T165=2,"ROJO",IF(T165=1,"ÁMBAR","VERDE")))</f>
      </c>
      <c r="J165" s="26">
        <f>IF(NOT(ISNUMBER(O165)),"",IF(O165=2,"ROJO",IF(O165=1,"ÁMBAR","VERDE")))</f>
      </c>
      <c r="K165" s="26">
        <f>IFERROR(IF(AND(N165=1,LEN(TRIM('DATOS'!N165&amp;""))&gt;0),'DATOS'!N165,""),"Hay una entrada con error. Corregimos el dato antes de cerrar la comprobación.")</f>
      </c>
      <c r="L165" s="26">
        <f>IFERROR(IF(N165=0,"",IF(O165&gt;0,"Completamos datos, claves o motivo. ","")&amp;IF(P165&gt;0,"Cotejamos precios e importe. ","")&amp;IF(Q165&gt;0,"Aclaramos el cero. ","")&amp;IF(R165&gt;0,"Comprobamos el texto. ","")&amp;IF(S165&gt;0,"Revisamos decimales visibles. ","")&amp;IF(T165&gt;0,"Confirmamos la unidad.","")),"Hay una entrada con error. Corregimos el dato antes de cerrar la comprobación.")</f>
      </c>
      <c r="N165" s="29" t="n">
        <f>IF(COUNTA('DATOS'!B165:O165)&gt;0,1,0)</f>
        <v>0</v>
      </c>
      <c r="O165" s="29">
        <f>IFERROR(IF(N165=0,"",IF(OR(NOT(AND(LEN(TRIM('DATOS'!B165&amp;""))&gt;0,TRIM('DATOS'!B165&amp;"")&lt;&gt;"Pendiente",TRIM('DATOS'!B165&amp;"")&lt;&gt;"Por confirmar",TRIM('DATOS'!B165&amp;"")&lt;&gt;"No consta",TRIM('DATOS'!B165&amp;"")&lt;&gt;"Desconocido",TRIM('DATOS'!B165&amp;"")&lt;&gt;"Sin confirmar",TRIM('DATOS'!B165&amp;"")&lt;&gt;"Por decidir",TRIM('DATOS'!B165&amp;"")&lt;&gt;"Por comprobar")),NOT(AND(LEN(TRIM('DATOS'!C165&amp;""))&gt;0,TRIM('DATOS'!C165&amp;"")&lt;&gt;"Pendiente",TRIM('DATOS'!C165&amp;"")&lt;&gt;"Por confirmar",TRIM('DATOS'!C165&amp;"")&lt;&gt;"No consta",TRIM('DATOS'!C165&amp;"")&lt;&gt;"Desconocido",TRIM('DATOS'!C165&amp;"")&lt;&gt;"Sin confirmar",TRIM('DATOS'!C165&amp;"")&lt;&gt;"Por decidir",TRIM('DATOS'!C165&amp;"")&lt;&gt;"Por comprobar")),NOT(AND(LEN(TRIM('DATOS'!D165&amp;""))&gt;0,TRIM('DATOS'!D165&amp;"")&lt;&gt;"Pendiente",TRIM('DATOS'!D165&amp;"")&lt;&gt;"Por confirmar",TRIM('DATOS'!D165&amp;"")&lt;&gt;"No consta",TRIM('DATOS'!D165&amp;"")&lt;&gt;"Desconocido",TRIM('DATOS'!D165&amp;"")&lt;&gt;"Sin confirmar",TRIM('DATOS'!D165&amp;"")&lt;&gt;"Por decidir",TRIM('DATOS'!D165&amp;"")&lt;&gt;"Por comprobar")),NOT(AND(LEN(TRIM('DATOS'!E165&amp;""))&gt;0,TRIM('DATOS'!E165&amp;"")&lt;&gt;"Pendiente",TRIM('DATOS'!E165&amp;"")&lt;&gt;"Por confirmar",TRIM('DATOS'!E165&amp;"")&lt;&gt;"No consta",TRIM('DATOS'!E165&amp;"")&lt;&gt;"Desconocido",TRIM('DATOS'!E165&amp;"")&lt;&gt;"Sin confirmar",TRIM('DATOS'!E165&amp;"")&lt;&gt;"Por decidir",TRIM('DATOS'!E165&amp;"")&lt;&gt;"Por comprobar")),NOT(AND(LEN(TRIM('DATOS'!F165&amp;""))&gt;0,TRIM('DATOS'!F165&amp;"")&lt;&gt;"Pendiente",TRIM('DATOS'!F165&amp;"")&lt;&gt;"Por confirmar",TRIM('DATOS'!F165&amp;"")&lt;&gt;"No consta",TRIM('DATOS'!F165&amp;"")&lt;&gt;"Desconocido",TRIM('DATOS'!F165&amp;"")&lt;&gt;"Sin confirmar",TRIM('DATOS'!F165&amp;"")&lt;&gt;"Por decidir",TRIM('DATOS'!F165&amp;"")&lt;&gt;"Por comprobar")),NOT(AND(LEN(TRIM('DATOS'!N165&amp;""))&gt;0,TRIM('DATOS'!N165&amp;"")&lt;&gt;"Pendiente",TRIM('DATOS'!N165&amp;"")&lt;&gt;"Por confirmar",TRIM('DATOS'!N165&amp;"")&lt;&gt;"No consta",TRIM('DATOS'!N165&amp;"")&lt;&gt;"Desconocido",TRIM('DATOS'!N165&amp;"")&lt;&gt;"Sin confirmar",TRIM('DATOS'!N165&amp;"")&lt;&gt;"Por decidir",TRIM('DATOS'!N165&amp;"")&lt;&gt;"Por comprobar")),NOT(Y165=1),W165&lt;&gt;1,X165&gt;1,NOT(OR(LEN(TRIM('DATOS'!K165&amp;""))=0,'DATOS'!K165="Sin valorar",'DATOS'!K165="Sin coste documentado",'DATOS'!K165="Incluido en otra partida",'DATOS'!K165="Por confirmar")),NOT(OR(LEN(TRIM('DATOS'!M165&amp;""))=0,'DATOS'!M165="Sí",'DATOS'!M165="No",'DATOS'!M165="Por confirmar")),NOT(OR(LEN(TRIM('DATOS'!O165&amp;""))=0,'DATOS'!O165="Comparamos",'DATOS'!O165="No existe",'DATOS'!O165="Por confirmar"))),2,IF(AND(OR('DATOS'!G165&lt;0,'DATOS'!H165&lt;0,'DATOS'!J165&lt;0),NOT(AND(LEN(TRIM('DATOS'!L165&amp;""))&gt;0,TRIM('DATOS'!L165&amp;"")&lt;&gt;"Pendiente",TRIM('DATOS'!L165&amp;"")&lt;&gt;"Por confirmar",TRIM('DATOS'!L165&amp;"")&lt;&gt;"No consta",TRIM('DATOS'!L165&amp;"")&lt;&gt;"Desconocido",TRIM('DATOS'!L165&amp;"")&lt;&gt;"Sin confirmar",TRIM('DATOS'!L165&amp;"")&lt;&gt;"Por decidir",TRIM('DATOS'!L165&amp;"")&lt;&gt;"Por comprobar"))),1,0))),2)</f>
      </c>
      <c r="P165" s="29">
        <f>IFERROR(IF(N165=0,"",IF(NOT(Y165=1),1,IF('REFERENCIAS'!$Q$8&lt;&gt;1,2,IF(ABS('DATOS'!J165-ROUND('DATOS'!G165*'DATOS'!H165,'REFERENCIAS'!$K$8))&gt;0.00000001,2,IF('DATOS'!O165="No existe",IF(LEN(TRIM('DATOS'!I165&amp;""))=0,0,2),IF('DATOS'!O165="Comparamos",IF(LEN(TRIM('DATOS'!I165&amp;""))=0,1,IF(ISNUMBER('DATOS'!I165),IF(ABS('DATOS'!H165-'DATOS'!I165)&gt;0.00000001,2,0),2)),1)))))),2)</f>
      </c>
      <c r="Q165" s="29">
        <f>IFERROR(IF(N165=0,"",IF(NOT(Y165=1),1,IF('DATOS'!K165="Sin valorar",2,IF('DATOS'!G165=0,1,IF(OR('DATOS'!H165=0,'DATOS'!J165=0),IF(AND(OR('DATOS'!K165="Sin coste documentado",'DATOS'!K165="Incluido en otra partida"),AND(LEN(TRIM('DATOS'!L165&amp;""))&gt;0,TRIM('DATOS'!L165&amp;"")&lt;&gt;"Pendiente",TRIM('DATOS'!L165&amp;"")&lt;&gt;"Por confirmar",TRIM('DATOS'!L165&amp;"")&lt;&gt;"No consta",TRIM('DATOS'!L165&amp;"")&lt;&gt;"Desconocido",TRIM('DATOS'!L165&amp;"")&lt;&gt;"Sin confirmar",TRIM('DATOS'!L165&amp;"")&lt;&gt;"Por decidir",TRIM('DATOS'!L165&amp;"")&lt;&gt;"Por comprobar")),0,1),0))))),2)</f>
      </c>
      <c r="R165" s="29">
        <f>IFERROR(IF(N165=0,"",IF(OR(NOT(AND(LEN(TRIM('DATOS'!D165&amp;""))&gt;0,TRIM('DATOS'!D165&amp;"")&lt;&gt;"Pendiente",TRIM('DATOS'!D165&amp;"")&lt;&gt;"Por confirmar",TRIM('DATOS'!D165&amp;"")&lt;&gt;"No consta",TRIM('DATOS'!D165&amp;"")&lt;&gt;"Desconocido",TRIM('DATOS'!D165&amp;"")&lt;&gt;"Sin confirmar",TRIM('DATOS'!D165&amp;"")&lt;&gt;"Por decidir",TRIM('DATOS'!D165&amp;"")&lt;&gt;"Por comprobar")),NOT(AND(LEN(TRIM('DATOS'!E165&amp;""))&gt;0,TRIM('DATOS'!E165&amp;"")&lt;&gt;"Pendiente",TRIM('DATOS'!E165&amp;"")&lt;&gt;"Por confirmar",TRIM('DATOS'!E165&amp;"")&lt;&gt;"No consta",TRIM('DATOS'!E165&amp;"")&lt;&gt;"Desconocido",TRIM('DATOS'!E165&amp;"")&lt;&gt;"Sin confirmar",TRIM('DATOS'!E165&amp;"")&lt;&gt;"Por decidir",TRIM('DATOS'!E165&amp;"")&lt;&gt;"Por comprobar"))),2,IF('DATOS'!M165="No",2,IF('DATOS'!M165="Sí",0,IF(OR('DATOS'!D165&lt;&gt;'DATOS'!E165,LEN('DATOS'!E165)&gt;300,RIGHT(TRIM('DATOS'!E165),3)="...",RIGHT(TRIM('DATOS'!E165),1)="…"),1,0))))),2)</f>
      </c>
      <c r="S165" s="29">
        <f>IFERROR(IF(N165=0,"",IF('REFERENCIAS'!$Q$8&lt;&gt;1,2,IF(NOT(Y165=1),1,IF(OR(ABS('DATOS'!G165-ROUND('DATOS'!G165,'REFERENCIAS'!$E$8))&gt;0.00000001,ABS('DATOS'!H165-ROUND('DATOS'!H165,'REFERENCIAS'!$H$8))&gt;0.00000001,ABS('DATOS'!J165-ROUND('DATOS'!J165,'REFERENCIAS'!$K$8))&gt;0.00000001,IF(ISNUMBER('DATOS'!I165),ABS('DATOS'!I165-ROUND('DATOS'!I165,'REFERENCIAS'!$H$8))&gt;0.00000001,FALSE)),1,0)))),2)</f>
      </c>
      <c r="T165" s="29">
        <f>IFERROR(IF(N165=0,"",IF(NOT(AND(LEN(TRIM('DATOS'!F165&amp;""))&gt;0,TRIM('DATOS'!F165&amp;"")&lt;&gt;"Pendiente",TRIM('DATOS'!F165&amp;"")&lt;&gt;"Por confirmar",TRIM('DATOS'!F165&amp;"")&lt;&gt;"No consta",TRIM('DATOS'!F165&amp;"")&lt;&gt;"Desconocido",TRIM('DATOS'!F165&amp;"")&lt;&gt;"Sin confirmar",TRIM('DATOS'!F165&amp;"")&lt;&gt;"Por decidir",TRIM('DATOS'!F165&amp;"")&lt;&gt;"Por comprobar")),2,IF(COUNTIFS('REFERENCIAS'!$T$15:$T$34,"ID:"&amp;SUBSTITUTE(SUBSTITUTE(SUBSTITUTE(SUBSTITUTE(UPPER(TRIM('DATOS'!F165&amp;"")),"!","!E"),"*","!A"),"?","!B"),"~","!C"),'REFERENCIAS'!$H$15:$H$34,"&lt;&gt;")&gt;0,0,1))),2)</f>
      </c>
      <c r="U165" s="29" t="str">
        <f>'DATOS'!R165</f>
        <v>ID:</v>
      </c>
      <c r="V165" s="29" t="str">
        <f>'DATOS'!S165</f>
        <v>ID:</v>
      </c>
      <c r="W165" s="29" t="n">
        <f>IF(N165=0,0,COUNTIFS('REFERENCIAS'!$R$15:$R$64,U165))</f>
        <v>0</v>
      </c>
      <c r="X165" s="29" t="n">
        <f>IF(N165=0,0,COUNTIFS('DATOS'!$R$10:$R$509,U165,'DATOS'!$S$10:$S$509,V165))</f>
        <v>0</v>
      </c>
      <c r="Y165" s="29" t="n">
        <f>IF(AND(ISNUMBER('DATOS'!G165),ISNUMBER('DATOS'!H165),ISNUMBER('DATOS'!J165)),1,0)</f>
        <v>0</v>
      </c>
    </row>
    <row r="166" ht="64" customHeight="1">
      <c r="B166" s="26">
        <f>IF(N166=1,157,"")</f>
      </c>
      <c r="C166" s="26">
        <f>IF(AND(N166=1,LEN(TRIM('DATOS'!B166&amp;""))&gt;0),'DATOS'!B166,"")</f>
      </c>
      <c r="D166" s="26">
        <f>IF(AND(N166=1,LEN(TRIM('DATOS'!C166&amp;""))&gt;0),'DATOS'!C166,"")</f>
      </c>
      <c r="E166" s="26">
        <f>IF(NOT(ISNUMBER(P166)),"",IF(P166=2,"ROJO",IF(P166=1,"ÁMBAR","VERDE")))</f>
      </c>
      <c r="F166" s="26">
        <f>IF(NOT(ISNUMBER(Q166)),"",IF(Q166=2,"ROJO",IF(Q166=1,"ÁMBAR","VERDE")))</f>
      </c>
      <c r="G166" s="26">
        <f>IF(NOT(ISNUMBER(R166)),"",IF(R166=2,"ROJO",IF(R166=1,"ÁMBAR","VERDE")))</f>
      </c>
      <c r="H166" s="26">
        <f>IF(NOT(ISNUMBER(S166)),"",IF(S166=2,"ROJO",IF(S166=1,"ÁMBAR","VERDE")))</f>
      </c>
      <c r="I166" s="26">
        <f>IF(NOT(ISNUMBER(T166)),"",IF(T166=2,"ROJO",IF(T166=1,"ÁMBAR","VERDE")))</f>
      </c>
      <c r="J166" s="26">
        <f>IF(NOT(ISNUMBER(O166)),"",IF(O166=2,"ROJO",IF(O166=1,"ÁMBAR","VERDE")))</f>
      </c>
      <c r="K166" s="26">
        <f>IFERROR(IF(AND(N166=1,LEN(TRIM('DATOS'!N166&amp;""))&gt;0),'DATOS'!N166,""),"Hay una entrada con error. Corregimos el dato antes de cerrar la comprobación.")</f>
      </c>
      <c r="L166" s="26">
        <f>IFERROR(IF(N166=0,"",IF(O166&gt;0,"Completamos datos, claves o motivo. ","")&amp;IF(P166&gt;0,"Cotejamos precios e importe. ","")&amp;IF(Q166&gt;0,"Aclaramos el cero. ","")&amp;IF(R166&gt;0,"Comprobamos el texto. ","")&amp;IF(S166&gt;0,"Revisamos decimales visibles. ","")&amp;IF(T166&gt;0,"Confirmamos la unidad.","")),"Hay una entrada con error. Corregimos el dato antes de cerrar la comprobación.")</f>
      </c>
      <c r="N166" s="29" t="n">
        <f>IF(COUNTA('DATOS'!B166:O166)&gt;0,1,0)</f>
        <v>0</v>
      </c>
      <c r="O166" s="29">
        <f>IFERROR(IF(N166=0,"",IF(OR(NOT(AND(LEN(TRIM('DATOS'!B166&amp;""))&gt;0,TRIM('DATOS'!B166&amp;"")&lt;&gt;"Pendiente",TRIM('DATOS'!B166&amp;"")&lt;&gt;"Por confirmar",TRIM('DATOS'!B166&amp;"")&lt;&gt;"No consta",TRIM('DATOS'!B166&amp;"")&lt;&gt;"Desconocido",TRIM('DATOS'!B166&amp;"")&lt;&gt;"Sin confirmar",TRIM('DATOS'!B166&amp;"")&lt;&gt;"Por decidir",TRIM('DATOS'!B166&amp;"")&lt;&gt;"Por comprobar")),NOT(AND(LEN(TRIM('DATOS'!C166&amp;""))&gt;0,TRIM('DATOS'!C166&amp;"")&lt;&gt;"Pendiente",TRIM('DATOS'!C166&amp;"")&lt;&gt;"Por confirmar",TRIM('DATOS'!C166&amp;"")&lt;&gt;"No consta",TRIM('DATOS'!C166&amp;"")&lt;&gt;"Desconocido",TRIM('DATOS'!C166&amp;"")&lt;&gt;"Sin confirmar",TRIM('DATOS'!C166&amp;"")&lt;&gt;"Por decidir",TRIM('DATOS'!C166&amp;"")&lt;&gt;"Por comprobar")),NOT(AND(LEN(TRIM('DATOS'!D166&amp;""))&gt;0,TRIM('DATOS'!D166&amp;"")&lt;&gt;"Pendiente",TRIM('DATOS'!D166&amp;"")&lt;&gt;"Por confirmar",TRIM('DATOS'!D166&amp;"")&lt;&gt;"No consta",TRIM('DATOS'!D166&amp;"")&lt;&gt;"Desconocido",TRIM('DATOS'!D166&amp;"")&lt;&gt;"Sin confirmar",TRIM('DATOS'!D166&amp;"")&lt;&gt;"Por decidir",TRIM('DATOS'!D166&amp;"")&lt;&gt;"Por comprobar")),NOT(AND(LEN(TRIM('DATOS'!E166&amp;""))&gt;0,TRIM('DATOS'!E166&amp;"")&lt;&gt;"Pendiente",TRIM('DATOS'!E166&amp;"")&lt;&gt;"Por confirmar",TRIM('DATOS'!E166&amp;"")&lt;&gt;"No consta",TRIM('DATOS'!E166&amp;"")&lt;&gt;"Desconocido",TRIM('DATOS'!E166&amp;"")&lt;&gt;"Sin confirmar",TRIM('DATOS'!E166&amp;"")&lt;&gt;"Por decidir",TRIM('DATOS'!E166&amp;"")&lt;&gt;"Por comprobar")),NOT(AND(LEN(TRIM('DATOS'!F166&amp;""))&gt;0,TRIM('DATOS'!F166&amp;"")&lt;&gt;"Pendiente",TRIM('DATOS'!F166&amp;"")&lt;&gt;"Por confirmar",TRIM('DATOS'!F166&amp;"")&lt;&gt;"No consta",TRIM('DATOS'!F166&amp;"")&lt;&gt;"Desconocido",TRIM('DATOS'!F166&amp;"")&lt;&gt;"Sin confirmar",TRIM('DATOS'!F166&amp;"")&lt;&gt;"Por decidir",TRIM('DATOS'!F166&amp;"")&lt;&gt;"Por comprobar")),NOT(AND(LEN(TRIM('DATOS'!N166&amp;""))&gt;0,TRIM('DATOS'!N166&amp;"")&lt;&gt;"Pendiente",TRIM('DATOS'!N166&amp;"")&lt;&gt;"Por confirmar",TRIM('DATOS'!N166&amp;"")&lt;&gt;"No consta",TRIM('DATOS'!N166&amp;"")&lt;&gt;"Desconocido",TRIM('DATOS'!N166&amp;"")&lt;&gt;"Sin confirmar",TRIM('DATOS'!N166&amp;"")&lt;&gt;"Por decidir",TRIM('DATOS'!N166&amp;"")&lt;&gt;"Por comprobar")),NOT(Y166=1),W166&lt;&gt;1,X166&gt;1,NOT(OR(LEN(TRIM('DATOS'!K166&amp;""))=0,'DATOS'!K166="Sin valorar",'DATOS'!K166="Sin coste documentado",'DATOS'!K166="Incluido en otra partida",'DATOS'!K166="Por confirmar")),NOT(OR(LEN(TRIM('DATOS'!M166&amp;""))=0,'DATOS'!M166="Sí",'DATOS'!M166="No",'DATOS'!M166="Por confirmar")),NOT(OR(LEN(TRIM('DATOS'!O166&amp;""))=0,'DATOS'!O166="Comparamos",'DATOS'!O166="No existe",'DATOS'!O166="Por confirmar"))),2,IF(AND(OR('DATOS'!G166&lt;0,'DATOS'!H166&lt;0,'DATOS'!J166&lt;0),NOT(AND(LEN(TRIM('DATOS'!L166&amp;""))&gt;0,TRIM('DATOS'!L166&amp;"")&lt;&gt;"Pendiente",TRIM('DATOS'!L166&amp;"")&lt;&gt;"Por confirmar",TRIM('DATOS'!L166&amp;"")&lt;&gt;"No consta",TRIM('DATOS'!L166&amp;"")&lt;&gt;"Desconocido",TRIM('DATOS'!L166&amp;"")&lt;&gt;"Sin confirmar",TRIM('DATOS'!L166&amp;"")&lt;&gt;"Por decidir",TRIM('DATOS'!L166&amp;"")&lt;&gt;"Por comprobar"))),1,0))),2)</f>
      </c>
      <c r="P166" s="29">
        <f>IFERROR(IF(N166=0,"",IF(NOT(Y166=1),1,IF('REFERENCIAS'!$Q$8&lt;&gt;1,2,IF(ABS('DATOS'!J166-ROUND('DATOS'!G166*'DATOS'!H166,'REFERENCIAS'!$K$8))&gt;0.00000001,2,IF('DATOS'!O166="No existe",IF(LEN(TRIM('DATOS'!I166&amp;""))=0,0,2),IF('DATOS'!O166="Comparamos",IF(LEN(TRIM('DATOS'!I166&amp;""))=0,1,IF(ISNUMBER('DATOS'!I166),IF(ABS('DATOS'!H166-'DATOS'!I166)&gt;0.00000001,2,0),2)),1)))))),2)</f>
      </c>
      <c r="Q166" s="29">
        <f>IFERROR(IF(N166=0,"",IF(NOT(Y166=1),1,IF('DATOS'!K166="Sin valorar",2,IF('DATOS'!G166=0,1,IF(OR('DATOS'!H166=0,'DATOS'!J166=0),IF(AND(OR('DATOS'!K166="Sin coste documentado",'DATOS'!K166="Incluido en otra partida"),AND(LEN(TRIM('DATOS'!L166&amp;""))&gt;0,TRIM('DATOS'!L166&amp;"")&lt;&gt;"Pendiente",TRIM('DATOS'!L166&amp;"")&lt;&gt;"Por confirmar",TRIM('DATOS'!L166&amp;"")&lt;&gt;"No consta",TRIM('DATOS'!L166&amp;"")&lt;&gt;"Desconocido",TRIM('DATOS'!L166&amp;"")&lt;&gt;"Sin confirmar",TRIM('DATOS'!L166&amp;"")&lt;&gt;"Por decidir",TRIM('DATOS'!L166&amp;"")&lt;&gt;"Por comprobar")),0,1),0))))),2)</f>
      </c>
      <c r="R166" s="29">
        <f>IFERROR(IF(N166=0,"",IF(OR(NOT(AND(LEN(TRIM('DATOS'!D166&amp;""))&gt;0,TRIM('DATOS'!D166&amp;"")&lt;&gt;"Pendiente",TRIM('DATOS'!D166&amp;"")&lt;&gt;"Por confirmar",TRIM('DATOS'!D166&amp;"")&lt;&gt;"No consta",TRIM('DATOS'!D166&amp;"")&lt;&gt;"Desconocido",TRIM('DATOS'!D166&amp;"")&lt;&gt;"Sin confirmar",TRIM('DATOS'!D166&amp;"")&lt;&gt;"Por decidir",TRIM('DATOS'!D166&amp;"")&lt;&gt;"Por comprobar")),NOT(AND(LEN(TRIM('DATOS'!E166&amp;""))&gt;0,TRIM('DATOS'!E166&amp;"")&lt;&gt;"Pendiente",TRIM('DATOS'!E166&amp;"")&lt;&gt;"Por confirmar",TRIM('DATOS'!E166&amp;"")&lt;&gt;"No consta",TRIM('DATOS'!E166&amp;"")&lt;&gt;"Desconocido",TRIM('DATOS'!E166&amp;"")&lt;&gt;"Sin confirmar",TRIM('DATOS'!E166&amp;"")&lt;&gt;"Por decidir",TRIM('DATOS'!E166&amp;"")&lt;&gt;"Por comprobar"))),2,IF('DATOS'!M166="No",2,IF('DATOS'!M166="Sí",0,IF(OR('DATOS'!D166&lt;&gt;'DATOS'!E166,LEN('DATOS'!E166)&gt;300,RIGHT(TRIM('DATOS'!E166),3)="...",RIGHT(TRIM('DATOS'!E166),1)="…"),1,0))))),2)</f>
      </c>
      <c r="S166" s="29">
        <f>IFERROR(IF(N166=0,"",IF('REFERENCIAS'!$Q$8&lt;&gt;1,2,IF(NOT(Y166=1),1,IF(OR(ABS('DATOS'!G166-ROUND('DATOS'!G166,'REFERENCIAS'!$E$8))&gt;0.00000001,ABS('DATOS'!H166-ROUND('DATOS'!H166,'REFERENCIAS'!$H$8))&gt;0.00000001,ABS('DATOS'!J166-ROUND('DATOS'!J166,'REFERENCIAS'!$K$8))&gt;0.00000001,IF(ISNUMBER('DATOS'!I166),ABS('DATOS'!I166-ROUND('DATOS'!I166,'REFERENCIAS'!$H$8))&gt;0.00000001,FALSE)),1,0)))),2)</f>
      </c>
      <c r="T166" s="29">
        <f>IFERROR(IF(N166=0,"",IF(NOT(AND(LEN(TRIM('DATOS'!F166&amp;""))&gt;0,TRIM('DATOS'!F166&amp;"")&lt;&gt;"Pendiente",TRIM('DATOS'!F166&amp;"")&lt;&gt;"Por confirmar",TRIM('DATOS'!F166&amp;"")&lt;&gt;"No consta",TRIM('DATOS'!F166&amp;"")&lt;&gt;"Desconocido",TRIM('DATOS'!F166&amp;"")&lt;&gt;"Sin confirmar",TRIM('DATOS'!F166&amp;"")&lt;&gt;"Por decidir",TRIM('DATOS'!F166&amp;"")&lt;&gt;"Por comprobar")),2,IF(COUNTIFS('REFERENCIAS'!$T$15:$T$34,"ID:"&amp;SUBSTITUTE(SUBSTITUTE(SUBSTITUTE(SUBSTITUTE(UPPER(TRIM('DATOS'!F166&amp;"")),"!","!E"),"*","!A"),"?","!B"),"~","!C"),'REFERENCIAS'!$H$15:$H$34,"&lt;&gt;")&gt;0,0,1))),2)</f>
      </c>
      <c r="U166" s="29" t="str">
        <f>'DATOS'!R166</f>
        <v>ID:</v>
      </c>
      <c r="V166" s="29" t="str">
        <f>'DATOS'!S166</f>
        <v>ID:</v>
      </c>
      <c r="W166" s="29" t="n">
        <f>IF(N166=0,0,COUNTIFS('REFERENCIAS'!$R$15:$R$64,U166))</f>
        <v>0</v>
      </c>
      <c r="X166" s="29" t="n">
        <f>IF(N166=0,0,COUNTIFS('DATOS'!$R$10:$R$509,U166,'DATOS'!$S$10:$S$509,V166))</f>
        <v>0</v>
      </c>
      <c r="Y166" s="29" t="n">
        <f>IF(AND(ISNUMBER('DATOS'!G166),ISNUMBER('DATOS'!H166),ISNUMBER('DATOS'!J166)),1,0)</f>
        <v>0</v>
      </c>
    </row>
    <row r="167" ht="64" customHeight="1">
      <c r="B167" s="26">
        <f>IF(N167=1,158,"")</f>
      </c>
      <c r="C167" s="26">
        <f>IF(AND(N167=1,LEN(TRIM('DATOS'!B167&amp;""))&gt;0),'DATOS'!B167,"")</f>
      </c>
      <c r="D167" s="26">
        <f>IF(AND(N167=1,LEN(TRIM('DATOS'!C167&amp;""))&gt;0),'DATOS'!C167,"")</f>
      </c>
      <c r="E167" s="26">
        <f>IF(NOT(ISNUMBER(P167)),"",IF(P167=2,"ROJO",IF(P167=1,"ÁMBAR","VERDE")))</f>
      </c>
      <c r="F167" s="26">
        <f>IF(NOT(ISNUMBER(Q167)),"",IF(Q167=2,"ROJO",IF(Q167=1,"ÁMBAR","VERDE")))</f>
      </c>
      <c r="G167" s="26">
        <f>IF(NOT(ISNUMBER(R167)),"",IF(R167=2,"ROJO",IF(R167=1,"ÁMBAR","VERDE")))</f>
      </c>
      <c r="H167" s="26">
        <f>IF(NOT(ISNUMBER(S167)),"",IF(S167=2,"ROJO",IF(S167=1,"ÁMBAR","VERDE")))</f>
      </c>
      <c r="I167" s="26">
        <f>IF(NOT(ISNUMBER(T167)),"",IF(T167=2,"ROJO",IF(T167=1,"ÁMBAR","VERDE")))</f>
      </c>
      <c r="J167" s="26">
        <f>IF(NOT(ISNUMBER(O167)),"",IF(O167=2,"ROJO",IF(O167=1,"ÁMBAR","VERDE")))</f>
      </c>
      <c r="K167" s="26">
        <f>IFERROR(IF(AND(N167=1,LEN(TRIM('DATOS'!N167&amp;""))&gt;0),'DATOS'!N167,""),"Hay una entrada con error. Corregimos el dato antes de cerrar la comprobación.")</f>
      </c>
      <c r="L167" s="26">
        <f>IFERROR(IF(N167=0,"",IF(O167&gt;0,"Completamos datos, claves o motivo. ","")&amp;IF(P167&gt;0,"Cotejamos precios e importe. ","")&amp;IF(Q167&gt;0,"Aclaramos el cero. ","")&amp;IF(R167&gt;0,"Comprobamos el texto. ","")&amp;IF(S167&gt;0,"Revisamos decimales visibles. ","")&amp;IF(T167&gt;0,"Confirmamos la unidad.","")),"Hay una entrada con error. Corregimos el dato antes de cerrar la comprobación.")</f>
      </c>
      <c r="N167" s="29" t="n">
        <f>IF(COUNTA('DATOS'!B167:O167)&gt;0,1,0)</f>
        <v>0</v>
      </c>
      <c r="O167" s="29">
        <f>IFERROR(IF(N167=0,"",IF(OR(NOT(AND(LEN(TRIM('DATOS'!B167&amp;""))&gt;0,TRIM('DATOS'!B167&amp;"")&lt;&gt;"Pendiente",TRIM('DATOS'!B167&amp;"")&lt;&gt;"Por confirmar",TRIM('DATOS'!B167&amp;"")&lt;&gt;"No consta",TRIM('DATOS'!B167&amp;"")&lt;&gt;"Desconocido",TRIM('DATOS'!B167&amp;"")&lt;&gt;"Sin confirmar",TRIM('DATOS'!B167&amp;"")&lt;&gt;"Por decidir",TRIM('DATOS'!B167&amp;"")&lt;&gt;"Por comprobar")),NOT(AND(LEN(TRIM('DATOS'!C167&amp;""))&gt;0,TRIM('DATOS'!C167&amp;"")&lt;&gt;"Pendiente",TRIM('DATOS'!C167&amp;"")&lt;&gt;"Por confirmar",TRIM('DATOS'!C167&amp;"")&lt;&gt;"No consta",TRIM('DATOS'!C167&amp;"")&lt;&gt;"Desconocido",TRIM('DATOS'!C167&amp;"")&lt;&gt;"Sin confirmar",TRIM('DATOS'!C167&amp;"")&lt;&gt;"Por decidir",TRIM('DATOS'!C167&amp;"")&lt;&gt;"Por comprobar")),NOT(AND(LEN(TRIM('DATOS'!D167&amp;""))&gt;0,TRIM('DATOS'!D167&amp;"")&lt;&gt;"Pendiente",TRIM('DATOS'!D167&amp;"")&lt;&gt;"Por confirmar",TRIM('DATOS'!D167&amp;"")&lt;&gt;"No consta",TRIM('DATOS'!D167&amp;"")&lt;&gt;"Desconocido",TRIM('DATOS'!D167&amp;"")&lt;&gt;"Sin confirmar",TRIM('DATOS'!D167&amp;"")&lt;&gt;"Por decidir",TRIM('DATOS'!D167&amp;"")&lt;&gt;"Por comprobar")),NOT(AND(LEN(TRIM('DATOS'!E167&amp;""))&gt;0,TRIM('DATOS'!E167&amp;"")&lt;&gt;"Pendiente",TRIM('DATOS'!E167&amp;"")&lt;&gt;"Por confirmar",TRIM('DATOS'!E167&amp;"")&lt;&gt;"No consta",TRIM('DATOS'!E167&amp;"")&lt;&gt;"Desconocido",TRIM('DATOS'!E167&amp;"")&lt;&gt;"Sin confirmar",TRIM('DATOS'!E167&amp;"")&lt;&gt;"Por decidir",TRIM('DATOS'!E167&amp;"")&lt;&gt;"Por comprobar")),NOT(AND(LEN(TRIM('DATOS'!F167&amp;""))&gt;0,TRIM('DATOS'!F167&amp;"")&lt;&gt;"Pendiente",TRIM('DATOS'!F167&amp;"")&lt;&gt;"Por confirmar",TRIM('DATOS'!F167&amp;"")&lt;&gt;"No consta",TRIM('DATOS'!F167&amp;"")&lt;&gt;"Desconocido",TRIM('DATOS'!F167&amp;"")&lt;&gt;"Sin confirmar",TRIM('DATOS'!F167&amp;"")&lt;&gt;"Por decidir",TRIM('DATOS'!F167&amp;"")&lt;&gt;"Por comprobar")),NOT(AND(LEN(TRIM('DATOS'!N167&amp;""))&gt;0,TRIM('DATOS'!N167&amp;"")&lt;&gt;"Pendiente",TRIM('DATOS'!N167&amp;"")&lt;&gt;"Por confirmar",TRIM('DATOS'!N167&amp;"")&lt;&gt;"No consta",TRIM('DATOS'!N167&amp;"")&lt;&gt;"Desconocido",TRIM('DATOS'!N167&amp;"")&lt;&gt;"Sin confirmar",TRIM('DATOS'!N167&amp;"")&lt;&gt;"Por decidir",TRIM('DATOS'!N167&amp;"")&lt;&gt;"Por comprobar")),NOT(Y167=1),W167&lt;&gt;1,X167&gt;1,NOT(OR(LEN(TRIM('DATOS'!K167&amp;""))=0,'DATOS'!K167="Sin valorar",'DATOS'!K167="Sin coste documentado",'DATOS'!K167="Incluido en otra partida",'DATOS'!K167="Por confirmar")),NOT(OR(LEN(TRIM('DATOS'!M167&amp;""))=0,'DATOS'!M167="Sí",'DATOS'!M167="No",'DATOS'!M167="Por confirmar")),NOT(OR(LEN(TRIM('DATOS'!O167&amp;""))=0,'DATOS'!O167="Comparamos",'DATOS'!O167="No existe",'DATOS'!O167="Por confirmar"))),2,IF(AND(OR('DATOS'!G167&lt;0,'DATOS'!H167&lt;0,'DATOS'!J167&lt;0),NOT(AND(LEN(TRIM('DATOS'!L167&amp;""))&gt;0,TRIM('DATOS'!L167&amp;"")&lt;&gt;"Pendiente",TRIM('DATOS'!L167&amp;"")&lt;&gt;"Por confirmar",TRIM('DATOS'!L167&amp;"")&lt;&gt;"No consta",TRIM('DATOS'!L167&amp;"")&lt;&gt;"Desconocido",TRIM('DATOS'!L167&amp;"")&lt;&gt;"Sin confirmar",TRIM('DATOS'!L167&amp;"")&lt;&gt;"Por decidir",TRIM('DATOS'!L167&amp;"")&lt;&gt;"Por comprobar"))),1,0))),2)</f>
      </c>
      <c r="P167" s="29">
        <f>IFERROR(IF(N167=0,"",IF(NOT(Y167=1),1,IF('REFERENCIAS'!$Q$8&lt;&gt;1,2,IF(ABS('DATOS'!J167-ROUND('DATOS'!G167*'DATOS'!H167,'REFERENCIAS'!$K$8))&gt;0.00000001,2,IF('DATOS'!O167="No existe",IF(LEN(TRIM('DATOS'!I167&amp;""))=0,0,2),IF('DATOS'!O167="Comparamos",IF(LEN(TRIM('DATOS'!I167&amp;""))=0,1,IF(ISNUMBER('DATOS'!I167),IF(ABS('DATOS'!H167-'DATOS'!I167)&gt;0.00000001,2,0),2)),1)))))),2)</f>
      </c>
      <c r="Q167" s="29">
        <f>IFERROR(IF(N167=0,"",IF(NOT(Y167=1),1,IF('DATOS'!K167="Sin valorar",2,IF('DATOS'!G167=0,1,IF(OR('DATOS'!H167=0,'DATOS'!J167=0),IF(AND(OR('DATOS'!K167="Sin coste documentado",'DATOS'!K167="Incluido en otra partida"),AND(LEN(TRIM('DATOS'!L167&amp;""))&gt;0,TRIM('DATOS'!L167&amp;"")&lt;&gt;"Pendiente",TRIM('DATOS'!L167&amp;"")&lt;&gt;"Por confirmar",TRIM('DATOS'!L167&amp;"")&lt;&gt;"No consta",TRIM('DATOS'!L167&amp;"")&lt;&gt;"Desconocido",TRIM('DATOS'!L167&amp;"")&lt;&gt;"Sin confirmar",TRIM('DATOS'!L167&amp;"")&lt;&gt;"Por decidir",TRIM('DATOS'!L167&amp;"")&lt;&gt;"Por comprobar")),0,1),0))))),2)</f>
      </c>
      <c r="R167" s="29">
        <f>IFERROR(IF(N167=0,"",IF(OR(NOT(AND(LEN(TRIM('DATOS'!D167&amp;""))&gt;0,TRIM('DATOS'!D167&amp;"")&lt;&gt;"Pendiente",TRIM('DATOS'!D167&amp;"")&lt;&gt;"Por confirmar",TRIM('DATOS'!D167&amp;"")&lt;&gt;"No consta",TRIM('DATOS'!D167&amp;"")&lt;&gt;"Desconocido",TRIM('DATOS'!D167&amp;"")&lt;&gt;"Sin confirmar",TRIM('DATOS'!D167&amp;"")&lt;&gt;"Por decidir",TRIM('DATOS'!D167&amp;"")&lt;&gt;"Por comprobar")),NOT(AND(LEN(TRIM('DATOS'!E167&amp;""))&gt;0,TRIM('DATOS'!E167&amp;"")&lt;&gt;"Pendiente",TRIM('DATOS'!E167&amp;"")&lt;&gt;"Por confirmar",TRIM('DATOS'!E167&amp;"")&lt;&gt;"No consta",TRIM('DATOS'!E167&amp;"")&lt;&gt;"Desconocido",TRIM('DATOS'!E167&amp;"")&lt;&gt;"Sin confirmar",TRIM('DATOS'!E167&amp;"")&lt;&gt;"Por decidir",TRIM('DATOS'!E167&amp;"")&lt;&gt;"Por comprobar"))),2,IF('DATOS'!M167="No",2,IF('DATOS'!M167="Sí",0,IF(OR('DATOS'!D167&lt;&gt;'DATOS'!E167,LEN('DATOS'!E167)&gt;300,RIGHT(TRIM('DATOS'!E167),3)="...",RIGHT(TRIM('DATOS'!E167),1)="…"),1,0))))),2)</f>
      </c>
      <c r="S167" s="29">
        <f>IFERROR(IF(N167=0,"",IF('REFERENCIAS'!$Q$8&lt;&gt;1,2,IF(NOT(Y167=1),1,IF(OR(ABS('DATOS'!G167-ROUND('DATOS'!G167,'REFERENCIAS'!$E$8))&gt;0.00000001,ABS('DATOS'!H167-ROUND('DATOS'!H167,'REFERENCIAS'!$H$8))&gt;0.00000001,ABS('DATOS'!J167-ROUND('DATOS'!J167,'REFERENCIAS'!$K$8))&gt;0.00000001,IF(ISNUMBER('DATOS'!I167),ABS('DATOS'!I167-ROUND('DATOS'!I167,'REFERENCIAS'!$H$8))&gt;0.00000001,FALSE)),1,0)))),2)</f>
      </c>
      <c r="T167" s="29">
        <f>IFERROR(IF(N167=0,"",IF(NOT(AND(LEN(TRIM('DATOS'!F167&amp;""))&gt;0,TRIM('DATOS'!F167&amp;"")&lt;&gt;"Pendiente",TRIM('DATOS'!F167&amp;"")&lt;&gt;"Por confirmar",TRIM('DATOS'!F167&amp;"")&lt;&gt;"No consta",TRIM('DATOS'!F167&amp;"")&lt;&gt;"Desconocido",TRIM('DATOS'!F167&amp;"")&lt;&gt;"Sin confirmar",TRIM('DATOS'!F167&amp;"")&lt;&gt;"Por decidir",TRIM('DATOS'!F167&amp;"")&lt;&gt;"Por comprobar")),2,IF(COUNTIFS('REFERENCIAS'!$T$15:$T$34,"ID:"&amp;SUBSTITUTE(SUBSTITUTE(SUBSTITUTE(SUBSTITUTE(UPPER(TRIM('DATOS'!F167&amp;"")),"!","!E"),"*","!A"),"?","!B"),"~","!C"),'REFERENCIAS'!$H$15:$H$34,"&lt;&gt;")&gt;0,0,1))),2)</f>
      </c>
      <c r="U167" s="29" t="str">
        <f>'DATOS'!R167</f>
        <v>ID:</v>
      </c>
      <c r="V167" s="29" t="str">
        <f>'DATOS'!S167</f>
        <v>ID:</v>
      </c>
      <c r="W167" s="29" t="n">
        <f>IF(N167=0,0,COUNTIFS('REFERENCIAS'!$R$15:$R$64,U167))</f>
        <v>0</v>
      </c>
      <c r="X167" s="29" t="n">
        <f>IF(N167=0,0,COUNTIFS('DATOS'!$R$10:$R$509,U167,'DATOS'!$S$10:$S$509,V167))</f>
        <v>0</v>
      </c>
      <c r="Y167" s="29" t="n">
        <f>IF(AND(ISNUMBER('DATOS'!G167),ISNUMBER('DATOS'!H167),ISNUMBER('DATOS'!J167)),1,0)</f>
        <v>0</v>
      </c>
    </row>
    <row r="168" ht="64" customHeight="1">
      <c r="B168" s="26">
        <f>IF(N168=1,159,"")</f>
      </c>
      <c r="C168" s="26">
        <f>IF(AND(N168=1,LEN(TRIM('DATOS'!B168&amp;""))&gt;0),'DATOS'!B168,"")</f>
      </c>
      <c r="D168" s="26">
        <f>IF(AND(N168=1,LEN(TRIM('DATOS'!C168&amp;""))&gt;0),'DATOS'!C168,"")</f>
      </c>
      <c r="E168" s="26">
        <f>IF(NOT(ISNUMBER(P168)),"",IF(P168=2,"ROJO",IF(P168=1,"ÁMBAR","VERDE")))</f>
      </c>
      <c r="F168" s="26">
        <f>IF(NOT(ISNUMBER(Q168)),"",IF(Q168=2,"ROJO",IF(Q168=1,"ÁMBAR","VERDE")))</f>
      </c>
      <c r="G168" s="26">
        <f>IF(NOT(ISNUMBER(R168)),"",IF(R168=2,"ROJO",IF(R168=1,"ÁMBAR","VERDE")))</f>
      </c>
      <c r="H168" s="26">
        <f>IF(NOT(ISNUMBER(S168)),"",IF(S168=2,"ROJO",IF(S168=1,"ÁMBAR","VERDE")))</f>
      </c>
      <c r="I168" s="26">
        <f>IF(NOT(ISNUMBER(T168)),"",IF(T168=2,"ROJO",IF(T168=1,"ÁMBAR","VERDE")))</f>
      </c>
      <c r="J168" s="26">
        <f>IF(NOT(ISNUMBER(O168)),"",IF(O168=2,"ROJO",IF(O168=1,"ÁMBAR","VERDE")))</f>
      </c>
      <c r="K168" s="26">
        <f>IFERROR(IF(AND(N168=1,LEN(TRIM('DATOS'!N168&amp;""))&gt;0),'DATOS'!N168,""),"Hay una entrada con error. Corregimos el dato antes de cerrar la comprobación.")</f>
      </c>
      <c r="L168" s="26">
        <f>IFERROR(IF(N168=0,"",IF(O168&gt;0,"Completamos datos, claves o motivo. ","")&amp;IF(P168&gt;0,"Cotejamos precios e importe. ","")&amp;IF(Q168&gt;0,"Aclaramos el cero. ","")&amp;IF(R168&gt;0,"Comprobamos el texto. ","")&amp;IF(S168&gt;0,"Revisamos decimales visibles. ","")&amp;IF(T168&gt;0,"Confirmamos la unidad.","")),"Hay una entrada con error. Corregimos el dato antes de cerrar la comprobación.")</f>
      </c>
      <c r="N168" s="29" t="n">
        <f>IF(COUNTA('DATOS'!B168:O168)&gt;0,1,0)</f>
        <v>0</v>
      </c>
      <c r="O168" s="29">
        <f>IFERROR(IF(N168=0,"",IF(OR(NOT(AND(LEN(TRIM('DATOS'!B168&amp;""))&gt;0,TRIM('DATOS'!B168&amp;"")&lt;&gt;"Pendiente",TRIM('DATOS'!B168&amp;"")&lt;&gt;"Por confirmar",TRIM('DATOS'!B168&amp;"")&lt;&gt;"No consta",TRIM('DATOS'!B168&amp;"")&lt;&gt;"Desconocido",TRIM('DATOS'!B168&amp;"")&lt;&gt;"Sin confirmar",TRIM('DATOS'!B168&amp;"")&lt;&gt;"Por decidir",TRIM('DATOS'!B168&amp;"")&lt;&gt;"Por comprobar")),NOT(AND(LEN(TRIM('DATOS'!C168&amp;""))&gt;0,TRIM('DATOS'!C168&amp;"")&lt;&gt;"Pendiente",TRIM('DATOS'!C168&amp;"")&lt;&gt;"Por confirmar",TRIM('DATOS'!C168&amp;"")&lt;&gt;"No consta",TRIM('DATOS'!C168&amp;"")&lt;&gt;"Desconocido",TRIM('DATOS'!C168&amp;"")&lt;&gt;"Sin confirmar",TRIM('DATOS'!C168&amp;"")&lt;&gt;"Por decidir",TRIM('DATOS'!C168&amp;"")&lt;&gt;"Por comprobar")),NOT(AND(LEN(TRIM('DATOS'!D168&amp;""))&gt;0,TRIM('DATOS'!D168&amp;"")&lt;&gt;"Pendiente",TRIM('DATOS'!D168&amp;"")&lt;&gt;"Por confirmar",TRIM('DATOS'!D168&amp;"")&lt;&gt;"No consta",TRIM('DATOS'!D168&amp;"")&lt;&gt;"Desconocido",TRIM('DATOS'!D168&amp;"")&lt;&gt;"Sin confirmar",TRIM('DATOS'!D168&amp;"")&lt;&gt;"Por decidir",TRIM('DATOS'!D168&amp;"")&lt;&gt;"Por comprobar")),NOT(AND(LEN(TRIM('DATOS'!E168&amp;""))&gt;0,TRIM('DATOS'!E168&amp;"")&lt;&gt;"Pendiente",TRIM('DATOS'!E168&amp;"")&lt;&gt;"Por confirmar",TRIM('DATOS'!E168&amp;"")&lt;&gt;"No consta",TRIM('DATOS'!E168&amp;"")&lt;&gt;"Desconocido",TRIM('DATOS'!E168&amp;"")&lt;&gt;"Sin confirmar",TRIM('DATOS'!E168&amp;"")&lt;&gt;"Por decidir",TRIM('DATOS'!E168&amp;"")&lt;&gt;"Por comprobar")),NOT(AND(LEN(TRIM('DATOS'!F168&amp;""))&gt;0,TRIM('DATOS'!F168&amp;"")&lt;&gt;"Pendiente",TRIM('DATOS'!F168&amp;"")&lt;&gt;"Por confirmar",TRIM('DATOS'!F168&amp;"")&lt;&gt;"No consta",TRIM('DATOS'!F168&amp;"")&lt;&gt;"Desconocido",TRIM('DATOS'!F168&amp;"")&lt;&gt;"Sin confirmar",TRIM('DATOS'!F168&amp;"")&lt;&gt;"Por decidir",TRIM('DATOS'!F168&amp;"")&lt;&gt;"Por comprobar")),NOT(AND(LEN(TRIM('DATOS'!N168&amp;""))&gt;0,TRIM('DATOS'!N168&amp;"")&lt;&gt;"Pendiente",TRIM('DATOS'!N168&amp;"")&lt;&gt;"Por confirmar",TRIM('DATOS'!N168&amp;"")&lt;&gt;"No consta",TRIM('DATOS'!N168&amp;"")&lt;&gt;"Desconocido",TRIM('DATOS'!N168&amp;"")&lt;&gt;"Sin confirmar",TRIM('DATOS'!N168&amp;"")&lt;&gt;"Por decidir",TRIM('DATOS'!N168&amp;"")&lt;&gt;"Por comprobar")),NOT(Y168=1),W168&lt;&gt;1,X168&gt;1,NOT(OR(LEN(TRIM('DATOS'!K168&amp;""))=0,'DATOS'!K168="Sin valorar",'DATOS'!K168="Sin coste documentado",'DATOS'!K168="Incluido en otra partida",'DATOS'!K168="Por confirmar")),NOT(OR(LEN(TRIM('DATOS'!M168&amp;""))=0,'DATOS'!M168="Sí",'DATOS'!M168="No",'DATOS'!M168="Por confirmar")),NOT(OR(LEN(TRIM('DATOS'!O168&amp;""))=0,'DATOS'!O168="Comparamos",'DATOS'!O168="No existe",'DATOS'!O168="Por confirmar"))),2,IF(AND(OR('DATOS'!G168&lt;0,'DATOS'!H168&lt;0,'DATOS'!J168&lt;0),NOT(AND(LEN(TRIM('DATOS'!L168&amp;""))&gt;0,TRIM('DATOS'!L168&amp;"")&lt;&gt;"Pendiente",TRIM('DATOS'!L168&amp;"")&lt;&gt;"Por confirmar",TRIM('DATOS'!L168&amp;"")&lt;&gt;"No consta",TRIM('DATOS'!L168&amp;"")&lt;&gt;"Desconocido",TRIM('DATOS'!L168&amp;"")&lt;&gt;"Sin confirmar",TRIM('DATOS'!L168&amp;"")&lt;&gt;"Por decidir",TRIM('DATOS'!L168&amp;"")&lt;&gt;"Por comprobar"))),1,0))),2)</f>
      </c>
      <c r="P168" s="29">
        <f>IFERROR(IF(N168=0,"",IF(NOT(Y168=1),1,IF('REFERENCIAS'!$Q$8&lt;&gt;1,2,IF(ABS('DATOS'!J168-ROUND('DATOS'!G168*'DATOS'!H168,'REFERENCIAS'!$K$8))&gt;0.00000001,2,IF('DATOS'!O168="No existe",IF(LEN(TRIM('DATOS'!I168&amp;""))=0,0,2),IF('DATOS'!O168="Comparamos",IF(LEN(TRIM('DATOS'!I168&amp;""))=0,1,IF(ISNUMBER('DATOS'!I168),IF(ABS('DATOS'!H168-'DATOS'!I168)&gt;0.00000001,2,0),2)),1)))))),2)</f>
      </c>
      <c r="Q168" s="29">
        <f>IFERROR(IF(N168=0,"",IF(NOT(Y168=1),1,IF('DATOS'!K168="Sin valorar",2,IF('DATOS'!G168=0,1,IF(OR('DATOS'!H168=0,'DATOS'!J168=0),IF(AND(OR('DATOS'!K168="Sin coste documentado",'DATOS'!K168="Incluido en otra partida"),AND(LEN(TRIM('DATOS'!L168&amp;""))&gt;0,TRIM('DATOS'!L168&amp;"")&lt;&gt;"Pendiente",TRIM('DATOS'!L168&amp;"")&lt;&gt;"Por confirmar",TRIM('DATOS'!L168&amp;"")&lt;&gt;"No consta",TRIM('DATOS'!L168&amp;"")&lt;&gt;"Desconocido",TRIM('DATOS'!L168&amp;"")&lt;&gt;"Sin confirmar",TRIM('DATOS'!L168&amp;"")&lt;&gt;"Por decidir",TRIM('DATOS'!L168&amp;"")&lt;&gt;"Por comprobar")),0,1),0))))),2)</f>
      </c>
      <c r="R168" s="29">
        <f>IFERROR(IF(N168=0,"",IF(OR(NOT(AND(LEN(TRIM('DATOS'!D168&amp;""))&gt;0,TRIM('DATOS'!D168&amp;"")&lt;&gt;"Pendiente",TRIM('DATOS'!D168&amp;"")&lt;&gt;"Por confirmar",TRIM('DATOS'!D168&amp;"")&lt;&gt;"No consta",TRIM('DATOS'!D168&amp;"")&lt;&gt;"Desconocido",TRIM('DATOS'!D168&amp;"")&lt;&gt;"Sin confirmar",TRIM('DATOS'!D168&amp;"")&lt;&gt;"Por decidir",TRIM('DATOS'!D168&amp;"")&lt;&gt;"Por comprobar")),NOT(AND(LEN(TRIM('DATOS'!E168&amp;""))&gt;0,TRIM('DATOS'!E168&amp;"")&lt;&gt;"Pendiente",TRIM('DATOS'!E168&amp;"")&lt;&gt;"Por confirmar",TRIM('DATOS'!E168&amp;"")&lt;&gt;"No consta",TRIM('DATOS'!E168&amp;"")&lt;&gt;"Desconocido",TRIM('DATOS'!E168&amp;"")&lt;&gt;"Sin confirmar",TRIM('DATOS'!E168&amp;"")&lt;&gt;"Por decidir",TRIM('DATOS'!E168&amp;"")&lt;&gt;"Por comprobar"))),2,IF('DATOS'!M168="No",2,IF('DATOS'!M168="Sí",0,IF(OR('DATOS'!D168&lt;&gt;'DATOS'!E168,LEN('DATOS'!E168)&gt;300,RIGHT(TRIM('DATOS'!E168),3)="...",RIGHT(TRIM('DATOS'!E168),1)="…"),1,0))))),2)</f>
      </c>
      <c r="S168" s="29">
        <f>IFERROR(IF(N168=0,"",IF('REFERENCIAS'!$Q$8&lt;&gt;1,2,IF(NOT(Y168=1),1,IF(OR(ABS('DATOS'!G168-ROUND('DATOS'!G168,'REFERENCIAS'!$E$8))&gt;0.00000001,ABS('DATOS'!H168-ROUND('DATOS'!H168,'REFERENCIAS'!$H$8))&gt;0.00000001,ABS('DATOS'!J168-ROUND('DATOS'!J168,'REFERENCIAS'!$K$8))&gt;0.00000001,IF(ISNUMBER('DATOS'!I168),ABS('DATOS'!I168-ROUND('DATOS'!I168,'REFERENCIAS'!$H$8))&gt;0.00000001,FALSE)),1,0)))),2)</f>
      </c>
      <c r="T168" s="29">
        <f>IFERROR(IF(N168=0,"",IF(NOT(AND(LEN(TRIM('DATOS'!F168&amp;""))&gt;0,TRIM('DATOS'!F168&amp;"")&lt;&gt;"Pendiente",TRIM('DATOS'!F168&amp;"")&lt;&gt;"Por confirmar",TRIM('DATOS'!F168&amp;"")&lt;&gt;"No consta",TRIM('DATOS'!F168&amp;"")&lt;&gt;"Desconocido",TRIM('DATOS'!F168&amp;"")&lt;&gt;"Sin confirmar",TRIM('DATOS'!F168&amp;"")&lt;&gt;"Por decidir",TRIM('DATOS'!F168&amp;"")&lt;&gt;"Por comprobar")),2,IF(COUNTIFS('REFERENCIAS'!$T$15:$T$34,"ID:"&amp;SUBSTITUTE(SUBSTITUTE(SUBSTITUTE(SUBSTITUTE(UPPER(TRIM('DATOS'!F168&amp;"")),"!","!E"),"*","!A"),"?","!B"),"~","!C"),'REFERENCIAS'!$H$15:$H$34,"&lt;&gt;")&gt;0,0,1))),2)</f>
      </c>
      <c r="U168" s="29" t="str">
        <f>'DATOS'!R168</f>
        <v>ID:</v>
      </c>
      <c r="V168" s="29" t="str">
        <f>'DATOS'!S168</f>
        <v>ID:</v>
      </c>
      <c r="W168" s="29" t="n">
        <f>IF(N168=0,0,COUNTIFS('REFERENCIAS'!$R$15:$R$64,U168))</f>
        <v>0</v>
      </c>
      <c r="X168" s="29" t="n">
        <f>IF(N168=0,0,COUNTIFS('DATOS'!$R$10:$R$509,U168,'DATOS'!$S$10:$S$509,V168))</f>
        <v>0</v>
      </c>
      <c r="Y168" s="29" t="n">
        <f>IF(AND(ISNUMBER('DATOS'!G168),ISNUMBER('DATOS'!H168),ISNUMBER('DATOS'!J168)),1,0)</f>
        <v>0</v>
      </c>
    </row>
    <row r="169" ht="64" customHeight="1">
      <c r="B169" s="26">
        <f>IF(N169=1,160,"")</f>
      </c>
      <c r="C169" s="26">
        <f>IF(AND(N169=1,LEN(TRIM('DATOS'!B169&amp;""))&gt;0),'DATOS'!B169,"")</f>
      </c>
      <c r="D169" s="26">
        <f>IF(AND(N169=1,LEN(TRIM('DATOS'!C169&amp;""))&gt;0),'DATOS'!C169,"")</f>
      </c>
      <c r="E169" s="26">
        <f>IF(NOT(ISNUMBER(P169)),"",IF(P169=2,"ROJO",IF(P169=1,"ÁMBAR","VERDE")))</f>
      </c>
      <c r="F169" s="26">
        <f>IF(NOT(ISNUMBER(Q169)),"",IF(Q169=2,"ROJO",IF(Q169=1,"ÁMBAR","VERDE")))</f>
      </c>
      <c r="G169" s="26">
        <f>IF(NOT(ISNUMBER(R169)),"",IF(R169=2,"ROJO",IF(R169=1,"ÁMBAR","VERDE")))</f>
      </c>
      <c r="H169" s="26">
        <f>IF(NOT(ISNUMBER(S169)),"",IF(S169=2,"ROJO",IF(S169=1,"ÁMBAR","VERDE")))</f>
      </c>
      <c r="I169" s="26">
        <f>IF(NOT(ISNUMBER(T169)),"",IF(T169=2,"ROJO",IF(T169=1,"ÁMBAR","VERDE")))</f>
      </c>
      <c r="J169" s="26">
        <f>IF(NOT(ISNUMBER(O169)),"",IF(O169=2,"ROJO",IF(O169=1,"ÁMBAR","VERDE")))</f>
      </c>
      <c r="K169" s="26">
        <f>IFERROR(IF(AND(N169=1,LEN(TRIM('DATOS'!N169&amp;""))&gt;0),'DATOS'!N169,""),"Hay una entrada con error. Corregimos el dato antes de cerrar la comprobación.")</f>
      </c>
      <c r="L169" s="26">
        <f>IFERROR(IF(N169=0,"",IF(O169&gt;0,"Completamos datos, claves o motivo. ","")&amp;IF(P169&gt;0,"Cotejamos precios e importe. ","")&amp;IF(Q169&gt;0,"Aclaramos el cero. ","")&amp;IF(R169&gt;0,"Comprobamos el texto. ","")&amp;IF(S169&gt;0,"Revisamos decimales visibles. ","")&amp;IF(T169&gt;0,"Confirmamos la unidad.","")),"Hay una entrada con error. Corregimos el dato antes de cerrar la comprobación.")</f>
      </c>
      <c r="N169" s="29" t="n">
        <f>IF(COUNTA('DATOS'!B169:O169)&gt;0,1,0)</f>
        <v>0</v>
      </c>
      <c r="O169" s="29">
        <f>IFERROR(IF(N169=0,"",IF(OR(NOT(AND(LEN(TRIM('DATOS'!B169&amp;""))&gt;0,TRIM('DATOS'!B169&amp;"")&lt;&gt;"Pendiente",TRIM('DATOS'!B169&amp;"")&lt;&gt;"Por confirmar",TRIM('DATOS'!B169&amp;"")&lt;&gt;"No consta",TRIM('DATOS'!B169&amp;"")&lt;&gt;"Desconocido",TRIM('DATOS'!B169&amp;"")&lt;&gt;"Sin confirmar",TRIM('DATOS'!B169&amp;"")&lt;&gt;"Por decidir",TRIM('DATOS'!B169&amp;"")&lt;&gt;"Por comprobar")),NOT(AND(LEN(TRIM('DATOS'!C169&amp;""))&gt;0,TRIM('DATOS'!C169&amp;"")&lt;&gt;"Pendiente",TRIM('DATOS'!C169&amp;"")&lt;&gt;"Por confirmar",TRIM('DATOS'!C169&amp;"")&lt;&gt;"No consta",TRIM('DATOS'!C169&amp;"")&lt;&gt;"Desconocido",TRIM('DATOS'!C169&amp;"")&lt;&gt;"Sin confirmar",TRIM('DATOS'!C169&amp;"")&lt;&gt;"Por decidir",TRIM('DATOS'!C169&amp;"")&lt;&gt;"Por comprobar")),NOT(AND(LEN(TRIM('DATOS'!D169&amp;""))&gt;0,TRIM('DATOS'!D169&amp;"")&lt;&gt;"Pendiente",TRIM('DATOS'!D169&amp;"")&lt;&gt;"Por confirmar",TRIM('DATOS'!D169&amp;"")&lt;&gt;"No consta",TRIM('DATOS'!D169&amp;"")&lt;&gt;"Desconocido",TRIM('DATOS'!D169&amp;"")&lt;&gt;"Sin confirmar",TRIM('DATOS'!D169&amp;"")&lt;&gt;"Por decidir",TRIM('DATOS'!D169&amp;"")&lt;&gt;"Por comprobar")),NOT(AND(LEN(TRIM('DATOS'!E169&amp;""))&gt;0,TRIM('DATOS'!E169&amp;"")&lt;&gt;"Pendiente",TRIM('DATOS'!E169&amp;"")&lt;&gt;"Por confirmar",TRIM('DATOS'!E169&amp;"")&lt;&gt;"No consta",TRIM('DATOS'!E169&amp;"")&lt;&gt;"Desconocido",TRIM('DATOS'!E169&amp;"")&lt;&gt;"Sin confirmar",TRIM('DATOS'!E169&amp;"")&lt;&gt;"Por decidir",TRIM('DATOS'!E169&amp;"")&lt;&gt;"Por comprobar")),NOT(AND(LEN(TRIM('DATOS'!F169&amp;""))&gt;0,TRIM('DATOS'!F169&amp;"")&lt;&gt;"Pendiente",TRIM('DATOS'!F169&amp;"")&lt;&gt;"Por confirmar",TRIM('DATOS'!F169&amp;"")&lt;&gt;"No consta",TRIM('DATOS'!F169&amp;"")&lt;&gt;"Desconocido",TRIM('DATOS'!F169&amp;"")&lt;&gt;"Sin confirmar",TRIM('DATOS'!F169&amp;"")&lt;&gt;"Por decidir",TRIM('DATOS'!F169&amp;"")&lt;&gt;"Por comprobar")),NOT(AND(LEN(TRIM('DATOS'!N169&amp;""))&gt;0,TRIM('DATOS'!N169&amp;"")&lt;&gt;"Pendiente",TRIM('DATOS'!N169&amp;"")&lt;&gt;"Por confirmar",TRIM('DATOS'!N169&amp;"")&lt;&gt;"No consta",TRIM('DATOS'!N169&amp;"")&lt;&gt;"Desconocido",TRIM('DATOS'!N169&amp;"")&lt;&gt;"Sin confirmar",TRIM('DATOS'!N169&amp;"")&lt;&gt;"Por decidir",TRIM('DATOS'!N169&amp;"")&lt;&gt;"Por comprobar")),NOT(Y169=1),W169&lt;&gt;1,X169&gt;1,NOT(OR(LEN(TRIM('DATOS'!K169&amp;""))=0,'DATOS'!K169="Sin valorar",'DATOS'!K169="Sin coste documentado",'DATOS'!K169="Incluido en otra partida",'DATOS'!K169="Por confirmar")),NOT(OR(LEN(TRIM('DATOS'!M169&amp;""))=0,'DATOS'!M169="Sí",'DATOS'!M169="No",'DATOS'!M169="Por confirmar")),NOT(OR(LEN(TRIM('DATOS'!O169&amp;""))=0,'DATOS'!O169="Comparamos",'DATOS'!O169="No existe",'DATOS'!O169="Por confirmar"))),2,IF(AND(OR('DATOS'!G169&lt;0,'DATOS'!H169&lt;0,'DATOS'!J169&lt;0),NOT(AND(LEN(TRIM('DATOS'!L169&amp;""))&gt;0,TRIM('DATOS'!L169&amp;"")&lt;&gt;"Pendiente",TRIM('DATOS'!L169&amp;"")&lt;&gt;"Por confirmar",TRIM('DATOS'!L169&amp;"")&lt;&gt;"No consta",TRIM('DATOS'!L169&amp;"")&lt;&gt;"Desconocido",TRIM('DATOS'!L169&amp;"")&lt;&gt;"Sin confirmar",TRIM('DATOS'!L169&amp;"")&lt;&gt;"Por decidir",TRIM('DATOS'!L169&amp;"")&lt;&gt;"Por comprobar"))),1,0))),2)</f>
      </c>
      <c r="P169" s="29">
        <f>IFERROR(IF(N169=0,"",IF(NOT(Y169=1),1,IF('REFERENCIAS'!$Q$8&lt;&gt;1,2,IF(ABS('DATOS'!J169-ROUND('DATOS'!G169*'DATOS'!H169,'REFERENCIAS'!$K$8))&gt;0.00000001,2,IF('DATOS'!O169="No existe",IF(LEN(TRIM('DATOS'!I169&amp;""))=0,0,2),IF('DATOS'!O169="Comparamos",IF(LEN(TRIM('DATOS'!I169&amp;""))=0,1,IF(ISNUMBER('DATOS'!I169),IF(ABS('DATOS'!H169-'DATOS'!I169)&gt;0.00000001,2,0),2)),1)))))),2)</f>
      </c>
      <c r="Q169" s="29">
        <f>IFERROR(IF(N169=0,"",IF(NOT(Y169=1),1,IF('DATOS'!K169="Sin valorar",2,IF('DATOS'!G169=0,1,IF(OR('DATOS'!H169=0,'DATOS'!J169=0),IF(AND(OR('DATOS'!K169="Sin coste documentado",'DATOS'!K169="Incluido en otra partida"),AND(LEN(TRIM('DATOS'!L169&amp;""))&gt;0,TRIM('DATOS'!L169&amp;"")&lt;&gt;"Pendiente",TRIM('DATOS'!L169&amp;"")&lt;&gt;"Por confirmar",TRIM('DATOS'!L169&amp;"")&lt;&gt;"No consta",TRIM('DATOS'!L169&amp;"")&lt;&gt;"Desconocido",TRIM('DATOS'!L169&amp;"")&lt;&gt;"Sin confirmar",TRIM('DATOS'!L169&amp;"")&lt;&gt;"Por decidir",TRIM('DATOS'!L169&amp;"")&lt;&gt;"Por comprobar")),0,1),0))))),2)</f>
      </c>
      <c r="R169" s="29">
        <f>IFERROR(IF(N169=0,"",IF(OR(NOT(AND(LEN(TRIM('DATOS'!D169&amp;""))&gt;0,TRIM('DATOS'!D169&amp;"")&lt;&gt;"Pendiente",TRIM('DATOS'!D169&amp;"")&lt;&gt;"Por confirmar",TRIM('DATOS'!D169&amp;"")&lt;&gt;"No consta",TRIM('DATOS'!D169&amp;"")&lt;&gt;"Desconocido",TRIM('DATOS'!D169&amp;"")&lt;&gt;"Sin confirmar",TRIM('DATOS'!D169&amp;"")&lt;&gt;"Por decidir",TRIM('DATOS'!D169&amp;"")&lt;&gt;"Por comprobar")),NOT(AND(LEN(TRIM('DATOS'!E169&amp;""))&gt;0,TRIM('DATOS'!E169&amp;"")&lt;&gt;"Pendiente",TRIM('DATOS'!E169&amp;"")&lt;&gt;"Por confirmar",TRIM('DATOS'!E169&amp;"")&lt;&gt;"No consta",TRIM('DATOS'!E169&amp;"")&lt;&gt;"Desconocido",TRIM('DATOS'!E169&amp;"")&lt;&gt;"Sin confirmar",TRIM('DATOS'!E169&amp;"")&lt;&gt;"Por decidir",TRIM('DATOS'!E169&amp;"")&lt;&gt;"Por comprobar"))),2,IF('DATOS'!M169="No",2,IF('DATOS'!M169="Sí",0,IF(OR('DATOS'!D169&lt;&gt;'DATOS'!E169,LEN('DATOS'!E169)&gt;300,RIGHT(TRIM('DATOS'!E169),3)="...",RIGHT(TRIM('DATOS'!E169),1)="…"),1,0))))),2)</f>
      </c>
      <c r="S169" s="29">
        <f>IFERROR(IF(N169=0,"",IF('REFERENCIAS'!$Q$8&lt;&gt;1,2,IF(NOT(Y169=1),1,IF(OR(ABS('DATOS'!G169-ROUND('DATOS'!G169,'REFERENCIAS'!$E$8))&gt;0.00000001,ABS('DATOS'!H169-ROUND('DATOS'!H169,'REFERENCIAS'!$H$8))&gt;0.00000001,ABS('DATOS'!J169-ROUND('DATOS'!J169,'REFERENCIAS'!$K$8))&gt;0.00000001,IF(ISNUMBER('DATOS'!I169),ABS('DATOS'!I169-ROUND('DATOS'!I169,'REFERENCIAS'!$H$8))&gt;0.00000001,FALSE)),1,0)))),2)</f>
      </c>
      <c r="T169" s="29">
        <f>IFERROR(IF(N169=0,"",IF(NOT(AND(LEN(TRIM('DATOS'!F169&amp;""))&gt;0,TRIM('DATOS'!F169&amp;"")&lt;&gt;"Pendiente",TRIM('DATOS'!F169&amp;"")&lt;&gt;"Por confirmar",TRIM('DATOS'!F169&amp;"")&lt;&gt;"No consta",TRIM('DATOS'!F169&amp;"")&lt;&gt;"Desconocido",TRIM('DATOS'!F169&amp;"")&lt;&gt;"Sin confirmar",TRIM('DATOS'!F169&amp;"")&lt;&gt;"Por decidir",TRIM('DATOS'!F169&amp;"")&lt;&gt;"Por comprobar")),2,IF(COUNTIFS('REFERENCIAS'!$T$15:$T$34,"ID:"&amp;SUBSTITUTE(SUBSTITUTE(SUBSTITUTE(SUBSTITUTE(UPPER(TRIM('DATOS'!F169&amp;"")),"!","!E"),"*","!A"),"?","!B"),"~","!C"),'REFERENCIAS'!$H$15:$H$34,"&lt;&gt;")&gt;0,0,1))),2)</f>
      </c>
      <c r="U169" s="29" t="str">
        <f>'DATOS'!R169</f>
        <v>ID:</v>
      </c>
      <c r="V169" s="29" t="str">
        <f>'DATOS'!S169</f>
        <v>ID:</v>
      </c>
      <c r="W169" s="29" t="n">
        <f>IF(N169=0,0,COUNTIFS('REFERENCIAS'!$R$15:$R$64,U169))</f>
        <v>0</v>
      </c>
      <c r="X169" s="29" t="n">
        <f>IF(N169=0,0,COUNTIFS('DATOS'!$R$10:$R$509,U169,'DATOS'!$S$10:$S$509,V169))</f>
        <v>0</v>
      </c>
      <c r="Y169" s="29" t="n">
        <f>IF(AND(ISNUMBER('DATOS'!G169),ISNUMBER('DATOS'!H169),ISNUMBER('DATOS'!J169)),1,0)</f>
        <v>0</v>
      </c>
    </row>
    <row r="170" ht="64" customHeight="1">
      <c r="B170" s="26">
        <f>IF(N170=1,161,"")</f>
      </c>
      <c r="C170" s="26">
        <f>IF(AND(N170=1,LEN(TRIM('DATOS'!B170&amp;""))&gt;0),'DATOS'!B170,"")</f>
      </c>
      <c r="D170" s="26">
        <f>IF(AND(N170=1,LEN(TRIM('DATOS'!C170&amp;""))&gt;0),'DATOS'!C170,"")</f>
      </c>
      <c r="E170" s="26">
        <f>IF(NOT(ISNUMBER(P170)),"",IF(P170=2,"ROJO",IF(P170=1,"ÁMBAR","VERDE")))</f>
      </c>
      <c r="F170" s="26">
        <f>IF(NOT(ISNUMBER(Q170)),"",IF(Q170=2,"ROJO",IF(Q170=1,"ÁMBAR","VERDE")))</f>
      </c>
      <c r="G170" s="26">
        <f>IF(NOT(ISNUMBER(R170)),"",IF(R170=2,"ROJO",IF(R170=1,"ÁMBAR","VERDE")))</f>
      </c>
      <c r="H170" s="26">
        <f>IF(NOT(ISNUMBER(S170)),"",IF(S170=2,"ROJO",IF(S170=1,"ÁMBAR","VERDE")))</f>
      </c>
      <c r="I170" s="26">
        <f>IF(NOT(ISNUMBER(T170)),"",IF(T170=2,"ROJO",IF(T170=1,"ÁMBAR","VERDE")))</f>
      </c>
      <c r="J170" s="26">
        <f>IF(NOT(ISNUMBER(O170)),"",IF(O170=2,"ROJO",IF(O170=1,"ÁMBAR","VERDE")))</f>
      </c>
      <c r="K170" s="26">
        <f>IFERROR(IF(AND(N170=1,LEN(TRIM('DATOS'!N170&amp;""))&gt;0),'DATOS'!N170,""),"Hay una entrada con error. Corregimos el dato antes de cerrar la comprobación.")</f>
      </c>
      <c r="L170" s="26">
        <f>IFERROR(IF(N170=0,"",IF(O170&gt;0,"Completamos datos, claves o motivo. ","")&amp;IF(P170&gt;0,"Cotejamos precios e importe. ","")&amp;IF(Q170&gt;0,"Aclaramos el cero. ","")&amp;IF(R170&gt;0,"Comprobamos el texto. ","")&amp;IF(S170&gt;0,"Revisamos decimales visibles. ","")&amp;IF(T170&gt;0,"Confirmamos la unidad.","")),"Hay una entrada con error. Corregimos el dato antes de cerrar la comprobación.")</f>
      </c>
      <c r="N170" s="29" t="n">
        <f>IF(COUNTA('DATOS'!B170:O170)&gt;0,1,0)</f>
        <v>0</v>
      </c>
      <c r="O170" s="29">
        <f>IFERROR(IF(N170=0,"",IF(OR(NOT(AND(LEN(TRIM('DATOS'!B170&amp;""))&gt;0,TRIM('DATOS'!B170&amp;"")&lt;&gt;"Pendiente",TRIM('DATOS'!B170&amp;"")&lt;&gt;"Por confirmar",TRIM('DATOS'!B170&amp;"")&lt;&gt;"No consta",TRIM('DATOS'!B170&amp;"")&lt;&gt;"Desconocido",TRIM('DATOS'!B170&amp;"")&lt;&gt;"Sin confirmar",TRIM('DATOS'!B170&amp;"")&lt;&gt;"Por decidir",TRIM('DATOS'!B170&amp;"")&lt;&gt;"Por comprobar")),NOT(AND(LEN(TRIM('DATOS'!C170&amp;""))&gt;0,TRIM('DATOS'!C170&amp;"")&lt;&gt;"Pendiente",TRIM('DATOS'!C170&amp;"")&lt;&gt;"Por confirmar",TRIM('DATOS'!C170&amp;"")&lt;&gt;"No consta",TRIM('DATOS'!C170&amp;"")&lt;&gt;"Desconocido",TRIM('DATOS'!C170&amp;"")&lt;&gt;"Sin confirmar",TRIM('DATOS'!C170&amp;"")&lt;&gt;"Por decidir",TRIM('DATOS'!C170&amp;"")&lt;&gt;"Por comprobar")),NOT(AND(LEN(TRIM('DATOS'!D170&amp;""))&gt;0,TRIM('DATOS'!D170&amp;"")&lt;&gt;"Pendiente",TRIM('DATOS'!D170&amp;"")&lt;&gt;"Por confirmar",TRIM('DATOS'!D170&amp;"")&lt;&gt;"No consta",TRIM('DATOS'!D170&amp;"")&lt;&gt;"Desconocido",TRIM('DATOS'!D170&amp;"")&lt;&gt;"Sin confirmar",TRIM('DATOS'!D170&amp;"")&lt;&gt;"Por decidir",TRIM('DATOS'!D170&amp;"")&lt;&gt;"Por comprobar")),NOT(AND(LEN(TRIM('DATOS'!E170&amp;""))&gt;0,TRIM('DATOS'!E170&amp;"")&lt;&gt;"Pendiente",TRIM('DATOS'!E170&amp;"")&lt;&gt;"Por confirmar",TRIM('DATOS'!E170&amp;"")&lt;&gt;"No consta",TRIM('DATOS'!E170&amp;"")&lt;&gt;"Desconocido",TRIM('DATOS'!E170&amp;"")&lt;&gt;"Sin confirmar",TRIM('DATOS'!E170&amp;"")&lt;&gt;"Por decidir",TRIM('DATOS'!E170&amp;"")&lt;&gt;"Por comprobar")),NOT(AND(LEN(TRIM('DATOS'!F170&amp;""))&gt;0,TRIM('DATOS'!F170&amp;"")&lt;&gt;"Pendiente",TRIM('DATOS'!F170&amp;"")&lt;&gt;"Por confirmar",TRIM('DATOS'!F170&amp;"")&lt;&gt;"No consta",TRIM('DATOS'!F170&amp;"")&lt;&gt;"Desconocido",TRIM('DATOS'!F170&amp;"")&lt;&gt;"Sin confirmar",TRIM('DATOS'!F170&amp;"")&lt;&gt;"Por decidir",TRIM('DATOS'!F170&amp;"")&lt;&gt;"Por comprobar")),NOT(AND(LEN(TRIM('DATOS'!N170&amp;""))&gt;0,TRIM('DATOS'!N170&amp;"")&lt;&gt;"Pendiente",TRIM('DATOS'!N170&amp;"")&lt;&gt;"Por confirmar",TRIM('DATOS'!N170&amp;"")&lt;&gt;"No consta",TRIM('DATOS'!N170&amp;"")&lt;&gt;"Desconocido",TRIM('DATOS'!N170&amp;"")&lt;&gt;"Sin confirmar",TRIM('DATOS'!N170&amp;"")&lt;&gt;"Por decidir",TRIM('DATOS'!N170&amp;"")&lt;&gt;"Por comprobar")),NOT(Y170=1),W170&lt;&gt;1,X170&gt;1,NOT(OR(LEN(TRIM('DATOS'!K170&amp;""))=0,'DATOS'!K170="Sin valorar",'DATOS'!K170="Sin coste documentado",'DATOS'!K170="Incluido en otra partida",'DATOS'!K170="Por confirmar")),NOT(OR(LEN(TRIM('DATOS'!M170&amp;""))=0,'DATOS'!M170="Sí",'DATOS'!M170="No",'DATOS'!M170="Por confirmar")),NOT(OR(LEN(TRIM('DATOS'!O170&amp;""))=0,'DATOS'!O170="Comparamos",'DATOS'!O170="No existe",'DATOS'!O170="Por confirmar"))),2,IF(AND(OR('DATOS'!G170&lt;0,'DATOS'!H170&lt;0,'DATOS'!J170&lt;0),NOT(AND(LEN(TRIM('DATOS'!L170&amp;""))&gt;0,TRIM('DATOS'!L170&amp;"")&lt;&gt;"Pendiente",TRIM('DATOS'!L170&amp;"")&lt;&gt;"Por confirmar",TRIM('DATOS'!L170&amp;"")&lt;&gt;"No consta",TRIM('DATOS'!L170&amp;"")&lt;&gt;"Desconocido",TRIM('DATOS'!L170&amp;"")&lt;&gt;"Sin confirmar",TRIM('DATOS'!L170&amp;"")&lt;&gt;"Por decidir",TRIM('DATOS'!L170&amp;"")&lt;&gt;"Por comprobar"))),1,0))),2)</f>
      </c>
      <c r="P170" s="29">
        <f>IFERROR(IF(N170=0,"",IF(NOT(Y170=1),1,IF('REFERENCIAS'!$Q$8&lt;&gt;1,2,IF(ABS('DATOS'!J170-ROUND('DATOS'!G170*'DATOS'!H170,'REFERENCIAS'!$K$8))&gt;0.00000001,2,IF('DATOS'!O170="No existe",IF(LEN(TRIM('DATOS'!I170&amp;""))=0,0,2),IF('DATOS'!O170="Comparamos",IF(LEN(TRIM('DATOS'!I170&amp;""))=0,1,IF(ISNUMBER('DATOS'!I170),IF(ABS('DATOS'!H170-'DATOS'!I170)&gt;0.00000001,2,0),2)),1)))))),2)</f>
      </c>
      <c r="Q170" s="29">
        <f>IFERROR(IF(N170=0,"",IF(NOT(Y170=1),1,IF('DATOS'!K170="Sin valorar",2,IF('DATOS'!G170=0,1,IF(OR('DATOS'!H170=0,'DATOS'!J170=0),IF(AND(OR('DATOS'!K170="Sin coste documentado",'DATOS'!K170="Incluido en otra partida"),AND(LEN(TRIM('DATOS'!L170&amp;""))&gt;0,TRIM('DATOS'!L170&amp;"")&lt;&gt;"Pendiente",TRIM('DATOS'!L170&amp;"")&lt;&gt;"Por confirmar",TRIM('DATOS'!L170&amp;"")&lt;&gt;"No consta",TRIM('DATOS'!L170&amp;"")&lt;&gt;"Desconocido",TRIM('DATOS'!L170&amp;"")&lt;&gt;"Sin confirmar",TRIM('DATOS'!L170&amp;"")&lt;&gt;"Por decidir",TRIM('DATOS'!L170&amp;"")&lt;&gt;"Por comprobar")),0,1),0))))),2)</f>
      </c>
      <c r="R170" s="29">
        <f>IFERROR(IF(N170=0,"",IF(OR(NOT(AND(LEN(TRIM('DATOS'!D170&amp;""))&gt;0,TRIM('DATOS'!D170&amp;"")&lt;&gt;"Pendiente",TRIM('DATOS'!D170&amp;"")&lt;&gt;"Por confirmar",TRIM('DATOS'!D170&amp;"")&lt;&gt;"No consta",TRIM('DATOS'!D170&amp;"")&lt;&gt;"Desconocido",TRIM('DATOS'!D170&amp;"")&lt;&gt;"Sin confirmar",TRIM('DATOS'!D170&amp;"")&lt;&gt;"Por decidir",TRIM('DATOS'!D170&amp;"")&lt;&gt;"Por comprobar")),NOT(AND(LEN(TRIM('DATOS'!E170&amp;""))&gt;0,TRIM('DATOS'!E170&amp;"")&lt;&gt;"Pendiente",TRIM('DATOS'!E170&amp;"")&lt;&gt;"Por confirmar",TRIM('DATOS'!E170&amp;"")&lt;&gt;"No consta",TRIM('DATOS'!E170&amp;"")&lt;&gt;"Desconocido",TRIM('DATOS'!E170&amp;"")&lt;&gt;"Sin confirmar",TRIM('DATOS'!E170&amp;"")&lt;&gt;"Por decidir",TRIM('DATOS'!E170&amp;"")&lt;&gt;"Por comprobar"))),2,IF('DATOS'!M170="No",2,IF('DATOS'!M170="Sí",0,IF(OR('DATOS'!D170&lt;&gt;'DATOS'!E170,LEN('DATOS'!E170)&gt;300,RIGHT(TRIM('DATOS'!E170),3)="...",RIGHT(TRIM('DATOS'!E170),1)="…"),1,0))))),2)</f>
      </c>
      <c r="S170" s="29">
        <f>IFERROR(IF(N170=0,"",IF('REFERENCIAS'!$Q$8&lt;&gt;1,2,IF(NOT(Y170=1),1,IF(OR(ABS('DATOS'!G170-ROUND('DATOS'!G170,'REFERENCIAS'!$E$8))&gt;0.00000001,ABS('DATOS'!H170-ROUND('DATOS'!H170,'REFERENCIAS'!$H$8))&gt;0.00000001,ABS('DATOS'!J170-ROUND('DATOS'!J170,'REFERENCIAS'!$K$8))&gt;0.00000001,IF(ISNUMBER('DATOS'!I170),ABS('DATOS'!I170-ROUND('DATOS'!I170,'REFERENCIAS'!$H$8))&gt;0.00000001,FALSE)),1,0)))),2)</f>
      </c>
      <c r="T170" s="29">
        <f>IFERROR(IF(N170=0,"",IF(NOT(AND(LEN(TRIM('DATOS'!F170&amp;""))&gt;0,TRIM('DATOS'!F170&amp;"")&lt;&gt;"Pendiente",TRIM('DATOS'!F170&amp;"")&lt;&gt;"Por confirmar",TRIM('DATOS'!F170&amp;"")&lt;&gt;"No consta",TRIM('DATOS'!F170&amp;"")&lt;&gt;"Desconocido",TRIM('DATOS'!F170&amp;"")&lt;&gt;"Sin confirmar",TRIM('DATOS'!F170&amp;"")&lt;&gt;"Por decidir",TRIM('DATOS'!F170&amp;"")&lt;&gt;"Por comprobar")),2,IF(COUNTIFS('REFERENCIAS'!$T$15:$T$34,"ID:"&amp;SUBSTITUTE(SUBSTITUTE(SUBSTITUTE(SUBSTITUTE(UPPER(TRIM('DATOS'!F170&amp;"")),"!","!E"),"*","!A"),"?","!B"),"~","!C"),'REFERENCIAS'!$H$15:$H$34,"&lt;&gt;")&gt;0,0,1))),2)</f>
      </c>
      <c r="U170" s="29" t="str">
        <f>'DATOS'!R170</f>
        <v>ID:</v>
      </c>
      <c r="V170" s="29" t="str">
        <f>'DATOS'!S170</f>
        <v>ID:</v>
      </c>
      <c r="W170" s="29" t="n">
        <f>IF(N170=0,0,COUNTIFS('REFERENCIAS'!$R$15:$R$64,U170))</f>
        <v>0</v>
      </c>
      <c r="X170" s="29" t="n">
        <f>IF(N170=0,0,COUNTIFS('DATOS'!$R$10:$R$509,U170,'DATOS'!$S$10:$S$509,V170))</f>
        <v>0</v>
      </c>
      <c r="Y170" s="29" t="n">
        <f>IF(AND(ISNUMBER('DATOS'!G170),ISNUMBER('DATOS'!H170),ISNUMBER('DATOS'!J170)),1,0)</f>
        <v>0</v>
      </c>
    </row>
    <row r="171" ht="64" customHeight="1">
      <c r="B171" s="26">
        <f>IF(N171=1,162,"")</f>
      </c>
      <c r="C171" s="26">
        <f>IF(AND(N171=1,LEN(TRIM('DATOS'!B171&amp;""))&gt;0),'DATOS'!B171,"")</f>
      </c>
      <c r="D171" s="26">
        <f>IF(AND(N171=1,LEN(TRIM('DATOS'!C171&amp;""))&gt;0),'DATOS'!C171,"")</f>
      </c>
      <c r="E171" s="26">
        <f>IF(NOT(ISNUMBER(P171)),"",IF(P171=2,"ROJO",IF(P171=1,"ÁMBAR","VERDE")))</f>
      </c>
      <c r="F171" s="26">
        <f>IF(NOT(ISNUMBER(Q171)),"",IF(Q171=2,"ROJO",IF(Q171=1,"ÁMBAR","VERDE")))</f>
      </c>
      <c r="G171" s="26">
        <f>IF(NOT(ISNUMBER(R171)),"",IF(R171=2,"ROJO",IF(R171=1,"ÁMBAR","VERDE")))</f>
      </c>
      <c r="H171" s="26">
        <f>IF(NOT(ISNUMBER(S171)),"",IF(S171=2,"ROJO",IF(S171=1,"ÁMBAR","VERDE")))</f>
      </c>
      <c r="I171" s="26">
        <f>IF(NOT(ISNUMBER(T171)),"",IF(T171=2,"ROJO",IF(T171=1,"ÁMBAR","VERDE")))</f>
      </c>
      <c r="J171" s="26">
        <f>IF(NOT(ISNUMBER(O171)),"",IF(O171=2,"ROJO",IF(O171=1,"ÁMBAR","VERDE")))</f>
      </c>
      <c r="K171" s="26">
        <f>IFERROR(IF(AND(N171=1,LEN(TRIM('DATOS'!N171&amp;""))&gt;0),'DATOS'!N171,""),"Hay una entrada con error. Corregimos el dato antes de cerrar la comprobación.")</f>
      </c>
      <c r="L171" s="26">
        <f>IFERROR(IF(N171=0,"",IF(O171&gt;0,"Completamos datos, claves o motivo. ","")&amp;IF(P171&gt;0,"Cotejamos precios e importe. ","")&amp;IF(Q171&gt;0,"Aclaramos el cero. ","")&amp;IF(R171&gt;0,"Comprobamos el texto. ","")&amp;IF(S171&gt;0,"Revisamos decimales visibles. ","")&amp;IF(T171&gt;0,"Confirmamos la unidad.","")),"Hay una entrada con error. Corregimos el dato antes de cerrar la comprobación.")</f>
      </c>
      <c r="N171" s="29" t="n">
        <f>IF(COUNTA('DATOS'!B171:O171)&gt;0,1,0)</f>
        <v>0</v>
      </c>
      <c r="O171" s="29">
        <f>IFERROR(IF(N171=0,"",IF(OR(NOT(AND(LEN(TRIM('DATOS'!B171&amp;""))&gt;0,TRIM('DATOS'!B171&amp;"")&lt;&gt;"Pendiente",TRIM('DATOS'!B171&amp;"")&lt;&gt;"Por confirmar",TRIM('DATOS'!B171&amp;"")&lt;&gt;"No consta",TRIM('DATOS'!B171&amp;"")&lt;&gt;"Desconocido",TRIM('DATOS'!B171&amp;"")&lt;&gt;"Sin confirmar",TRIM('DATOS'!B171&amp;"")&lt;&gt;"Por decidir",TRIM('DATOS'!B171&amp;"")&lt;&gt;"Por comprobar")),NOT(AND(LEN(TRIM('DATOS'!C171&amp;""))&gt;0,TRIM('DATOS'!C171&amp;"")&lt;&gt;"Pendiente",TRIM('DATOS'!C171&amp;"")&lt;&gt;"Por confirmar",TRIM('DATOS'!C171&amp;"")&lt;&gt;"No consta",TRIM('DATOS'!C171&amp;"")&lt;&gt;"Desconocido",TRIM('DATOS'!C171&amp;"")&lt;&gt;"Sin confirmar",TRIM('DATOS'!C171&amp;"")&lt;&gt;"Por decidir",TRIM('DATOS'!C171&amp;"")&lt;&gt;"Por comprobar")),NOT(AND(LEN(TRIM('DATOS'!D171&amp;""))&gt;0,TRIM('DATOS'!D171&amp;"")&lt;&gt;"Pendiente",TRIM('DATOS'!D171&amp;"")&lt;&gt;"Por confirmar",TRIM('DATOS'!D171&amp;"")&lt;&gt;"No consta",TRIM('DATOS'!D171&amp;"")&lt;&gt;"Desconocido",TRIM('DATOS'!D171&amp;"")&lt;&gt;"Sin confirmar",TRIM('DATOS'!D171&amp;"")&lt;&gt;"Por decidir",TRIM('DATOS'!D171&amp;"")&lt;&gt;"Por comprobar")),NOT(AND(LEN(TRIM('DATOS'!E171&amp;""))&gt;0,TRIM('DATOS'!E171&amp;"")&lt;&gt;"Pendiente",TRIM('DATOS'!E171&amp;"")&lt;&gt;"Por confirmar",TRIM('DATOS'!E171&amp;"")&lt;&gt;"No consta",TRIM('DATOS'!E171&amp;"")&lt;&gt;"Desconocido",TRIM('DATOS'!E171&amp;"")&lt;&gt;"Sin confirmar",TRIM('DATOS'!E171&amp;"")&lt;&gt;"Por decidir",TRIM('DATOS'!E171&amp;"")&lt;&gt;"Por comprobar")),NOT(AND(LEN(TRIM('DATOS'!F171&amp;""))&gt;0,TRIM('DATOS'!F171&amp;"")&lt;&gt;"Pendiente",TRIM('DATOS'!F171&amp;"")&lt;&gt;"Por confirmar",TRIM('DATOS'!F171&amp;"")&lt;&gt;"No consta",TRIM('DATOS'!F171&amp;"")&lt;&gt;"Desconocido",TRIM('DATOS'!F171&amp;"")&lt;&gt;"Sin confirmar",TRIM('DATOS'!F171&amp;"")&lt;&gt;"Por decidir",TRIM('DATOS'!F171&amp;"")&lt;&gt;"Por comprobar")),NOT(AND(LEN(TRIM('DATOS'!N171&amp;""))&gt;0,TRIM('DATOS'!N171&amp;"")&lt;&gt;"Pendiente",TRIM('DATOS'!N171&amp;"")&lt;&gt;"Por confirmar",TRIM('DATOS'!N171&amp;"")&lt;&gt;"No consta",TRIM('DATOS'!N171&amp;"")&lt;&gt;"Desconocido",TRIM('DATOS'!N171&amp;"")&lt;&gt;"Sin confirmar",TRIM('DATOS'!N171&amp;"")&lt;&gt;"Por decidir",TRIM('DATOS'!N171&amp;"")&lt;&gt;"Por comprobar")),NOT(Y171=1),W171&lt;&gt;1,X171&gt;1,NOT(OR(LEN(TRIM('DATOS'!K171&amp;""))=0,'DATOS'!K171="Sin valorar",'DATOS'!K171="Sin coste documentado",'DATOS'!K171="Incluido en otra partida",'DATOS'!K171="Por confirmar")),NOT(OR(LEN(TRIM('DATOS'!M171&amp;""))=0,'DATOS'!M171="Sí",'DATOS'!M171="No",'DATOS'!M171="Por confirmar")),NOT(OR(LEN(TRIM('DATOS'!O171&amp;""))=0,'DATOS'!O171="Comparamos",'DATOS'!O171="No existe",'DATOS'!O171="Por confirmar"))),2,IF(AND(OR('DATOS'!G171&lt;0,'DATOS'!H171&lt;0,'DATOS'!J171&lt;0),NOT(AND(LEN(TRIM('DATOS'!L171&amp;""))&gt;0,TRIM('DATOS'!L171&amp;"")&lt;&gt;"Pendiente",TRIM('DATOS'!L171&amp;"")&lt;&gt;"Por confirmar",TRIM('DATOS'!L171&amp;"")&lt;&gt;"No consta",TRIM('DATOS'!L171&amp;"")&lt;&gt;"Desconocido",TRIM('DATOS'!L171&amp;"")&lt;&gt;"Sin confirmar",TRIM('DATOS'!L171&amp;"")&lt;&gt;"Por decidir",TRIM('DATOS'!L171&amp;"")&lt;&gt;"Por comprobar"))),1,0))),2)</f>
      </c>
      <c r="P171" s="29">
        <f>IFERROR(IF(N171=0,"",IF(NOT(Y171=1),1,IF('REFERENCIAS'!$Q$8&lt;&gt;1,2,IF(ABS('DATOS'!J171-ROUND('DATOS'!G171*'DATOS'!H171,'REFERENCIAS'!$K$8))&gt;0.00000001,2,IF('DATOS'!O171="No existe",IF(LEN(TRIM('DATOS'!I171&amp;""))=0,0,2),IF('DATOS'!O171="Comparamos",IF(LEN(TRIM('DATOS'!I171&amp;""))=0,1,IF(ISNUMBER('DATOS'!I171),IF(ABS('DATOS'!H171-'DATOS'!I171)&gt;0.00000001,2,0),2)),1)))))),2)</f>
      </c>
      <c r="Q171" s="29">
        <f>IFERROR(IF(N171=0,"",IF(NOT(Y171=1),1,IF('DATOS'!K171="Sin valorar",2,IF('DATOS'!G171=0,1,IF(OR('DATOS'!H171=0,'DATOS'!J171=0),IF(AND(OR('DATOS'!K171="Sin coste documentado",'DATOS'!K171="Incluido en otra partida"),AND(LEN(TRIM('DATOS'!L171&amp;""))&gt;0,TRIM('DATOS'!L171&amp;"")&lt;&gt;"Pendiente",TRIM('DATOS'!L171&amp;"")&lt;&gt;"Por confirmar",TRIM('DATOS'!L171&amp;"")&lt;&gt;"No consta",TRIM('DATOS'!L171&amp;"")&lt;&gt;"Desconocido",TRIM('DATOS'!L171&amp;"")&lt;&gt;"Sin confirmar",TRIM('DATOS'!L171&amp;"")&lt;&gt;"Por decidir",TRIM('DATOS'!L171&amp;"")&lt;&gt;"Por comprobar")),0,1),0))))),2)</f>
      </c>
      <c r="R171" s="29">
        <f>IFERROR(IF(N171=0,"",IF(OR(NOT(AND(LEN(TRIM('DATOS'!D171&amp;""))&gt;0,TRIM('DATOS'!D171&amp;"")&lt;&gt;"Pendiente",TRIM('DATOS'!D171&amp;"")&lt;&gt;"Por confirmar",TRIM('DATOS'!D171&amp;"")&lt;&gt;"No consta",TRIM('DATOS'!D171&amp;"")&lt;&gt;"Desconocido",TRIM('DATOS'!D171&amp;"")&lt;&gt;"Sin confirmar",TRIM('DATOS'!D171&amp;"")&lt;&gt;"Por decidir",TRIM('DATOS'!D171&amp;"")&lt;&gt;"Por comprobar")),NOT(AND(LEN(TRIM('DATOS'!E171&amp;""))&gt;0,TRIM('DATOS'!E171&amp;"")&lt;&gt;"Pendiente",TRIM('DATOS'!E171&amp;"")&lt;&gt;"Por confirmar",TRIM('DATOS'!E171&amp;"")&lt;&gt;"No consta",TRIM('DATOS'!E171&amp;"")&lt;&gt;"Desconocido",TRIM('DATOS'!E171&amp;"")&lt;&gt;"Sin confirmar",TRIM('DATOS'!E171&amp;"")&lt;&gt;"Por decidir",TRIM('DATOS'!E171&amp;"")&lt;&gt;"Por comprobar"))),2,IF('DATOS'!M171="No",2,IF('DATOS'!M171="Sí",0,IF(OR('DATOS'!D171&lt;&gt;'DATOS'!E171,LEN('DATOS'!E171)&gt;300,RIGHT(TRIM('DATOS'!E171),3)="...",RIGHT(TRIM('DATOS'!E171),1)="…"),1,0))))),2)</f>
      </c>
      <c r="S171" s="29">
        <f>IFERROR(IF(N171=0,"",IF('REFERENCIAS'!$Q$8&lt;&gt;1,2,IF(NOT(Y171=1),1,IF(OR(ABS('DATOS'!G171-ROUND('DATOS'!G171,'REFERENCIAS'!$E$8))&gt;0.00000001,ABS('DATOS'!H171-ROUND('DATOS'!H171,'REFERENCIAS'!$H$8))&gt;0.00000001,ABS('DATOS'!J171-ROUND('DATOS'!J171,'REFERENCIAS'!$K$8))&gt;0.00000001,IF(ISNUMBER('DATOS'!I171),ABS('DATOS'!I171-ROUND('DATOS'!I171,'REFERENCIAS'!$H$8))&gt;0.00000001,FALSE)),1,0)))),2)</f>
      </c>
      <c r="T171" s="29">
        <f>IFERROR(IF(N171=0,"",IF(NOT(AND(LEN(TRIM('DATOS'!F171&amp;""))&gt;0,TRIM('DATOS'!F171&amp;"")&lt;&gt;"Pendiente",TRIM('DATOS'!F171&amp;"")&lt;&gt;"Por confirmar",TRIM('DATOS'!F171&amp;"")&lt;&gt;"No consta",TRIM('DATOS'!F171&amp;"")&lt;&gt;"Desconocido",TRIM('DATOS'!F171&amp;"")&lt;&gt;"Sin confirmar",TRIM('DATOS'!F171&amp;"")&lt;&gt;"Por decidir",TRIM('DATOS'!F171&amp;"")&lt;&gt;"Por comprobar")),2,IF(COUNTIFS('REFERENCIAS'!$T$15:$T$34,"ID:"&amp;SUBSTITUTE(SUBSTITUTE(SUBSTITUTE(SUBSTITUTE(UPPER(TRIM('DATOS'!F171&amp;"")),"!","!E"),"*","!A"),"?","!B"),"~","!C"),'REFERENCIAS'!$H$15:$H$34,"&lt;&gt;")&gt;0,0,1))),2)</f>
      </c>
      <c r="U171" s="29" t="str">
        <f>'DATOS'!R171</f>
        <v>ID:</v>
      </c>
      <c r="V171" s="29" t="str">
        <f>'DATOS'!S171</f>
        <v>ID:</v>
      </c>
      <c r="W171" s="29" t="n">
        <f>IF(N171=0,0,COUNTIFS('REFERENCIAS'!$R$15:$R$64,U171))</f>
        <v>0</v>
      </c>
      <c r="X171" s="29" t="n">
        <f>IF(N171=0,0,COUNTIFS('DATOS'!$R$10:$R$509,U171,'DATOS'!$S$10:$S$509,V171))</f>
        <v>0</v>
      </c>
      <c r="Y171" s="29" t="n">
        <f>IF(AND(ISNUMBER('DATOS'!G171),ISNUMBER('DATOS'!H171),ISNUMBER('DATOS'!J171)),1,0)</f>
        <v>0</v>
      </c>
    </row>
    <row r="172" ht="64" customHeight="1">
      <c r="B172" s="26">
        <f>IF(N172=1,163,"")</f>
      </c>
      <c r="C172" s="26">
        <f>IF(AND(N172=1,LEN(TRIM('DATOS'!B172&amp;""))&gt;0),'DATOS'!B172,"")</f>
      </c>
      <c r="D172" s="26">
        <f>IF(AND(N172=1,LEN(TRIM('DATOS'!C172&amp;""))&gt;0),'DATOS'!C172,"")</f>
      </c>
      <c r="E172" s="26">
        <f>IF(NOT(ISNUMBER(P172)),"",IF(P172=2,"ROJO",IF(P172=1,"ÁMBAR","VERDE")))</f>
      </c>
      <c r="F172" s="26">
        <f>IF(NOT(ISNUMBER(Q172)),"",IF(Q172=2,"ROJO",IF(Q172=1,"ÁMBAR","VERDE")))</f>
      </c>
      <c r="G172" s="26">
        <f>IF(NOT(ISNUMBER(R172)),"",IF(R172=2,"ROJO",IF(R172=1,"ÁMBAR","VERDE")))</f>
      </c>
      <c r="H172" s="26">
        <f>IF(NOT(ISNUMBER(S172)),"",IF(S172=2,"ROJO",IF(S172=1,"ÁMBAR","VERDE")))</f>
      </c>
      <c r="I172" s="26">
        <f>IF(NOT(ISNUMBER(T172)),"",IF(T172=2,"ROJO",IF(T172=1,"ÁMBAR","VERDE")))</f>
      </c>
      <c r="J172" s="26">
        <f>IF(NOT(ISNUMBER(O172)),"",IF(O172=2,"ROJO",IF(O172=1,"ÁMBAR","VERDE")))</f>
      </c>
      <c r="K172" s="26">
        <f>IFERROR(IF(AND(N172=1,LEN(TRIM('DATOS'!N172&amp;""))&gt;0),'DATOS'!N172,""),"Hay una entrada con error. Corregimos el dato antes de cerrar la comprobación.")</f>
      </c>
      <c r="L172" s="26">
        <f>IFERROR(IF(N172=0,"",IF(O172&gt;0,"Completamos datos, claves o motivo. ","")&amp;IF(P172&gt;0,"Cotejamos precios e importe. ","")&amp;IF(Q172&gt;0,"Aclaramos el cero. ","")&amp;IF(R172&gt;0,"Comprobamos el texto. ","")&amp;IF(S172&gt;0,"Revisamos decimales visibles. ","")&amp;IF(T172&gt;0,"Confirmamos la unidad.","")),"Hay una entrada con error. Corregimos el dato antes de cerrar la comprobación.")</f>
      </c>
      <c r="N172" s="29" t="n">
        <f>IF(COUNTA('DATOS'!B172:O172)&gt;0,1,0)</f>
        <v>0</v>
      </c>
      <c r="O172" s="29">
        <f>IFERROR(IF(N172=0,"",IF(OR(NOT(AND(LEN(TRIM('DATOS'!B172&amp;""))&gt;0,TRIM('DATOS'!B172&amp;"")&lt;&gt;"Pendiente",TRIM('DATOS'!B172&amp;"")&lt;&gt;"Por confirmar",TRIM('DATOS'!B172&amp;"")&lt;&gt;"No consta",TRIM('DATOS'!B172&amp;"")&lt;&gt;"Desconocido",TRIM('DATOS'!B172&amp;"")&lt;&gt;"Sin confirmar",TRIM('DATOS'!B172&amp;"")&lt;&gt;"Por decidir",TRIM('DATOS'!B172&amp;"")&lt;&gt;"Por comprobar")),NOT(AND(LEN(TRIM('DATOS'!C172&amp;""))&gt;0,TRIM('DATOS'!C172&amp;"")&lt;&gt;"Pendiente",TRIM('DATOS'!C172&amp;"")&lt;&gt;"Por confirmar",TRIM('DATOS'!C172&amp;"")&lt;&gt;"No consta",TRIM('DATOS'!C172&amp;"")&lt;&gt;"Desconocido",TRIM('DATOS'!C172&amp;"")&lt;&gt;"Sin confirmar",TRIM('DATOS'!C172&amp;"")&lt;&gt;"Por decidir",TRIM('DATOS'!C172&amp;"")&lt;&gt;"Por comprobar")),NOT(AND(LEN(TRIM('DATOS'!D172&amp;""))&gt;0,TRIM('DATOS'!D172&amp;"")&lt;&gt;"Pendiente",TRIM('DATOS'!D172&amp;"")&lt;&gt;"Por confirmar",TRIM('DATOS'!D172&amp;"")&lt;&gt;"No consta",TRIM('DATOS'!D172&amp;"")&lt;&gt;"Desconocido",TRIM('DATOS'!D172&amp;"")&lt;&gt;"Sin confirmar",TRIM('DATOS'!D172&amp;"")&lt;&gt;"Por decidir",TRIM('DATOS'!D172&amp;"")&lt;&gt;"Por comprobar")),NOT(AND(LEN(TRIM('DATOS'!E172&amp;""))&gt;0,TRIM('DATOS'!E172&amp;"")&lt;&gt;"Pendiente",TRIM('DATOS'!E172&amp;"")&lt;&gt;"Por confirmar",TRIM('DATOS'!E172&amp;"")&lt;&gt;"No consta",TRIM('DATOS'!E172&amp;"")&lt;&gt;"Desconocido",TRIM('DATOS'!E172&amp;"")&lt;&gt;"Sin confirmar",TRIM('DATOS'!E172&amp;"")&lt;&gt;"Por decidir",TRIM('DATOS'!E172&amp;"")&lt;&gt;"Por comprobar")),NOT(AND(LEN(TRIM('DATOS'!F172&amp;""))&gt;0,TRIM('DATOS'!F172&amp;"")&lt;&gt;"Pendiente",TRIM('DATOS'!F172&amp;"")&lt;&gt;"Por confirmar",TRIM('DATOS'!F172&amp;"")&lt;&gt;"No consta",TRIM('DATOS'!F172&amp;"")&lt;&gt;"Desconocido",TRIM('DATOS'!F172&amp;"")&lt;&gt;"Sin confirmar",TRIM('DATOS'!F172&amp;"")&lt;&gt;"Por decidir",TRIM('DATOS'!F172&amp;"")&lt;&gt;"Por comprobar")),NOT(AND(LEN(TRIM('DATOS'!N172&amp;""))&gt;0,TRIM('DATOS'!N172&amp;"")&lt;&gt;"Pendiente",TRIM('DATOS'!N172&amp;"")&lt;&gt;"Por confirmar",TRIM('DATOS'!N172&amp;"")&lt;&gt;"No consta",TRIM('DATOS'!N172&amp;"")&lt;&gt;"Desconocido",TRIM('DATOS'!N172&amp;"")&lt;&gt;"Sin confirmar",TRIM('DATOS'!N172&amp;"")&lt;&gt;"Por decidir",TRIM('DATOS'!N172&amp;"")&lt;&gt;"Por comprobar")),NOT(Y172=1),W172&lt;&gt;1,X172&gt;1,NOT(OR(LEN(TRIM('DATOS'!K172&amp;""))=0,'DATOS'!K172="Sin valorar",'DATOS'!K172="Sin coste documentado",'DATOS'!K172="Incluido en otra partida",'DATOS'!K172="Por confirmar")),NOT(OR(LEN(TRIM('DATOS'!M172&amp;""))=0,'DATOS'!M172="Sí",'DATOS'!M172="No",'DATOS'!M172="Por confirmar")),NOT(OR(LEN(TRIM('DATOS'!O172&amp;""))=0,'DATOS'!O172="Comparamos",'DATOS'!O172="No existe",'DATOS'!O172="Por confirmar"))),2,IF(AND(OR('DATOS'!G172&lt;0,'DATOS'!H172&lt;0,'DATOS'!J172&lt;0),NOT(AND(LEN(TRIM('DATOS'!L172&amp;""))&gt;0,TRIM('DATOS'!L172&amp;"")&lt;&gt;"Pendiente",TRIM('DATOS'!L172&amp;"")&lt;&gt;"Por confirmar",TRIM('DATOS'!L172&amp;"")&lt;&gt;"No consta",TRIM('DATOS'!L172&amp;"")&lt;&gt;"Desconocido",TRIM('DATOS'!L172&amp;"")&lt;&gt;"Sin confirmar",TRIM('DATOS'!L172&amp;"")&lt;&gt;"Por decidir",TRIM('DATOS'!L172&amp;"")&lt;&gt;"Por comprobar"))),1,0))),2)</f>
      </c>
      <c r="P172" s="29">
        <f>IFERROR(IF(N172=0,"",IF(NOT(Y172=1),1,IF('REFERENCIAS'!$Q$8&lt;&gt;1,2,IF(ABS('DATOS'!J172-ROUND('DATOS'!G172*'DATOS'!H172,'REFERENCIAS'!$K$8))&gt;0.00000001,2,IF('DATOS'!O172="No existe",IF(LEN(TRIM('DATOS'!I172&amp;""))=0,0,2),IF('DATOS'!O172="Comparamos",IF(LEN(TRIM('DATOS'!I172&amp;""))=0,1,IF(ISNUMBER('DATOS'!I172),IF(ABS('DATOS'!H172-'DATOS'!I172)&gt;0.00000001,2,0),2)),1)))))),2)</f>
      </c>
      <c r="Q172" s="29">
        <f>IFERROR(IF(N172=0,"",IF(NOT(Y172=1),1,IF('DATOS'!K172="Sin valorar",2,IF('DATOS'!G172=0,1,IF(OR('DATOS'!H172=0,'DATOS'!J172=0),IF(AND(OR('DATOS'!K172="Sin coste documentado",'DATOS'!K172="Incluido en otra partida"),AND(LEN(TRIM('DATOS'!L172&amp;""))&gt;0,TRIM('DATOS'!L172&amp;"")&lt;&gt;"Pendiente",TRIM('DATOS'!L172&amp;"")&lt;&gt;"Por confirmar",TRIM('DATOS'!L172&amp;"")&lt;&gt;"No consta",TRIM('DATOS'!L172&amp;"")&lt;&gt;"Desconocido",TRIM('DATOS'!L172&amp;"")&lt;&gt;"Sin confirmar",TRIM('DATOS'!L172&amp;"")&lt;&gt;"Por decidir",TRIM('DATOS'!L172&amp;"")&lt;&gt;"Por comprobar")),0,1),0))))),2)</f>
      </c>
      <c r="R172" s="29">
        <f>IFERROR(IF(N172=0,"",IF(OR(NOT(AND(LEN(TRIM('DATOS'!D172&amp;""))&gt;0,TRIM('DATOS'!D172&amp;"")&lt;&gt;"Pendiente",TRIM('DATOS'!D172&amp;"")&lt;&gt;"Por confirmar",TRIM('DATOS'!D172&amp;"")&lt;&gt;"No consta",TRIM('DATOS'!D172&amp;"")&lt;&gt;"Desconocido",TRIM('DATOS'!D172&amp;"")&lt;&gt;"Sin confirmar",TRIM('DATOS'!D172&amp;"")&lt;&gt;"Por decidir",TRIM('DATOS'!D172&amp;"")&lt;&gt;"Por comprobar")),NOT(AND(LEN(TRIM('DATOS'!E172&amp;""))&gt;0,TRIM('DATOS'!E172&amp;"")&lt;&gt;"Pendiente",TRIM('DATOS'!E172&amp;"")&lt;&gt;"Por confirmar",TRIM('DATOS'!E172&amp;"")&lt;&gt;"No consta",TRIM('DATOS'!E172&amp;"")&lt;&gt;"Desconocido",TRIM('DATOS'!E172&amp;"")&lt;&gt;"Sin confirmar",TRIM('DATOS'!E172&amp;"")&lt;&gt;"Por decidir",TRIM('DATOS'!E172&amp;"")&lt;&gt;"Por comprobar"))),2,IF('DATOS'!M172="No",2,IF('DATOS'!M172="Sí",0,IF(OR('DATOS'!D172&lt;&gt;'DATOS'!E172,LEN('DATOS'!E172)&gt;300,RIGHT(TRIM('DATOS'!E172),3)="...",RIGHT(TRIM('DATOS'!E172),1)="…"),1,0))))),2)</f>
      </c>
      <c r="S172" s="29">
        <f>IFERROR(IF(N172=0,"",IF('REFERENCIAS'!$Q$8&lt;&gt;1,2,IF(NOT(Y172=1),1,IF(OR(ABS('DATOS'!G172-ROUND('DATOS'!G172,'REFERENCIAS'!$E$8))&gt;0.00000001,ABS('DATOS'!H172-ROUND('DATOS'!H172,'REFERENCIAS'!$H$8))&gt;0.00000001,ABS('DATOS'!J172-ROUND('DATOS'!J172,'REFERENCIAS'!$K$8))&gt;0.00000001,IF(ISNUMBER('DATOS'!I172),ABS('DATOS'!I172-ROUND('DATOS'!I172,'REFERENCIAS'!$H$8))&gt;0.00000001,FALSE)),1,0)))),2)</f>
      </c>
      <c r="T172" s="29">
        <f>IFERROR(IF(N172=0,"",IF(NOT(AND(LEN(TRIM('DATOS'!F172&amp;""))&gt;0,TRIM('DATOS'!F172&amp;"")&lt;&gt;"Pendiente",TRIM('DATOS'!F172&amp;"")&lt;&gt;"Por confirmar",TRIM('DATOS'!F172&amp;"")&lt;&gt;"No consta",TRIM('DATOS'!F172&amp;"")&lt;&gt;"Desconocido",TRIM('DATOS'!F172&amp;"")&lt;&gt;"Sin confirmar",TRIM('DATOS'!F172&amp;"")&lt;&gt;"Por decidir",TRIM('DATOS'!F172&amp;"")&lt;&gt;"Por comprobar")),2,IF(COUNTIFS('REFERENCIAS'!$T$15:$T$34,"ID:"&amp;SUBSTITUTE(SUBSTITUTE(SUBSTITUTE(SUBSTITUTE(UPPER(TRIM('DATOS'!F172&amp;"")),"!","!E"),"*","!A"),"?","!B"),"~","!C"),'REFERENCIAS'!$H$15:$H$34,"&lt;&gt;")&gt;0,0,1))),2)</f>
      </c>
      <c r="U172" s="29" t="str">
        <f>'DATOS'!R172</f>
        <v>ID:</v>
      </c>
      <c r="V172" s="29" t="str">
        <f>'DATOS'!S172</f>
        <v>ID:</v>
      </c>
      <c r="W172" s="29" t="n">
        <f>IF(N172=0,0,COUNTIFS('REFERENCIAS'!$R$15:$R$64,U172))</f>
        <v>0</v>
      </c>
      <c r="X172" s="29" t="n">
        <f>IF(N172=0,0,COUNTIFS('DATOS'!$R$10:$R$509,U172,'DATOS'!$S$10:$S$509,V172))</f>
        <v>0</v>
      </c>
      <c r="Y172" s="29" t="n">
        <f>IF(AND(ISNUMBER('DATOS'!G172),ISNUMBER('DATOS'!H172),ISNUMBER('DATOS'!J172)),1,0)</f>
        <v>0</v>
      </c>
    </row>
    <row r="173" ht="64" customHeight="1">
      <c r="B173" s="26">
        <f>IF(N173=1,164,"")</f>
      </c>
      <c r="C173" s="26">
        <f>IF(AND(N173=1,LEN(TRIM('DATOS'!B173&amp;""))&gt;0),'DATOS'!B173,"")</f>
      </c>
      <c r="D173" s="26">
        <f>IF(AND(N173=1,LEN(TRIM('DATOS'!C173&amp;""))&gt;0),'DATOS'!C173,"")</f>
      </c>
      <c r="E173" s="26">
        <f>IF(NOT(ISNUMBER(P173)),"",IF(P173=2,"ROJO",IF(P173=1,"ÁMBAR","VERDE")))</f>
      </c>
      <c r="F173" s="26">
        <f>IF(NOT(ISNUMBER(Q173)),"",IF(Q173=2,"ROJO",IF(Q173=1,"ÁMBAR","VERDE")))</f>
      </c>
      <c r="G173" s="26">
        <f>IF(NOT(ISNUMBER(R173)),"",IF(R173=2,"ROJO",IF(R173=1,"ÁMBAR","VERDE")))</f>
      </c>
      <c r="H173" s="26">
        <f>IF(NOT(ISNUMBER(S173)),"",IF(S173=2,"ROJO",IF(S173=1,"ÁMBAR","VERDE")))</f>
      </c>
      <c r="I173" s="26">
        <f>IF(NOT(ISNUMBER(T173)),"",IF(T173=2,"ROJO",IF(T173=1,"ÁMBAR","VERDE")))</f>
      </c>
      <c r="J173" s="26">
        <f>IF(NOT(ISNUMBER(O173)),"",IF(O173=2,"ROJO",IF(O173=1,"ÁMBAR","VERDE")))</f>
      </c>
      <c r="K173" s="26">
        <f>IFERROR(IF(AND(N173=1,LEN(TRIM('DATOS'!N173&amp;""))&gt;0),'DATOS'!N173,""),"Hay una entrada con error. Corregimos el dato antes de cerrar la comprobación.")</f>
      </c>
      <c r="L173" s="26">
        <f>IFERROR(IF(N173=0,"",IF(O173&gt;0,"Completamos datos, claves o motivo. ","")&amp;IF(P173&gt;0,"Cotejamos precios e importe. ","")&amp;IF(Q173&gt;0,"Aclaramos el cero. ","")&amp;IF(R173&gt;0,"Comprobamos el texto. ","")&amp;IF(S173&gt;0,"Revisamos decimales visibles. ","")&amp;IF(T173&gt;0,"Confirmamos la unidad.","")),"Hay una entrada con error. Corregimos el dato antes de cerrar la comprobación.")</f>
      </c>
      <c r="N173" s="29" t="n">
        <f>IF(COUNTA('DATOS'!B173:O173)&gt;0,1,0)</f>
        <v>0</v>
      </c>
      <c r="O173" s="29">
        <f>IFERROR(IF(N173=0,"",IF(OR(NOT(AND(LEN(TRIM('DATOS'!B173&amp;""))&gt;0,TRIM('DATOS'!B173&amp;"")&lt;&gt;"Pendiente",TRIM('DATOS'!B173&amp;"")&lt;&gt;"Por confirmar",TRIM('DATOS'!B173&amp;"")&lt;&gt;"No consta",TRIM('DATOS'!B173&amp;"")&lt;&gt;"Desconocido",TRIM('DATOS'!B173&amp;"")&lt;&gt;"Sin confirmar",TRIM('DATOS'!B173&amp;"")&lt;&gt;"Por decidir",TRIM('DATOS'!B173&amp;"")&lt;&gt;"Por comprobar")),NOT(AND(LEN(TRIM('DATOS'!C173&amp;""))&gt;0,TRIM('DATOS'!C173&amp;"")&lt;&gt;"Pendiente",TRIM('DATOS'!C173&amp;"")&lt;&gt;"Por confirmar",TRIM('DATOS'!C173&amp;"")&lt;&gt;"No consta",TRIM('DATOS'!C173&amp;"")&lt;&gt;"Desconocido",TRIM('DATOS'!C173&amp;"")&lt;&gt;"Sin confirmar",TRIM('DATOS'!C173&amp;"")&lt;&gt;"Por decidir",TRIM('DATOS'!C173&amp;"")&lt;&gt;"Por comprobar")),NOT(AND(LEN(TRIM('DATOS'!D173&amp;""))&gt;0,TRIM('DATOS'!D173&amp;"")&lt;&gt;"Pendiente",TRIM('DATOS'!D173&amp;"")&lt;&gt;"Por confirmar",TRIM('DATOS'!D173&amp;"")&lt;&gt;"No consta",TRIM('DATOS'!D173&amp;"")&lt;&gt;"Desconocido",TRIM('DATOS'!D173&amp;"")&lt;&gt;"Sin confirmar",TRIM('DATOS'!D173&amp;"")&lt;&gt;"Por decidir",TRIM('DATOS'!D173&amp;"")&lt;&gt;"Por comprobar")),NOT(AND(LEN(TRIM('DATOS'!E173&amp;""))&gt;0,TRIM('DATOS'!E173&amp;"")&lt;&gt;"Pendiente",TRIM('DATOS'!E173&amp;"")&lt;&gt;"Por confirmar",TRIM('DATOS'!E173&amp;"")&lt;&gt;"No consta",TRIM('DATOS'!E173&amp;"")&lt;&gt;"Desconocido",TRIM('DATOS'!E173&amp;"")&lt;&gt;"Sin confirmar",TRIM('DATOS'!E173&amp;"")&lt;&gt;"Por decidir",TRIM('DATOS'!E173&amp;"")&lt;&gt;"Por comprobar")),NOT(AND(LEN(TRIM('DATOS'!F173&amp;""))&gt;0,TRIM('DATOS'!F173&amp;"")&lt;&gt;"Pendiente",TRIM('DATOS'!F173&amp;"")&lt;&gt;"Por confirmar",TRIM('DATOS'!F173&amp;"")&lt;&gt;"No consta",TRIM('DATOS'!F173&amp;"")&lt;&gt;"Desconocido",TRIM('DATOS'!F173&amp;"")&lt;&gt;"Sin confirmar",TRIM('DATOS'!F173&amp;"")&lt;&gt;"Por decidir",TRIM('DATOS'!F173&amp;"")&lt;&gt;"Por comprobar")),NOT(AND(LEN(TRIM('DATOS'!N173&amp;""))&gt;0,TRIM('DATOS'!N173&amp;"")&lt;&gt;"Pendiente",TRIM('DATOS'!N173&amp;"")&lt;&gt;"Por confirmar",TRIM('DATOS'!N173&amp;"")&lt;&gt;"No consta",TRIM('DATOS'!N173&amp;"")&lt;&gt;"Desconocido",TRIM('DATOS'!N173&amp;"")&lt;&gt;"Sin confirmar",TRIM('DATOS'!N173&amp;"")&lt;&gt;"Por decidir",TRIM('DATOS'!N173&amp;"")&lt;&gt;"Por comprobar")),NOT(Y173=1),W173&lt;&gt;1,X173&gt;1,NOT(OR(LEN(TRIM('DATOS'!K173&amp;""))=0,'DATOS'!K173="Sin valorar",'DATOS'!K173="Sin coste documentado",'DATOS'!K173="Incluido en otra partida",'DATOS'!K173="Por confirmar")),NOT(OR(LEN(TRIM('DATOS'!M173&amp;""))=0,'DATOS'!M173="Sí",'DATOS'!M173="No",'DATOS'!M173="Por confirmar")),NOT(OR(LEN(TRIM('DATOS'!O173&amp;""))=0,'DATOS'!O173="Comparamos",'DATOS'!O173="No existe",'DATOS'!O173="Por confirmar"))),2,IF(AND(OR('DATOS'!G173&lt;0,'DATOS'!H173&lt;0,'DATOS'!J173&lt;0),NOT(AND(LEN(TRIM('DATOS'!L173&amp;""))&gt;0,TRIM('DATOS'!L173&amp;"")&lt;&gt;"Pendiente",TRIM('DATOS'!L173&amp;"")&lt;&gt;"Por confirmar",TRIM('DATOS'!L173&amp;"")&lt;&gt;"No consta",TRIM('DATOS'!L173&amp;"")&lt;&gt;"Desconocido",TRIM('DATOS'!L173&amp;"")&lt;&gt;"Sin confirmar",TRIM('DATOS'!L173&amp;"")&lt;&gt;"Por decidir",TRIM('DATOS'!L173&amp;"")&lt;&gt;"Por comprobar"))),1,0))),2)</f>
      </c>
      <c r="P173" s="29">
        <f>IFERROR(IF(N173=0,"",IF(NOT(Y173=1),1,IF('REFERENCIAS'!$Q$8&lt;&gt;1,2,IF(ABS('DATOS'!J173-ROUND('DATOS'!G173*'DATOS'!H173,'REFERENCIAS'!$K$8))&gt;0.00000001,2,IF('DATOS'!O173="No existe",IF(LEN(TRIM('DATOS'!I173&amp;""))=0,0,2),IF('DATOS'!O173="Comparamos",IF(LEN(TRIM('DATOS'!I173&amp;""))=0,1,IF(ISNUMBER('DATOS'!I173),IF(ABS('DATOS'!H173-'DATOS'!I173)&gt;0.00000001,2,0),2)),1)))))),2)</f>
      </c>
      <c r="Q173" s="29">
        <f>IFERROR(IF(N173=0,"",IF(NOT(Y173=1),1,IF('DATOS'!K173="Sin valorar",2,IF('DATOS'!G173=0,1,IF(OR('DATOS'!H173=0,'DATOS'!J173=0),IF(AND(OR('DATOS'!K173="Sin coste documentado",'DATOS'!K173="Incluido en otra partida"),AND(LEN(TRIM('DATOS'!L173&amp;""))&gt;0,TRIM('DATOS'!L173&amp;"")&lt;&gt;"Pendiente",TRIM('DATOS'!L173&amp;"")&lt;&gt;"Por confirmar",TRIM('DATOS'!L173&amp;"")&lt;&gt;"No consta",TRIM('DATOS'!L173&amp;"")&lt;&gt;"Desconocido",TRIM('DATOS'!L173&amp;"")&lt;&gt;"Sin confirmar",TRIM('DATOS'!L173&amp;"")&lt;&gt;"Por decidir",TRIM('DATOS'!L173&amp;"")&lt;&gt;"Por comprobar")),0,1),0))))),2)</f>
      </c>
      <c r="R173" s="29">
        <f>IFERROR(IF(N173=0,"",IF(OR(NOT(AND(LEN(TRIM('DATOS'!D173&amp;""))&gt;0,TRIM('DATOS'!D173&amp;"")&lt;&gt;"Pendiente",TRIM('DATOS'!D173&amp;"")&lt;&gt;"Por confirmar",TRIM('DATOS'!D173&amp;"")&lt;&gt;"No consta",TRIM('DATOS'!D173&amp;"")&lt;&gt;"Desconocido",TRIM('DATOS'!D173&amp;"")&lt;&gt;"Sin confirmar",TRIM('DATOS'!D173&amp;"")&lt;&gt;"Por decidir",TRIM('DATOS'!D173&amp;"")&lt;&gt;"Por comprobar")),NOT(AND(LEN(TRIM('DATOS'!E173&amp;""))&gt;0,TRIM('DATOS'!E173&amp;"")&lt;&gt;"Pendiente",TRIM('DATOS'!E173&amp;"")&lt;&gt;"Por confirmar",TRIM('DATOS'!E173&amp;"")&lt;&gt;"No consta",TRIM('DATOS'!E173&amp;"")&lt;&gt;"Desconocido",TRIM('DATOS'!E173&amp;"")&lt;&gt;"Sin confirmar",TRIM('DATOS'!E173&amp;"")&lt;&gt;"Por decidir",TRIM('DATOS'!E173&amp;"")&lt;&gt;"Por comprobar"))),2,IF('DATOS'!M173="No",2,IF('DATOS'!M173="Sí",0,IF(OR('DATOS'!D173&lt;&gt;'DATOS'!E173,LEN('DATOS'!E173)&gt;300,RIGHT(TRIM('DATOS'!E173),3)="...",RIGHT(TRIM('DATOS'!E173),1)="…"),1,0))))),2)</f>
      </c>
      <c r="S173" s="29">
        <f>IFERROR(IF(N173=0,"",IF('REFERENCIAS'!$Q$8&lt;&gt;1,2,IF(NOT(Y173=1),1,IF(OR(ABS('DATOS'!G173-ROUND('DATOS'!G173,'REFERENCIAS'!$E$8))&gt;0.00000001,ABS('DATOS'!H173-ROUND('DATOS'!H173,'REFERENCIAS'!$H$8))&gt;0.00000001,ABS('DATOS'!J173-ROUND('DATOS'!J173,'REFERENCIAS'!$K$8))&gt;0.00000001,IF(ISNUMBER('DATOS'!I173),ABS('DATOS'!I173-ROUND('DATOS'!I173,'REFERENCIAS'!$H$8))&gt;0.00000001,FALSE)),1,0)))),2)</f>
      </c>
      <c r="T173" s="29">
        <f>IFERROR(IF(N173=0,"",IF(NOT(AND(LEN(TRIM('DATOS'!F173&amp;""))&gt;0,TRIM('DATOS'!F173&amp;"")&lt;&gt;"Pendiente",TRIM('DATOS'!F173&amp;"")&lt;&gt;"Por confirmar",TRIM('DATOS'!F173&amp;"")&lt;&gt;"No consta",TRIM('DATOS'!F173&amp;"")&lt;&gt;"Desconocido",TRIM('DATOS'!F173&amp;"")&lt;&gt;"Sin confirmar",TRIM('DATOS'!F173&amp;"")&lt;&gt;"Por decidir",TRIM('DATOS'!F173&amp;"")&lt;&gt;"Por comprobar")),2,IF(COUNTIFS('REFERENCIAS'!$T$15:$T$34,"ID:"&amp;SUBSTITUTE(SUBSTITUTE(SUBSTITUTE(SUBSTITUTE(UPPER(TRIM('DATOS'!F173&amp;"")),"!","!E"),"*","!A"),"?","!B"),"~","!C"),'REFERENCIAS'!$H$15:$H$34,"&lt;&gt;")&gt;0,0,1))),2)</f>
      </c>
      <c r="U173" s="29" t="str">
        <f>'DATOS'!R173</f>
        <v>ID:</v>
      </c>
      <c r="V173" s="29" t="str">
        <f>'DATOS'!S173</f>
        <v>ID:</v>
      </c>
      <c r="W173" s="29" t="n">
        <f>IF(N173=0,0,COUNTIFS('REFERENCIAS'!$R$15:$R$64,U173))</f>
        <v>0</v>
      </c>
      <c r="X173" s="29" t="n">
        <f>IF(N173=0,0,COUNTIFS('DATOS'!$R$10:$R$509,U173,'DATOS'!$S$10:$S$509,V173))</f>
        <v>0</v>
      </c>
      <c r="Y173" s="29" t="n">
        <f>IF(AND(ISNUMBER('DATOS'!G173),ISNUMBER('DATOS'!H173),ISNUMBER('DATOS'!J173)),1,0)</f>
        <v>0</v>
      </c>
    </row>
    <row r="174" ht="64" customHeight="1">
      <c r="B174" s="26">
        <f>IF(N174=1,165,"")</f>
      </c>
      <c r="C174" s="26">
        <f>IF(AND(N174=1,LEN(TRIM('DATOS'!B174&amp;""))&gt;0),'DATOS'!B174,"")</f>
      </c>
      <c r="D174" s="26">
        <f>IF(AND(N174=1,LEN(TRIM('DATOS'!C174&amp;""))&gt;0),'DATOS'!C174,"")</f>
      </c>
      <c r="E174" s="26">
        <f>IF(NOT(ISNUMBER(P174)),"",IF(P174=2,"ROJO",IF(P174=1,"ÁMBAR","VERDE")))</f>
      </c>
      <c r="F174" s="26">
        <f>IF(NOT(ISNUMBER(Q174)),"",IF(Q174=2,"ROJO",IF(Q174=1,"ÁMBAR","VERDE")))</f>
      </c>
      <c r="G174" s="26">
        <f>IF(NOT(ISNUMBER(R174)),"",IF(R174=2,"ROJO",IF(R174=1,"ÁMBAR","VERDE")))</f>
      </c>
      <c r="H174" s="26">
        <f>IF(NOT(ISNUMBER(S174)),"",IF(S174=2,"ROJO",IF(S174=1,"ÁMBAR","VERDE")))</f>
      </c>
      <c r="I174" s="26">
        <f>IF(NOT(ISNUMBER(T174)),"",IF(T174=2,"ROJO",IF(T174=1,"ÁMBAR","VERDE")))</f>
      </c>
      <c r="J174" s="26">
        <f>IF(NOT(ISNUMBER(O174)),"",IF(O174=2,"ROJO",IF(O174=1,"ÁMBAR","VERDE")))</f>
      </c>
      <c r="K174" s="26">
        <f>IFERROR(IF(AND(N174=1,LEN(TRIM('DATOS'!N174&amp;""))&gt;0),'DATOS'!N174,""),"Hay una entrada con error. Corregimos el dato antes de cerrar la comprobación.")</f>
      </c>
      <c r="L174" s="26">
        <f>IFERROR(IF(N174=0,"",IF(O174&gt;0,"Completamos datos, claves o motivo. ","")&amp;IF(P174&gt;0,"Cotejamos precios e importe. ","")&amp;IF(Q174&gt;0,"Aclaramos el cero. ","")&amp;IF(R174&gt;0,"Comprobamos el texto. ","")&amp;IF(S174&gt;0,"Revisamos decimales visibles. ","")&amp;IF(T174&gt;0,"Confirmamos la unidad.","")),"Hay una entrada con error. Corregimos el dato antes de cerrar la comprobación.")</f>
      </c>
      <c r="N174" s="29" t="n">
        <f>IF(COUNTA('DATOS'!B174:O174)&gt;0,1,0)</f>
        <v>0</v>
      </c>
      <c r="O174" s="29">
        <f>IFERROR(IF(N174=0,"",IF(OR(NOT(AND(LEN(TRIM('DATOS'!B174&amp;""))&gt;0,TRIM('DATOS'!B174&amp;"")&lt;&gt;"Pendiente",TRIM('DATOS'!B174&amp;"")&lt;&gt;"Por confirmar",TRIM('DATOS'!B174&amp;"")&lt;&gt;"No consta",TRIM('DATOS'!B174&amp;"")&lt;&gt;"Desconocido",TRIM('DATOS'!B174&amp;"")&lt;&gt;"Sin confirmar",TRIM('DATOS'!B174&amp;"")&lt;&gt;"Por decidir",TRIM('DATOS'!B174&amp;"")&lt;&gt;"Por comprobar")),NOT(AND(LEN(TRIM('DATOS'!C174&amp;""))&gt;0,TRIM('DATOS'!C174&amp;"")&lt;&gt;"Pendiente",TRIM('DATOS'!C174&amp;"")&lt;&gt;"Por confirmar",TRIM('DATOS'!C174&amp;"")&lt;&gt;"No consta",TRIM('DATOS'!C174&amp;"")&lt;&gt;"Desconocido",TRIM('DATOS'!C174&amp;"")&lt;&gt;"Sin confirmar",TRIM('DATOS'!C174&amp;"")&lt;&gt;"Por decidir",TRIM('DATOS'!C174&amp;"")&lt;&gt;"Por comprobar")),NOT(AND(LEN(TRIM('DATOS'!D174&amp;""))&gt;0,TRIM('DATOS'!D174&amp;"")&lt;&gt;"Pendiente",TRIM('DATOS'!D174&amp;"")&lt;&gt;"Por confirmar",TRIM('DATOS'!D174&amp;"")&lt;&gt;"No consta",TRIM('DATOS'!D174&amp;"")&lt;&gt;"Desconocido",TRIM('DATOS'!D174&amp;"")&lt;&gt;"Sin confirmar",TRIM('DATOS'!D174&amp;"")&lt;&gt;"Por decidir",TRIM('DATOS'!D174&amp;"")&lt;&gt;"Por comprobar")),NOT(AND(LEN(TRIM('DATOS'!E174&amp;""))&gt;0,TRIM('DATOS'!E174&amp;"")&lt;&gt;"Pendiente",TRIM('DATOS'!E174&amp;"")&lt;&gt;"Por confirmar",TRIM('DATOS'!E174&amp;"")&lt;&gt;"No consta",TRIM('DATOS'!E174&amp;"")&lt;&gt;"Desconocido",TRIM('DATOS'!E174&amp;"")&lt;&gt;"Sin confirmar",TRIM('DATOS'!E174&amp;"")&lt;&gt;"Por decidir",TRIM('DATOS'!E174&amp;"")&lt;&gt;"Por comprobar")),NOT(AND(LEN(TRIM('DATOS'!F174&amp;""))&gt;0,TRIM('DATOS'!F174&amp;"")&lt;&gt;"Pendiente",TRIM('DATOS'!F174&amp;"")&lt;&gt;"Por confirmar",TRIM('DATOS'!F174&amp;"")&lt;&gt;"No consta",TRIM('DATOS'!F174&amp;"")&lt;&gt;"Desconocido",TRIM('DATOS'!F174&amp;"")&lt;&gt;"Sin confirmar",TRIM('DATOS'!F174&amp;"")&lt;&gt;"Por decidir",TRIM('DATOS'!F174&amp;"")&lt;&gt;"Por comprobar")),NOT(AND(LEN(TRIM('DATOS'!N174&amp;""))&gt;0,TRIM('DATOS'!N174&amp;"")&lt;&gt;"Pendiente",TRIM('DATOS'!N174&amp;"")&lt;&gt;"Por confirmar",TRIM('DATOS'!N174&amp;"")&lt;&gt;"No consta",TRIM('DATOS'!N174&amp;"")&lt;&gt;"Desconocido",TRIM('DATOS'!N174&amp;"")&lt;&gt;"Sin confirmar",TRIM('DATOS'!N174&amp;"")&lt;&gt;"Por decidir",TRIM('DATOS'!N174&amp;"")&lt;&gt;"Por comprobar")),NOT(Y174=1),W174&lt;&gt;1,X174&gt;1,NOT(OR(LEN(TRIM('DATOS'!K174&amp;""))=0,'DATOS'!K174="Sin valorar",'DATOS'!K174="Sin coste documentado",'DATOS'!K174="Incluido en otra partida",'DATOS'!K174="Por confirmar")),NOT(OR(LEN(TRIM('DATOS'!M174&amp;""))=0,'DATOS'!M174="Sí",'DATOS'!M174="No",'DATOS'!M174="Por confirmar")),NOT(OR(LEN(TRIM('DATOS'!O174&amp;""))=0,'DATOS'!O174="Comparamos",'DATOS'!O174="No existe",'DATOS'!O174="Por confirmar"))),2,IF(AND(OR('DATOS'!G174&lt;0,'DATOS'!H174&lt;0,'DATOS'!J174&lt;0),NOT(AND(LEN(TRIM('DATOS'!L174&amp;""))&gt;0,TRIM('DATOS'!L174&amp;"")&lt;&gt;"Pendiente",TRIM('DATOS'!L174&amp;"")&lt;&gt;"Por confirmar",TRIM('DATOS'!L174&amp;"")&lt;&gt;"No consta",TRIM('DATOS'!L174&amp;"")&lt;&gt;"Desconocido",TRIM('DATOS'!L174&amp;"")&lt;&gt;"Sin confirmar",TRIM('DATOS'!L174&amp;"")&lt;&gt;"Por decidir",TRIM('DATOS'!L174&amp;"")&lt;&gt;"Por comprobar"))),1,0))),2)</f>
      </c>
      <c r="P174" s="29">
        <f>IFERROR(IF(N174=0,"",IF(NOT(Y174=1),1,IF('REFERENCIAS'!$Q$8&lt;&gt;1,2,IF(ABS('DATOS'!J174-ROUND('DATOS'!G174*'DATOS'!H174,'REFERENCIAS'!$K$8))&gt;0.00000001,2,IF('DATOS'!O174="No existe",IF(LEN(TRIM('DATOS'!I174&amp;""))=0,0,2),IF('DATOS'!O174="Comparamos",IF(LEN(TRIM('DATOS'!I174&amp;""))=0,1,IF(ISNUMBER('DATOS'!I174),IF(ABS('DATOS'!H174-'DATOS'!I174)&gt;0.00000001,2,0),2)),1)))))),2)</f>
      </c>
      <c r="Q174" s="29">
        <f>IFERROR(IF(N174=0,"",IF(NOT(Y174=1),1,IF('DATOS'!K174="Sin valorar",2,IF('DATOS'!G174=0,1,IF(OR('DATOS'!H174=0,'DATOS'!J174=0),IF(AND(OR('DATOS'!K174="Sin coste documentado",'DATOS'!K174="Incluido en otra partida"),AND(LEN(TRIM('DATOS'!L174&amp;""))&gt;0,TRIM('DATOS'!L174&amp;"")&lt;&gt;"Pendiente",TRIM('DATOS'!L174&amp;"")&lt;&gt;"Por confirmar",TRIM('DATOS'!L174&amp;"")&lt;&gt;"No consta",TRIM('DATOS'!L174&amp;"")&lt;&gt;"Desconocido",TRIM('DATOS'!L174&amp;"")&lt;&gt;"Sin confirmar",TRIM('DATOS'!L174&amp;"")&lt;&gt;"Por decidir",TRIM('DATOS'!L174&amp;"")&lt;&gt;"Por comprobar")),0,1),0))))),2)</f>
      </c>
      <c r="R174" s="29">
        <f>IFERROR(IF(N174=0,"",IF(OR(NOT(AND(LEN(TRIM('DATOS'!D174&amp;""))&gt;0,TRIM('DATOS'!D174&amp;"")&lt;&gt;"Pendiente",TRIM('DATOS'!D174&amp;"")&lt;&gt;"Por confirmar",TRIM('DATOS'!D174&amp;"")&lt;&gt;"No consta",TRIM('DATOS'!D174&amp;"")&lt;&gt;"Desconocido",TRIM('DATOS'!D174&amp;"")&lt;&gt;"Sin confirmar",TRIM('DATOS'!D174&amp;"")&lt;&gt;"Por decidir",TRIM('DATOS'!D174&amp;"")&lt;&gt;"Por comprobar")),NOT(AND(LEN(TRIM('DATOS'!E174&amp;""))&gt;0,TRIM('DATOS'!E174&amp;"")&lt;&gt;"Pendiente",TRIM('DATOS'!E174&amp;"")&lt;&gt;"Por confirmar",TRIM('DATOS'!E174&amp;"")&lt;&gt;"No consta",TRIM('DATOS'!E174&amp;"")&lt;&gt;"Desconocido",TRIM('DATOS'!E174&amp;"")&lt;&gt;"Sin confirmar",TRIM('DATOS'!E174&amp;"")&lt;&gt;"Por decidir",TRIM('DATOS'!E174&amp;"")&lt;&gt;"Por comprobar"))),2,IF('DATOS'!M174="No",2,IF('DATOS'!M174="Sí",0,IF(OR('DATOS'!D174&lt;&gt;'DATOS'!E174,LEN('DATOS'!E174)&gt;300,RIGHT(TRIM('DATOS'!E174),3)="...",RIGHT(TRIM('DATOS'!E174),1)="…"),1,0))))),2)</f>
      </c>
      <c r="S174" s="29">
        <f>IFERROR(IF(N174=0,"",IF('REFERENCIAS'!$Q$8&lt;&gt;1,2,IF(NOT(Y174=1),1,IF(OR(ABS('DATOS'!G174-ROUND('DATOS'!G174,'REFERENCIAS'!$E$8))&gt;0.00000001,ABS('DATOS'!H174-ROUND('DATOS'!H174,'REFERENCIAS'!$H$8))&gt;0.00000001,ABS('DATOS'!J174-ROUND('DATOS'!J174,'REFERENCIAS'!$K$8))&gt;0.00000001,IF(ISNUMBER('DATOS'!I174),ABS('DATOS'!I174-ROUND('DATOS'!I174,'REFERENCIAS'!$H$8))&gt;0.00000001,FALSE)),1,0)))),2)</f>
      </c>
      <c r="T174" s="29">
        <f>IFERROR(IF(N174=0,"",IF(NOT(AND(LEN(TRIM('DATOS'!F174&amp;""))&gt;0,TRIM('DATOS'!F174&amp;"")&lt;&gt;"Pendiente",TRIM('DATOS'!F174&amp;"")&lt;&gt;"Por confirmar",TRIM('DATOS'!F174&amp;"")&lt;&gt;"No consta",TRIM('DATOS'!F174&amp;"")&lt;&gt;"Desconocido",TRIM('DATOS'!F174&amp;"")&lt;&gt;"Sin confirmar",TRIM('DATOS'!F174&amp;"")&lt;&gt;"Por decidir",TRIM('DATOS'!F174&amp;"")&lt;&gt;"Por comprobar")),2,IF(COUNTIFS('REFERENCIAS'!$T$15:$T$34,"ID:"&amp;SUBSTITUTE(SUBSTITUTE(SUBSTITUTE(SUBSTITUTE(UPPER(TRIM('DATOS'!F174&amp;"")),"!","!E"),"*","!A"),"?","!B"),"~","!C"),'REFERENCIAS'!$H$15:$H$34,"&lt;&gt;")&gt;0,0,1))),2)</f>
      </c>
      <c r="U174" s="29" t="str">
        <f>'DATOS'!R174</f>
        <v>ID:</v>
      </c>
      <c r="V174" s="29" t="str">
        <f>'DATOS'!S174</f>
        <v>ID:</v>
      </c>
      <c r="W174" s="29" t="n">
        <f>IF(N174=0,0,COUNTIFS('REFERENCIAS'!$R$15:$R$64,U174))</f>
        <v>0</v>
      </c>
      <c r="X174" s="29" t="n">
        <f>IF(N174=0,0,COUNTIFS('DATOS'!$R$10:$R$509,U174,'DATOS'!$S$10:$S$509,V174))</f>
        <v>0</v>
      </c>
      <c r="Y174" s="29" t="n">
        <f>IF(AND(ISNUMBER('DATOS'!G174),ISNUMBER('DATOS'!H174),ISNUMBER('DATOS'!J174)),1,0)</f>
        <v>0</v>
      </c>
    </row>
    <row r="175" ht="64" customHeight="1">
      <c r="B175" s="26">
        <f>IF(N175=1,166,"")</f>
      </c>
      <c r="C175" s="26">
        <f>IF(AND(N175=1,LEN(TRIM('DATOS'!B175&amp;""))&gt;0),'DATOS'!B175,"")</f>
      </c>
      <c r="D175" s="26">
        <f>IF(AND(N175=1,LEN(TRIM('DATOS'!C175&amp;""))&gt;0),'DATOS'!C175,"")</f>
      </c>
      <c r="E175" s="26">
        <f>IF(NOT(ISNUMBER(P175)),"",IF(P175=2,"ROJO",IF(P175=1,"ÁMBAR","VERDE")))</f>
      </c>
      <c r="F175" s="26">
        <f>IF(NOT(ISNUMBER(Q175)),"",IF(Q175=2,"ROJO",IF(Q175=1,"ÁMBAR","VERDE")))</f>
      </c>
      <c r="G175" s="26">
        <f>IF(NOT(ISNUMBER(R175)),"",IF(R175=2,"ROJO",IF(R175=1,"ÁMBAR","VERDE")))</f>
      </c>
      <c r="H175" s="26">
        <f>IF(NOT(ISNUMBER(S175)),"",IF(S175=2,"ROJO",IF(S175=1,"ÁMBAR","VERDE")))</f>
      </c>
      <c r="I175" s="26">
        <f>IF(NOT(ISNUMBER(T175)),"",IF(T175=2,"ROJO",IF(T175=1,"ÁMBAR","VERDE")))</f>
      </c>
      <c r="J175" s="26">
        <f>IF(NOT(ISNUMBER(O175)),"",IF(O175=2,"ROJO",IF(O175=1,"ÁMBAR","VERDE")))</f>
      </c>
      <c r="K175" s="26">
        <f>IFERROR(IF(AND(N175=1,LEN(TRIM('DATOS'!N175&amp;""))&gt;0),'DATOS'!N175,""),"Hay una entrada con error. Corregimos el dato antes de cerrar la comprobación.")</f>
      </c>
      <c r="L175" s="26">
        <f>IFERROR(IF(N175=0,"",IF(O175&gt;0,"Completamos datos, claves o motivo. ","")&amp;IF(P175&gt;0,"Cotejamos precios e importe. ","")&amp;IF(Q175&gt;0,"Aclaramos el cero. ","")&amp;IF(R175&gt;0,"Comprobamos el texto. ","")&amp;IF(S175&gt;0,"Revisamos decimales visibles. ","")&amp;IF(T175&gt;0,"Confirmamos la unidad.","")),"Hay una entrada con error. Corregimos el dato antes de cerrar la comprobación.")</f>
      </c>
      <c r="N175" s="29" t="n">
        <f>IF(COUNTA('DATOS'!B175:O175)&gt;0,1,0)</f>
        <v>0</v>
      </c>
      <c r="O175" s="29">
        <f>IFERROR(IF(N175=0,"",IF(OR(NOT(AND(LEN(TRIM('DATOS'!B175&amp;""))&gt;0,TRIM('DATOS'!B175&amp;"")&lt;&gt;"Pendiente",TRIM('DATOS'!B175&amp;"")&lt;&gt;"Por confirmar",TRIM('DATOS'!B175&amp;"")&lt;&gt;"No consta",TRIM('DATOS'!B175&amp;"")&lt;&gt;"Desconocido",TRIM('DATOS'!B175&amp;"")&lt;&gt;"Sin confirmar",TRIM('DATOS'!B175&amp;"")&lt;&gt;"Por decidir",TRIM('DATOS'!B175&amp;"")&lt;&gt;"Por comprobar")),NOT(AND(LEN(TRIM('DATOS'!C175&amp;""))&gt;0,TRIM('DATOS'!C175&amp;"")&lt;&gt;"Pendiente",TRIM('DATOS'!C175&amp;"")&lt;&gt;"Por confirmar",TRIM('DATOS'!C175&amp;"")&lt;&gt;"No consta",TRIM('DATOS'!C175&amp;"")&lt;&gt;"Desconocido",TRIM('DATOS'!C175&amp;"")&lt;&gt;"Sin confirmar",TRIM('DATOS'!C175&amp;"")&lt;&gt;"Por decidir",TRIM('DATOS'!C175&amp;"")&lt;&gt;"Por comprobar")),NOT(AND(LEN(TRIM('DATOS'!D175&amp;""))&gt;0,TRIM('DATOS'!D175&amp;"")&lt;&gt;"Pendiente",TRIM('DATOS'!D175&amp;"")&lt;&gt;"Por confirmar",TRIM('DATOS'!D175&amp;"")&lt;&gt;"No consta",TRIM('DATOS'!D175&amp;"")&lt;&gt;"Desconocido",TRIM('DATOS'!D175&amp;"")&lt;&gt;"Sin confirmar",TRIM('DATOS'!D175&amp;"")&lt;&gt;"Por decidir",TRIM('DATOS'!D175&amp;"")&lt;&gt;"Por comprobar")),NOT(AND(LEN(TRIM('DATOS'!E175&amp;""))&gt;0,TRIM('DATOS'!E175&amp;"")&lt;&gt;"Pendiente",TRIM('DATOS'!E175&amp;"")&lt;&gt;"Por confirmar",TRIM('DATOS'!E175&amp;"")&lt;&gt;"No consta",TRIM('DATOS'!E175&amp;"")&lt;&gt;"Desconocido",TRIM('DATOS'!E175&amp;"")&lt;&gt;"Sin confirmar",TRIM('DATOS'!E175&amp;"")&lt;&gt;"Por decidir",TRIM('DATOS'!E175&amp;"")&lt;&gt;"Por comprobar")),NOT(AND(LEN(TRIM('DATOS'!F175&amp;""))&gt;0,TRIM('DATOS'!F175&amp;"")&lt;&gt;"Pendiente",TRIM('DATOS'!F175&amp;"")&lt;&gt;"Por confirmar",TRIM('DATOS'!F175&amp;"")&lt;&gt;"No consta",TRIM('DATOS'!F175&amp;"")&lt;&gt;"Desconocido",TRIM('DATOS'!F175&amp;"")&lt;&gt;"Sin confirmar",TRIM('DATOS'!F175&amp;"")&lt;&gt;"Por decidir",TRIM('DATOS'!F175&amp;"")&lt;&gt;"Por comprobar")),NOT(AND(LEN(TRIM('DATOS'!N175&amp;""))&gt;0,TRIM('DATOS'!N175&amp;"")&lt;&gt;"Pendiente",TRIM('DATOS'!N175&amp;"")&lt;&gt;"Por confirmar",TRIM('DATOS'!N175&amp;"")&lt;&gt;"No consta",TRIM('DATOS'!N175&amp;"")&lt;&gt;"Desconocido",TRIM('DATOS'!N175&amp;"")&lt;&gt;"Sin confirmar",TRIM('DATOS'!N175&amp;"")&lt;&gt;"Por decidir",TRIM('DATOS'!N175&amp;"")&lt;&gt;"Por comprobar")),NOT(Y175=1),W175&lt;&gt;1,X175&gt;1,NOT(OR(LEN(TRIM('DATOS'!K175&amp;""))=0,'DATOS'!K175="Sin valorar",'DATOS'!K175="Sin coste documentado",'DATOS'!K175="Incluido en otra partida",'DATOS'!K175="Por confirmar")),NOT(OR(LEN(TRIM('DATOS'!M175&amp;""))=0,'DATOS'!M175="Sí",'DATOS'!M175="No",'DATOS'!M175="Por confirmar")),NOT(OR(LEN(TRIM('DATOS'!O175&amp;""))=0,'DATOS'!O175="Comparamos",'DATOS'!O175="No existe",'DATOS'!O175="Por confirmar"))),2,IF(AND(OR('DATOS'!G175&lt;0,'DATOS'!H175&lt;0,'DATOS'!J175&lt;0),NOT(AND(LEN(TRIM('DATOS'!L175&amp;""))&gt;0,TRIM('DATOS'!L175&amp;"")&lt;&gt;"Pendiente",TRIM('DATOS'!L175&amp;"")&lt;&gt;"Por confirmar",TRIM('DATOS'!L175&amp;"")&lt;&gt;"No consta",TRIM('DATOS'!L175&amp;"")&lt;&gt;"Desconocido",TRIM('DATOS'!L175&amp;"")&lt;&gt;"Sin confirmar",TRIM('DATOS'!L175&amp;"")&lt;&gt;"Por decidir",TRIM('DATOS'!L175&amp;"")&lt;&gt;"Por comprobar"))),1,0))),2)</f>
      </c>
      <c r="P175" s="29">
        <f>IFERROR(IF(N175=0,"",IF(NOT(Y175=1),1,IF('REFERENCIAS'!$Q$8&lt;&gt;1,2,IF(ABS('DATOS'!J175-ROUND('DATOS'!G175*'DATOS'!H175,'REFERENCIAS'!$K$8))&gt;0.00000001,2,IF('DATOS'!O175="No existe",IF(LEN(TRIM('DATOS'!I175&amp;""))=0,0,2),IF('DATOS'!O175="Comparamos",IF(LEN(TRIM('DATOS'!I175&amp;""))=0,1,IF(ISNUMBER('DATOS'!I175),IF(ABS('DATOS'!H175-'DATOS'!I175)&gt;0.00000001,2,0),2)),1)))))),2)</f>
      </c>
      <c r="Q175" s="29">
        <f>IFERROR(IF(N175=0,"",IF(NOT(Y175=1),1,IF('DATOS'!K175="Sin valorar",2,IF('DATOS'!G175=0,1,IF(OR('DATOS'!H175=0,'DATOS'!J175=0),IF(AND(OR('DATOS'!K175="Sin coste documentado",'DATOS'!K175="Incluido en otra partida"),AND(LEN(TRIM('DATOS'!L175&amp;""))&gt;0,TRIM('DATOS'!L175&amp;"")&lt;&gt;"Pendiente",TRIM('DATOS'!L175&amp;"")&lt;&gt;"Por confirmar",TRIM('DATOS'!L175&amp;"")&lt;&gt;"No consta",TRIM('DATOS'!L175&amp;"")&lt;&gt;"Desconocido",TRIM('DATOS'!L175&amp;"")&lt;&gt;"Sin confirmar",TRIM('DATOS'!L175&amp;"")&lt;&gt;"Por decidir",TRIM('DATOS'!L175&amp;"")&lt;&gt;"Por comprobar")),0,1),0))))),2)</f>
      </c>
      <c r="R175" s="29">
        <f>IFERROR(IF(N175=0,"",IF(OR(NOT(AND(LEN(TRIM('DATOS'!D175&amp;""))&gt;0,TRIM('DATOS'!D175&amp;"")&lt;&gt;"Pendiente",TRIM('DATOS'!D175&amp;"")&lt;&gt;"Por confirmar",TRIM('DATOS'!D175&amp;"")&lt;&gt;"No consta",TRIM('DATOS'!D175&amp;"")&lt;&gt;"Desconocido",TRIM('DATOS'!D175&amp;"")&lt;&gt;"Sin confirmar",TRIM('DATOS'!D175&amp;"")&lt;&gt;"Por decidir",TRIM('DATOS'!D175&amp;"")&lt;&gt;"Por comprobar")),NOT(AND(LEN(TRIM('DATOS'!E175&amp;""))&gt;0,TRIM('DATOS'!E175&amp;"")&lt;&gt;"Pendiente",TRIM('DATOS'!E175&amp;"")&lt;&gt;"Por confirmar",TRIM('DATOS'!E175&amp;"")&lt;&gt;"No consta",TRIM('DATOS'!E175&amp;"")&lt;&gt;"Desconocido",TRIM('DATOS'!E175&amp;"")&lt;&gt;"Sin confirmar",TRIM('DATOS'!E175&amp;"")&lt;&gt;"Por decidir",TRIM('DATOS'!E175&amp;"")&lt;&gt;"Por comprobar"))),2,IF('DATOS'!M175="No",2,IF('DATOS'!M175="Sí",0,IF(OR('DATOS'!D175&lt;&gt;'DATOS'!E175,LEN('DATOS'!E175)&gt;300,RIGHT(TRIM('DATOS'!E175),3)="...",RIGHT(TRIM('DATOS'!E175),1)="…"),1,0))))),2)</f>
      </c>
      <c r="S175" s="29">
        <f>IFERROR(IF(N175=0,"",IF('REFERENCIAS'!$Q$8&lt;&gt;1,2,IF(NOT(Y175=1),1,IF(OR(ABS('DATOS'!G175-ROUND('DATOS'!G175,'REFERENCIAS'!$E$8))&gt;0.00000001,ABS('DATOS'!H175-ROUND('DATOS'!H175,'REFERENCIAS'!$H$8))&gt;0.00000001,ABS('DATOS'!J175-ROUND('DATOS'!J175,'REFERENCIAS'!$K$8))&gt;0.00000001,IF(ISNUMBER('DATOS'!I175),ABS('DATOS'!I175-ROUND('DATOS'!I175,'REFERENCIAS'!$H$8))&gt;0.00000001,FALSE)),1,0)))),2)</f>
      </c>
      <c r="T175" s="29">
        <f>IFERROR(IF(N175=0,"",IF(NOT(AND(LEN(TRIM('DATOS'!F175&amp;""))&gt;0,TRIM('DATOS'!F175&amp;"")&lt;&gt;"Pendiente",TRIM('DATOS'!F175&amp;"")&lt;&gt;"Por confirmar",TRIM('DATOS'!F175&amp;"")&lt;&gt;"No consta",TRIM('DATOS'!F175&amp;"")&lt;&gt;"Desconocido",TRIM('DATOS'!F175&amp;"")&lt;&gt;"Sin confirmar",TRIM('DATOS'!F175&amp;"")&lt;&gt;"Por decidir",TRIM('DATOS'!F175&amp;"")&lt;&gt;"Por comprobar")),2,IF(COUNTIFS('REFERENCIAS'!$T$15:$T$34,"ID:"&amp;SUBSTITUTE(SUBSTITUTE(SUBSTITUTE(SUBSTITUTE(UPPER(TRIM('DATOS'!F175&amp;"")),"!","!E"),"*","!A"),"?","!B"),"~","!C"),'REFERENCIAS'!$H$15:$H$34,"&lt;&gt;")&gt;0,0,1))),2)</f>
      </c>
      <c r="U175" s="29" t="str">
        <f>'DATOS'!R175</f>
        <v>ID:</v>
      </c>
      <c r="V175" s="29" t="str">
        <f>'DATOS'!S175</f>
        <v>ID:</v>
      </c>
      <c r="W175" s="29" t="n">
        <f>IF(N175=0,0,COUNTIFS('REFERENCIAS'!$R$15:$R$64,U175))</f>
        <v>0</v>
      </c>
      <c r="X175" s="29" t="n">
        <f>IF(N175=0,0,COUNTIFS('DATOS'!$R$10:$R$509,U175,'DATOS'!$S$10:$S$509,V175))</f>
        <v>0</v>
      </c>
      <c r="Y175" s="29" t="n">
        <f>IF(AND(ISNUMBER('DATOS'!G175),ISNUMBER('DATOS'!H175),ISNUMBER('DATOS'!J175)),1,0)</f>
        <v>0</v>
      </c>
    </row>
    <row r="176" ht="64" customHeight="1">
      <c r="B176" s="26">
        <f>IF(N176=1,167,"")</f>
      </c>
      <c r="C176" s="26">
        <f>IF(AND(N176=1,LEN(TRIM('DATOS'!B176&amp;""))&gt;0),'DATOS'!B176,"")</f>
      </c>
      <c r="D176" s="26">
        <f>IF(AND(N176=1,LEN(TRIM('DATOS'!C176&amp;""))&gt;0),'DATOS'!C176,"")</f>
      </c>
      <c r="E176" s="26">
        <f>IF(NOT(ISNUMBER(P176)),"",IF(P176=2,"ROJO",IF(P176=1,"ÁMBAR","VERDE")))</f>
      </c>
      <c r="F176" s="26">
        <f>IF(NOT(ISNUMBER(Q176)),"",IF(Q176=2,"ROJO",IF(Q176=1,"ÁMBAR","VERDE")))</f>
      </c>
      <c r="G176" s="26">
        <f>IF(NOT(ISNUMBER(R176)),"",IF(R176=2,"ROJO",IF(R176=1,"ÁMBAR","VERDE")))</f>
      </c>
      <c r="H176" s="26">
        <f>IF(NOT(ISNUMBER(S176)),"",IF(S176=2,"ROJO",IF(S176=1,"ÁMBAR","VERDE")))</f>
      </c>
      <c r="I176" s="26">
        <f>IF(NOT(ISNUMBER(T176)),"",IF(T176=2,"ROJO",IF(T176=1,"ÁMBAR","VERDE")))</f>
      </c>
      <c r="J176" s="26">
        <f>IF(NOT(ISNUMBER(O176)),"",IF(O176=2,"ROJO",IF(O176=1,"ÁMBAR","VERDE")))</f>
      </c>
      <c r="K176" s="26">
        <f>IFERROR(IF(AND(N176=1,LEN(TRIM('DATOS'!N176&amp;""))&gt;0),'DATOS'!N176,""),"Hay una entrada con error. Corregimos el dato antes de cerrar la comprobación.")</f>
      </c>
      <c r="L176" s="26">
        <f>IFERROR(IF(N176=0,"",IF(O176&gt;0,"Completamos datos, claves o motivo. ","")&amp;IF(P176&gt;0,"Cotejamos precios e importe. ","")&amp;IF(Q176&gt;0,"Aclaramos el cero. ","")&amp;IF(R176&gt;0,"Comprobamos el texto. ","")&amp;IF(S176&gt;0,"Revisamos decimales visibles. ","")&amp;IF(T176&gt;0,"Confirmamos la unidad.","")),"Hay una entrada con error. Corregimos el dato antes de cerrar la comprobación.")</f>
      </c>
      <c r="N176" s="29" t="n">
        <f>IF(COUNTA('DATOS'!B176:O176)&gt;0,1,0)</f>
        <v>0</v>
      </c>
      <c r="O176" s="29">
        <f>IFERROR(IF(N176=0,"",IF(OR(NOT(AND(LEN(TRIM('DATOS'!B176&amp;""))&gt;0,TRIM('DATOS'!B176&amp;"")&lt;&gt;"Pendiente",TRIM('DATOS'!B176&amp;"")&lt;&gt;"Por confirmar",TRIM('DATOS'!B176&amp;"")&lt;&gt;"No consta",TRIM('DATOS'!B176&amp;"")&lt;&gt;"Desconocido",TRIM('DATOS'!B176&amp;"")&lt;&gt;"Sin confirmar",TRIM('DATOS'!B176&amp;"")&lt;&gt;"Por decidir",TRIM('DATOS'!B176&amp;"")&lt;&gt;"Por comprobar")),NOT(AND(LEN(TRIM('DATOS'!C176&amp;""))&gt;0,TRIM('DATOS'!C176&amp;"")&lt;&gt;"Pendiente",TRIM('DATOS'!C176&amp;"")&lt;&gt;"Por confirmar",TRIM('DATOS'!C176&amp;"")&lt;&gt;"No consta",TRIM('DATOS'!C176&amp;"")&lt;&gt;"Desconocido",TRIM('DATOS'!C176&amp;"")&lt;&gt;"Sin confirmar",TRIM('DATOS'!C176&amp;"")&lt;&gt;"Por decidir",TRIM('DATOS'!C176&amp;"")&lt;&gt;"Por comprobar")),NOT(AND(LEN(TRIM('DATOS'!D176&amp;""))&gt;0,TRIM('DATOS'!D176&amp;"")&lt;&gt;"Pendiente",TRIM('DATOS'!D176&amp;"")&lt;&gt;"Por confirmar",TRIM('DATOS'!D176&amp;"")&lt;&gt;"No consta",TRIM('DATOS'!D176&amp;"")&lt;&gt;"Desconocido",TRIM('DATOS'!D176&amp;"")&lt;&gt;"Sin confirmar",TRIM('DATOS'!D176&amp;"")&lt;&gt;"Por decidir",TRIM('DATOS'!D176&amp;"")&lt;&gt;"Por comprobar")),NOT(AND(LEN(TRIM('DATOS'!E176&amp;""))&gt;0,TRIM('DATOS'!E176&amp;"")&lt;&gt;"Pendiente",TRIM('DATOS'!E176&amp;"")&lt;&gt;"Por confirmar",TRIM('DATOS'!E176&amp;"")&lt;&gt;"No consta",TRIM('DATOS'!E176&amp;"")&lt;&gt;"Desconocido",TRIM('DATOS'!E176&amp;"")&lt;&gt;"Sin confirmar",TRIM('DATOS'!E176&amp;"")&lt;&gt;"Por decidir",TRIM('DATOS'!E176&amp;"")&lt;&gt;"Por comprobar")),NOT(AND(LEN(TRIM('DATOS'!F176&amp;""))&gt;0,TRIM('DATOS'!F176&amp;"")&lt;&gt;"Pendiente",TRIM('DATOS'!F176&amp;"")&lt;&gt;"Por confirmar",TRIM('DATOS'!F176&amp;"")&lt;&gt;"No consta",TRIM('DATOS'!F176&amp;"")&lt;&gt;"Desconocido",TRIM('DATOS'!F176&amp;"")&lt;&gt;"Sin confirmar",TRIM('DATOS'!F176&amp;"")&lt;&gt;"Por decidir",TRIM('DATOS'!F176&amp;"")&lt;&gt;"Por comprobar")),NOT(AND(LEN(TRIM('DATOS'!N176&amp;""))&gt;0,TRIM('DATOS'!N176&amp;"")&lt;&gt;"Pendiente",TRIM('DATOS'!N176&amp;"")&lt;&gt;"Por confirmar",TRIM('DATOS'!N176&amp;"")&lt;&gt;"No consta",TRIM('DATOS'!N176&amp;"")&lt;&gt;"Desconocido",TRIM('DATOS'!N176&amp;"")&lt;&gt;"Sin confirmar",TRIM('DATOS'!N176&amp;"")&lt;&gt;"Por decidir",TRIM('DATOS'!N176&amp;"")&lt;&gt;"Por comprobar")),NOT(Y176=1),W176&lt;&gt;1,X176&gt;1,NOT(OR(LEN(TRIM('DATOS'!K176&amp;""))=0,'DATOS'!K176="Sin valorar",'DATOS'!K176="Sin coste documentado",'DATOS'!K176="Incluido en otra partida",'DATOS'!K176="Por confirmar")),NOT(OR(LEN(TRIM('DATOS'!M176&amp;""))=0,'DATOS'!M176="Sí",'DATOS'!M176="No",'DATOS'!M176="Por confirmar")),NOT(OR(LEN(TRIM('DATOS'!O176&amp;""))=0,'DATOS'!O176="Comparamos",'DATOS'!O176="No existe",'DATOS'!O176="Por confirmar"))),2,IF(AND(OR('DATOS'!G176&lt;0,'DATOS'!H176&lt;0,'DATOS'!J176&lt;0),NOT(AND(LEN(TRIM('DATOS'!L176&amp;""))&gt;0,TRIM('DATOS'!L176&amp;"")&lt;&gt;"Pendiente",TRIM('DATOS'!L176&amp;"")&lt;&gt;"Por confirmar",TRIM('DATOS'!L176&amp;"")&lt;&gt;"No consta",TRIM('DATOS'!L176&amp;"")&lt;&gt;"Desconocido",TRIM('DATOS'!L176&amp;"")&lt;&gt;"Sin confirmar",TRIM('DATOS'!L176&amp;"")&lt;&gt;"Por decidir",TRIM('DATOS'!L176&amp;"")&lt;&gt;"Por comprobar"))),1,0))),2)</f>
      </c>
      <c r="P176" s="29">
        <f>IFERROR(IF(N176=0,"",IF(NOT(Y176=1),1,IF('REFERENCIAS'!$Q$8&lt;&gt;1,2,IF(ABS('DATOS'!J176-ROUND('DATOS'!G176*'DATOS'!H176,'REFERENCIAS'!$K$8))&gt;0.00000001,2,IF('DATOS'!O176="No existe",IF(LEN(TRIM('DATOS'!I176&amp;""))=0,0,2),IF('DATOS'!O176="Comparamos",IF(LEN(TRIM('DATOS'!I176&amp;""))=0,1,IF(ISNUMBER('DATOS'!I176),IF(ABS('DATOS'!H176-'DATOS'!I176)&gt;0.00000001,2,0),2)),1)))))),2)</f>
      </c>
      <c r="Q176" s="29">
        <f>IFERROR(IF(N176=0,"",IF(NOT(Y176=1),1,IF('DATOS'!K176="Sin valorar",2,IF('DATOS'!G176=0,1,IF(OR('DATOS'!H176=0,'DATOS'!J176=0),IF(AND(OR('DATOS'!K176="Sin coste documentado",'DATOS'!K176="Incluido en otra partida"),AND(LEN(TRIM('DATOS'!L176&amp;""))&gt;0,TRIM('DATOS'!L176&amp;"")&lt;&gt;"Pendiente",TRIM('DATOS'!L176&amp;"")&lt;&gt;"Por confirmar",TRIM('DATOS'!L176&amp;"")&lt;&gt;"No consta",TRIM('DATOS'!L176&amp;"")&lt;&gt;"Desconocido",TRIM('DATOS'!L176&amp;"")&lt;&gt;"Sin confirmar",TRIM('DATOS'!L176&amp;"")&lt;&gt;"Por decidir",TRIM('DATOS'!L176&amp;"")&lt;&gt;"Por comprobar")),0,1),0))))),2)</f>
      </c>
      <c r="R176" s="29">
        <f>IFERROR(IF(N176=0,"",IF(OR(NOT(AND(LEN(TRIM('DATOS'!D176&amp;""))&gt;0,TRIM('DATOS'!D176&amp;"")&lt;&gt;"Pendiente",TRIM('DATOS'!D176&amp;"")&lt;&gt;"Por confirmar",TRIM('DATOS'!D176&amp;"")&lt;&gt;"No consta",TRIM('DATOS'!D176&amp;"")&lt;&gt;"Desconocido",TRIM('DATOS'!D176&amp;"")&lt;&gt;"Sin confirmar",TRIM('DATOS'!D176&amp;"")&lt;&gt;"Por decidir",TRIM('DATOS'!D176&amp;"")&lt;&gt;"Por comprobar")),NOT(AND(LEN(TRIM('DATOS'!E176&amp;""))&gt;0,TRIM('DATOS'!E176&amp;"")&lt;&gt;"Pendiente",TRIM('DATOS'!E176&amp;"")&lt;&gt;"Por confirmar",TRIM('DATOS'!E176&amp;"")&lt;&gt;"No consta",TRIM('DATOS'!E176&amp;"")&lt;&gt;"Desconocido",TRIM('DATOS'!E176&amp;"")&lt;&gt;"Sin confirmar",TRIM('DATOS'!E176&amp;"")&lt;&gt;"Por decidir",TRIM('DATOS'!E176&amp;"")&lt;&gt;"Por comprobar"))),2,IF('DATOS'!M176="No",2,IF('DATOS'!M176="Sí",0,IF(OR('DATOS'!D176&lt;&gt;'DATOS'!E176,LEN('DATOS'!E176)&gt;300,RIGHT(TRIM('DATOS'!E176),3)="...",RIGHT(TRIM('DATOS'!E176),1)="…"),1,0))))),2)</f>
      </c>
      <c r="S176" s="29">
        <f>IFERROR(IF(N176=0,"",IF('REFERENCIAS'!$Q$8&lt;&gt;1,2,IF(NOT(Y176=1),1,IF(OR(ABS('DATOS'!G176-ROUND('DATOS'!G176,'REFERENCIAS'!$E$8))&gt;0.00000001,ABS('DATOS'!H176-ROUND('DATOS'!H176,'REFERENCIAS'!$H$8))&gt;0.00000001,ABS('DATOS'!J176-ROUND('DATOS'!J176,'REFERENCIAS'!$K$8))&gt;0.00000001,IF(ISNUMBER('DATOS'!I176),ABS('DATOS'!I176-ROUND('DATOS'!I176,'REFERENCIAS'!$H$8))&gt;0.00000001,FALSE)),1,0)))),2)</f>
      </c>
      <c r="T176" s="29">
        <f>IFERROR(IF(N176=0,"",IF(NOT(AND(LEN(TRIM('DATOS'!F176&amp;""))&gt;0,TRIM('DATOS'!F176&amp;"")&lt;&gt;"Pendiente",TRIM('DATOS'!F176&amp;"")&lt;&gt;"Por confirmar",TRIM('DATOS'!F176&amp;"")&lt;&gt;"No consta",TRIM('DATOS'!F176&amp;"")&lt;&gt;"Desconocido",TRIM('DATOS'!F176&amp;"")&lt;&gt;"Sin confirmar",TRIM('DATOS'!F176&amp;"")&lt;&gt;"Por decidir",TRIM('DATOS'!F176&amp;"")&lt;&gt;"Por comprobar")),2,IF(COUNTIFS('REFERENCIAS'!$T$15:$T$34,"ID:"&amp;SUBSTITUTE(SUBSTITUTE(SUBSTITUTE(SUBSTITUTE(UPPER(TRIM('DATOS'!F176&amp;"")),"!","!E"),"*","!A"),"?","!B"),"~","!C"),'REFERENCIAS'!$H$15:$H$34,"&lt;&gt;")&gt;0,0,1))),2)</f>
      </c>
      <c r="U176" s="29" t="str">
        <f>'DATOS'!R176</f>
        <v>ID:</v>
      </c>
      <c r="V176" s="29" t="str">
        <f>'DATOS'!S176</f>
        <v>ID:</v>
      </c>
      <c r="W176" s="29" t="n">
        <f>IF(N176=0,0,COUNTIFS('REFERENCIAS'!$R$15:$R$64,U176))</f>
        <v>0</v>
      </c>
      <c r="X176" s="29" t="n">
        <f>IF(N176=0,0,COUNTIFS('DATOS'!$R$10:$R$509,U176,'DATOS'!$S$10:$S$509,V176))</f>
        <v>0</v>
      </c>
      <c r="Y176" s="29" t="n">
        <f>IF(AND(ISNUMBER('DATOS'!G176),ISNUMBER('DATOS'!H176),ISNUMBER('DATOS'!J176)),1,0)</f>
        <v>0</v>
      </c>
    </row>
    <row r="177" ht="64" customHeight="1">
      <c r="B177" s="26">
        <f>IF(N177=1,168,"")</f>
      </c>
      <c r="C177" s="26">
        <f>IF(AND(N177=1,LEN(TRIM('DATOS'!B177&amp;""))&gt;0),'DATOS'!B177,"")</f>
      </c>
      <c r="D177" s="26">
        <f>IF(AND(N177=1,LEN(TRIM('DATOS'!C177&amp;""))&gt;0),'DATOS'!C177,"")</f>
      </c>
      <c r="E177" s="26">
        <f>IF(NOT(ISNUMBER(P177)),"",IF(P177=2,"ROJO",IF(P177=1,"ÁMBAR","VERDE")))</f>
      </c>
      <c r="F177" s="26">
        <f>IF(NOT(ISNUMBER(Q177)),"",IF(Q177=2,"ROJO",IF(Q177=1,"ÁMBAR","VERDE")))</f>
      </c>
      <c r="G177" s="26">
        <f>IF(NOT(ISNUMBER(R177)),"",IF(R177=2,"ROJO",IF(R177=1,"ÁMBAR","VERDE")))</f>
      </c>
      <c r="H177" s="26">
        <f>IF(NOT(ISNUMBER(S177)),"",IF(S177=2,"ROJO",IF(S177=1,"ÁMBAR","VERDE")))</f>
      </c>
      <c r="I177" s="26">
        <f>IF(NOT(ISNUMBER(T177)),"",IF(T177=2,"ROJO",IF(T177=1,"ÁMBAR","VERDE")))</f>
      </c>
      <c r="J177" s="26">
        <f>IF(NOT(ISNUMBER(O177)),"",IF(O177=2,"ROJO",IF(O177=1,"ÁMBAR","VERDE")))</f>
      </c>
      <c r="K177" s="26">
        <f>IFERROR(IF(AND(N177=1,LEN(TRIM('DATOS'!N177&amp;""))&gt;0),'DATOS'!N177,""),"Hay una entrada con error. Corregimos el dato antes de cerrar la comprobación.")</f>
      </c>
      <c r="L177" s="26">
        <f>IFERROR(IF(N177=0,"",IF(O177&gt;0,"Completamos datos, claves o motivo. ","")&amp;IF(P177&gt;0,"Cotejamos precios e importe. ","")&amp;IF(Q177&gt;0,"Aclaramos el cero. ","")&amp;IF(R177&gt;0,"Comprobamos el texto. ","")&amp;IF(S177&gt;0,"Revisamos decimales visibles. ","")&amp;IF(T177&gt;0,"Confirmamos la unidad.","")),"Hay una entrada con error. Corregimos el dato antes de cerrar la comprobación.")</f>
      </c>
      <c r="N177" s="29" t="n">
        <f>IF(COUNTA('DATOS'!B177:O177)&gt;0,1,0)</f>
        <v>0</v>
      </c>
      <c r="O177" s="29">
        <f>IFERROR(IF(N177=0,"",IF(OR(NOT(AND(LEN(TRIM('DATOS'!B177&amp;""))&gt;0,TRIM('DATOS'!B177&amp;"")&lt;&gt;"Pendiente",TRIM('DATOS'!B177&amp;"")&lt;&gt;"Por confirmar",TRIM('DATOS'!B177&amp;"")&lt;&gt;"No consta",TRIM('DATOS'!B177&amp;"")&lt;&gt;"Desconocido",TRIM('DATOS'!B177&amp;"")&lt;&gt;"Sin confirmar",TRIM('DATOS'!B177&amp;"")&lt;&gt;"Por decidir",TRIM('DATOS'!B177&amp;"")&lt;&gt;"Por comprobar")),NOT(AND(LEN(TRIM('DATOS'!C177&amp;""))&gt;0,TRIM('DATOS'!C177&amp;"")&lt;&gt;"Pendiente",TRIM('DATOS'!C177&amp;"")&lt;&gt;"Por confirmar",TRIM('DATOS'!C177&amp;"")&lt;&gt;"No consta",TRIM('DATOS'!C177&amp;"")&lt;&gt;"Desconocido",TRIM('DATOS'!C177&amp;"")&lt;&gt;"Sin confirmar",TRIM('DATOS'!C177&amp;"")&lt;&gt;"Por decidir",TRIM('DATOS'!C177&amp;"")&lt;&gt;"Por comprobar")),NOT(AND(LEN(TRIM('DATOS'!D177&amp;""))&gt;0,TRIM('DATOS'!D177&amp;"")&lt;&gt;"Pendiente",TRIM('DATOS'!D177&amp;"")&lt;&gt;"Por confirmar",TRIM('DATOS'!D177&amp;"")&lt;&gt;"No consta",TRIM('DATOS'!D177&amp;"")&lt;&gt;"Desconocido",TRIM('DATOS'!D177&amp;"")&lt;&gt;"Sin confirmar",TRIM('DATOS'!D177&amp;"")&lt;&gt;"Por decidir",TRIM('DATOS'!D177&amp;"")&lt;&gt;"Por comprobar")),NOT(AND(LEN(TRIM('DATOS'!E177&amp;""))&gt;0,TRIM('DATOS'!E177&amp;"")&lt;&gt;"Pendiente",TRIM('DATOS'!E177&amp;"")&lt;&gt;"Por confirmar",TRIM('DATOS'!E177&amp;"")&lt;&gt;"No consta",TRIM('DATOS'!E177&amp;"")&lt;&gt;"Desconocido",TRIM('DATOS'!E177&amp;"")&lt;&gt;"Sin confirmar",TRIM('DATOS'!E177&amp;"")&lt;&gt;"Por decidir",TRIM('DATOS'!E177&amp;"")&lt;&gt;"Por comprobar")),NOT(AND(LEN(TRIM('DATOS'!F177&amp;""))&gt;0,TRIM('DATOS'!F177&amp;"")&lt;&gt;"Pendiente",TRIM('DATOS'!F177&amp;"")&lt;&gt;"Por confirmar",TRIM('DATOS'!F177&amp;"")&lt;&gt;"No consta",TRIM('DATOS'!F177&amp;"")&lt;&gt;"Desconocido",TRIM('DATOS'!F177&amp;"")&lt;&gt;"Sin confirmar",TRIM('DATOS'!F177&amp;"")&lt;&gt;"Por decidir",TRIM('DATOS'!F177&amp;"")&lt;&gt;"Por comprobar")),NOT(AND(LEN(TRIM('DATOS'!N177&amp;""))&gt;0,TRIM('DATOS'!N177&amp;"")&lt;&gt;"Pendiente",TRIM('DATOS'!N177&amp;"")&lt;&gt;"Por confirmar",TRIM('DATOS'!N177&amp;"")&lt;&gt;"No consta",TRIM('DATOS'!N177&amp;"")&lt;&gt;"Desconocido",TRIM('DATOS'!N177&amp;"")&lt;&gt;"Sin confirmar",TRIM('DATOS'!N177&amp;"")&lt;&gt;"Por decidir",TRIM('DATOS'!N177&amp;"")&lt;&gt;"Por comprobar")),NOT(Y177=1),W177&lt;&gt;1,X177&gt;1,NOT(OR(LEN(TRIM('DATOS'!K177&amp;""))=0,'DATOS'!K177="Sin valorar",'DATOS'!K177="Sin coste documentado",'DATOS'!K177="Incluido en otra partida",'DATOS'!K177="Por confirmar")),NOT(OR(LEN(TRIM('DATOS'!M177&amp;""))=0,'DATOS'!M177="Sí",'DATOS'!M177="No",'DATOS'!M177="Por confirmar")),NOT(OR(LEN(TRIM('DATOS'!O177&amp;""))=0,'DATOS'!O177="Comparamos",'DATOS'!O177="No existe",'DATOS'!O177="Por confirmar"))),2,IF(AND(OR('DATOS'!G177&lt;0,'DATOS'!H177&lt;0,'DATOS'!J177&lt;0),NOT(AND(LEN(TRIM('DATOS'!L177&amp;""))&gt;0,TRIM('DATOS'!L177&amp;"")&lt;&gt;"Pendiente",TRIM('DATOS'!L177&amp;"")&lt;&gt;"Por confirmar",TRIM('DATOS'!L177&amp;"")&lt;&gt;"No consta",TRIM('DATOS'!L177&amp;"")&lt;&gt;"Desconocido",TRIM('DATOS'!L177&amp;"")&lt;&gt;"Sin confirmar",TRIM('DATOS'!L177&amp;"")&lt;&gt;"Por decidir",TRIM('DATOS'!L177&amp;"")&lt;&gt;"Por comprobar"))),1,0))),2)</f>
      </c>
      <c r="P177" s="29">
        <f>IFERROR(IF(N177=0,"",IF(NOT(Y177=1),1,IF('REFERENCIAS'!$Q$8&lt;&gt;1,2,IF(ABS('DATOS'!J177-ROUND('DATOS'!G177*'DATOS'!H177,'REFERENCIAS'!$K$8))&gt;0.00000001,2,IF('DATOS'!O177="No existe",IF(LEN(TRIM('DATOS'!I177&amp;""))=0,0,2),IF('DATOS'!O177="Comparamos",IF(LEN(TRIM('DATOS'!I177&amp;""))=0,1,IF(ISNUMBER('DATOS'!I177),IF(ABS('DATOS'!H177-'DATOS'!I177)&gt;0.00000001,2,0),2)),1)))))),2)</f>
      </c>
      <c r="Q177" s="29">
        <f>IFERROR(IF(N177=0,"",IF(NOT(Y177=1),1,IF('DATOS'!K177="Sin valorar",2,IF('DATOS'!G177=0,1,IF(OR('DATOS'!H177=0,'DATOS'!J177=0),IF(AND(OR('DATOS'!K177="Sin coste documentado",'DATOS'!K177="Incluido en otra partida"),AND(LEN(TRIM('DATOS'!L177&amp;""))&gt;0,TRIM('DATOS'!L177&amp;"")&lt;&gt;"Pendiente",TRIM('DATOS'!L177&amp;"")&lt;&gt;"Por confirmar",TRIM('DATOS'!L177&amp;"")&lt;&gt;"No consta",TRIM('DATOS'!L177&amp;"")&lt;&gt;"Desconocido",TRIM('DATOS'!L177&amp;"")&lt;&gt;"Sin confirmar",TRIM('DATOS'!L177&amp;"")&lt;&gt;"Por decidir",TRIM('DATOS'!L177&amp;"")&lt;&gt;"Por comprobar")),0,1),0))))),2)</f>
      </c>
      <c r="R177" s="29">
        <f>IFERROR(IF(N177=0,"",IF(OR(NOT(AND(LEN(TRIM('DATOS'!D177&amp;""))&gt;0,TRIM('DATOS'!D177&amp;"")&lt;&gt;"Pendiente",TRIM('DATOS'!D177&amp;"")&lt;&gt;"Por confirmar",TRIM('DATOS'!D177&amp;"")&lt;&gt;"No consta",TRIM('DATOS'!D177&amp;"")&lt;&gt;"Desconocido",TRIM('DATOS'!D177&amp;"")&lt;&gt;"Sin confirmar",TRIM('DATOS'!D177&amp;"")&lt;&gt;"Por decidir",TRIM('DATOS'!D177&amp;"")&lt;&gt;"Por comprobar")),NOT(AND(LEN(TRIM('DATOS'!E177&amp;""))&gt;0,TRIM('DATOS'!E177&amp;"")&lt;&gt;"Pendiente",TRIM('DATOS'!E177&amp;"")&lt;&gt;"Por confirmar",TRIM('DATOS'!E177&amp;"")&lt;&gt;"No consta",TRIM('DATOS'!E177&amp;"")&lt;&gt;"Desconocido",TRIM('DATOS'!E177&amp;"")&lt;&gt;"Sin confirmar",TRIM('DATOS'!E177&amp;"")&lt;&gt;"Por decidir",TRIM('DATOS'!E177&amp;"")&lt;&gt;"Por comprobar"))),2,IF('DATOS'!M177="No",2,IF('DATOS'!M177="Sí",0,IF(OR('DATOS'!D177&lt;&gt;'DATOS'!E177,LEN('DATOS'!E177)&gt;300,RIGHT(TRIM('DATOS'!E177),3)="...",RIGHT(TRIM('DATOS'!E177),1)="…"),1,0))))),2)</f>
      </c>
      <c r="S177" s="29">
        <f>IFERROR(IF(N177=0,"",IF('REFERENCIAS'!$Q$8&lt;&gt;1,2,IF(NOT(Y177=1),1,IF(OR(ABS('DATOS'!G177-ROUND('DATOS'!G177,'REFERENCIAS'!$E$8))&gt;0.00000001,ABS('DATOS'!H177-ROUND('DATOS'!H177,'REFERENCIAS'!$H$8))&gt;0.00000001,ABS('DATOS'!J177-ROUND('DATOS'!J177,'REFERENCIAS'!$K$8))&gt;0.00000001,IF(ISNUMBER('DATOS'!I177),ABS('DATOS'!I177-ROUND('DATOS'!I177,'REFERENCIAS'!$H$8))&gt;0.00000001,FALSE)),1,0)))),2)</f>
      </c>
      <c r="T177" s="29">
        <f>IFERROR(IF(N177=0,"",IF(NOT(AND(LEN(TRIM('DATOS'!F177&amp;""))&gt;0,TRIM('DATOS'!F177&amp;"")&lt;&gt;"Pendiente",TRIM('DATOS'!F177&amp;"")&lt;&gt;"Por confirmar",TRIM('DATOS'!F177&amp;"")&lt;&gt;"No consta",TRIM('DATOS'!F177&amp;"")&lt;&gt;"Desconocido",TRIM('DATOS'!F177&amp;"")&lt;&gt;"Sin confirmar",TRIM('DATOS'!F177&amp;"")&lt;&gt;"Por decidir",TRIM('DATOS'!F177&amp;"")&lt;&gt;"Por comprobar")),2,IF(COUNTIFS('REFERENCIAS'!$T$15:$T$34,"ID:"&amp;SUBSTITUTE(SUBSTITUTE(SUBSTITUTE(SUBSTITUTE(UPPER(TRIM('DATOS'!F177&amp;"")),"!","!E"),"*","!A"),"?","!B"),"~","!C"),'REFERENCIAS'!$H$15:$H$34,"&lt;&gt;")&gt;0,0,1))),2)</f>
      </c>
      <c r="U177" s="29" t="str">
        <f>'DATOS'!R177</f>
        <v>ID:</v>
      </c>
      <c r="V177" s="29" t="str">
        <f>'DATOS'!S177</f>
        <v>ID:</v>
      </c>
      <c r="W177" s="29" t="n">
        <f>IF(N177=0,0,COUNTIFS('REFERENCIAS'!$R$15:$R$64,U177))</f>
        <v>0</v>
      </c>
      <c r="X177" s="29" t="n">
        <f>IF(N177=0,0,COUNTIFS('DATOS'!$R$10:$R$509,U177,'DATOS'!$S$10:$S$509,V177))</f>
        <v>0</v>
      </c>
      <c r="Y177" s="29" t="n">
        <f>IF(AND(ISNUMBER('DATOS'!G177),ISNUMBER('DATOS'!H177),ISNUMBER('DATOS'!J177)),1,0)</f>
        <v>0</v>
      </c>
    </row>
    <row r="178" ht="64" customHeight="1">
      <c r="B178" s="26">
        <f>IF(N178=1,169,"")</f>
      </c>
      <c r="C178" s="26">
        <f>IF(AND(N178=1,LEN(TRIM('DATOS'!B178&amp;""))&gt;0),'DATOS'!B178,"")</f>
      </c>
      <c r="D178" s="26">
        <f>IF(AND(N178=1,LEN(TRIM('DATOS'!C178&amp;""))&gt;0),'DATOS'!C178,"")</f>
      </c>
      <c r="E178" s="26">
        <f>IF(NOT(ISNUMBER(P178)),"",IF(P178=2,"ROJO",IF(P178=1,"ÁMBAR","VERDE")))</f>
      </c>
      <c r="F178" s="26">
        <f>IF(NOT(ISNUMBER(Q178)),"",IF(Q178=2,"ROJO",IF(Q178=1,"ÁMBAR","VERDE")))</f>
      </c>
      <c r="G178" s="26">
        <f>IF(NOT(ISNUMBER(R178)),"",IF(R178=2,"ROJO",IF(R178=1,"ÁMBAR","VERDE")))</f>
      </c>
      <c r="H178" s="26">
        <f>IF(NOT(ISNUMBER(S178)),"",IF(S178=2,"ROJO",IF(S178=1,"ÁMBAR","VERDE")))</f>
      </c>
      <c r="I178" s="26">
        <f>IF(NOT(ISNUMBER(T178)),"",IF(T178=2,"ROJO",IF(T178=1,"ÁMBAR","VERDE")))</f>
      </c>
      <c r="J178" s="26">
        <f>IF(NOT(ISNUMBER(O178)),"",IF(O178=2,"ROJO",IF(O178=1,"ÁMBAR","VERDE")))</f>
      </c>
      <c r="K178" s="26">
        <f>IFERROR(IF(AND(N178=1,LEN(TRIM('DATOS'!N178&amp;""))&gt;0),'DATOS'!N178,""),"Hay una entrada con error. Corregimos el dato antes de cerrar la comprobación.")</f>
      </c>
      <c r="L178" s="26">
        <f>IFERROR(IF(N178=0,"",IF(O178&gt;0,"Completamos datos, claves o motivo. ","")&amp;IF(P178&gt;0,"Cotejamos precios e importe. ","")&amp;IF(Q178&gt;0,"Aclaramos el cero. ","")&amp;IF(R178&gt;0,"Comprobamos el texto. ","")&amp;IF(S178&gt;0,"Revisamos decimales visibles. ","")&amp;IF(T178&gt;0,"Confirmamos la unidad.","")),"Hay una entrada con error. Corregimos el dato antes de cerrar la comprobación.")</f>
      </c>
      <c r="N178" s="29" t="n">
        <f>IF(COUNTA('DATOS'!B178:O178)&gt;0,1,0)</f>
        <v>0</v>
      </c>
      <c r="O178" s="29">
        <f>IFERROR(IF(N178=0,"",IF(OR(NOT(AND(LEN(TRIM('DATOS'!B178&amp;""))&gt;0,TRIM('DATOS'!B178&amp;"")&lt;&gt;"Pendiente",TRIM('DATOS'!B178&amp;"")&lt;&gt;"Por confirmar",TRIM('DATOS'!B178&amp;"")&lt;&gt;"No consta",TRIM('DATOS'!B178&amp;"")&lt;&gt;"Desconocido",TRIM('DATOS'!B178&amp;"")&lt;&gt;"Sin confirmar",TRIM('DATOS'!B178&amp;"")&lt;&gt;"Por decidir",TRIM('DATOS'!B178&amp;"")&lt;&gt;"Por comprobar")),NOT(AND(LEN(TRIM('DATOS'!C178&amp;""))&gt;0,TRIM('DATOS'!C178&amp;"")&lt;&gt;"Pendiente",TRIM('DATOS'!C178&amp;"")&lt;&gt;"Por confirmar",TRIM('DATOS'!C178&amp;"")&lt;&gt;"No consta",TRIM('DATOS'!C178&amp;"")&lt;&gt;"Desconocido",TRIM('DATOS'!C178&amp;"")&lt;&gt;"Sin confirmar",TRIM('DATOS'!C178&amp;"")&lt;&gt;"Por decidir",TRIM('DATOS'!C178&amp;"")&lt;&gt;"Por comprobar")),NOT(AND(LEN(TRIM('DATOS'!D178&amp;""))&gt;0,TRIM('DATOS'!D178&amp;"")&lt;&gt;"Pendiente",TRIM('DATOS'!D178&amp;"")&lt;&gt;"Por confirmar",TRIM('DATOS'!D178&amp;"")&lt;&gt;"No consta",TRIM('DATOS'!D178&amp;"")&lt;&gt;"Desconocido",TRIM('DATOS'!D178&amp;"")&lt;&gt;"Sin confirmar",TRIM('DATOS'!D178&amp;"")&lt;&gt;"Por decidir",TRIM('DATOS'!D178&amp;"")&lt;&gt;"Por comprobar")),NOT(AND(LEN(TRIM('DATOS'!E178&amp;""))&gt;0,TRIM('DATOS'!E178&amp;"")&lt;&gt;"Pendiente",TRIM('DATOS'!E178&amp;"")&lt;&gt;"Por confirmar",TRIM('DATOS'!E178&amp;"")&lt;&gt;"No consta",TRIM('DATOS'!E178&amp;"")&lt;&gt;"Desconocido",TRIM('DATOS'!E178&amp;"")&lt;&gt;"Sin confirmar",TRIM('DATOS'!E178&amp;"")&lt;&gt;"Por decidir",TRIM('DATOS'!E178&amp;"")&lt;&gt;"Por comprobar")),NOT(AND(LEN(TRIM('DATOS'!F178&amp;""))&gt;0,TRIM('DATOS'!F178&amp;"")&lt;&gt;"Pendiente",TRIM('DATOS'!F178&amp;"")&lt;&gt;"Por confirmar",TRIM('DATOS'!F178&amp;"")&lt;&gt;"No consta",TRIM('DATOS'!F178&amp;"")&lt;&gt;"Desconocido",TRIM('DATOS'!F178&amp;"")&lt;&gt;"Sin confirmar",TRIM('DATOS'!F178&amp;"")&lt;&gt;"Por decidir",TRIM('DATOS'!F178&amp;"")&lt;&gt;"Por comprobar")),NOT(AND(LEN(TRIM('DATOS'!N178&amp;""))&gt;0,TRIM('DATOS'!N178&amp;"")&lt;&gt;"Pendiente",TRIM('DATOS'!N178&amp;"")&lt;&gt;"Por confirmar",TRIM('DATOS'!N178&amp;"")&lt;&gt;"No consta",TRIM('DATOS'!N178&amp;"")&lt;&gt;"Desconocido",TRIM('DATOS'!N178&amp;"")&lt;&gt;"Sin confirmar",TRIM('DATOS'!N178&amp;"")&lt;&gt;"Por decidir",TRIM('DATOS'!N178&amp;"")&lt;&gt;"Por comprobar")),NOT(Y178=1),W178&lt;&gt;1,X178&gt;1,NOT(OR(LEN(TRIM('DATOS'!K178&amp;""))=0,'DATOS'!K178="Sin valorar",'DATOS'!K178="Sin coste documentado",'DATOS'!K178="Incluido en otra partida",'DATOS'!K178="Por confirmar")),NOT(OR(LEN(TRIM('DATOS'!M178&amp;""))=0,'DATOS'!M178="Sí",'DATOS'!M178="No",'DATOS'!M178="Por confirmar")),NOT(OR(LEN(TRIM('DATOS'!O178&amp;""))=0,'DATOS'!O178="Comparamos",'DATOS'!O178="No existe",'DATOS'!O178="Por confirmar"))),2,IF(AND(OR('DATOS'!G178&lt;0,'DATOS'!H178&lt;0,'DATOS'!J178&lt;0),NOT(AND(LEN(TRIM('DATOS'!L178&amp;""))&gt;0,TRIM('DATOS'!L178&amp;"")&lt;&gt;"Pendiente",TRIM('DATOS'!L178&amp;"")&lt;&gt;"Por confirmar",TRIM('DATOS'!L178&amp;"")&lt;&gt;"No consta",TRIM('DATOS'!L178&amp;"")&lt;&gt;"Desconocido",TRIM('DATOS'!L178&amp;"")&lt;&gt;"Sin confirmar",TRIM('DATOS'!L178&amp;"")&lt;&gt;"Por decidir",TRIM('DATOS'!L178&amp;"")&lt;&gt;"Por comprobar"))),1,0))),2)</f>
      </c>
      <c r="P178" s="29">
        <f>IFERROR(IF(N178=0,"",IF(NOT(Y178=1),1,IF('REFERENCIAS'!$Q$8&lt;&gt;1,2,IF(ABS('DATOS'!J178-ROUND('DATOS'!G178*'DATOS'!H178,'REFERENCIAS'!$K$8))&gt;0.00000001,2,IF('DATOS'!O178="No existe",IF(LEN(TRIM('DATOS'!I178&amp;""))=0,0,2),IF('DATOS'!O178="Comparamos",IF(LEN(TRIM('DATOS'!I178&amp;""))=0,1,IF(ISNUMBER('DATOS'!I178),IF(ABS('DATOS'!H178-'DATOS'!I178)&gt;0.00000001,2,0),2)),1)))))),2)</f>
      </c>
      <c r="Q178" s="29">
        <f>IFERROR(IF(N178=0,"",IF(NOT(Y178=1),1,IF('DATOS'!K178="Sin valorar",2,IF('DATOS'!G178=0,1,IF(OR('DATOS'!H178=0,'DATOS'!J178=0),IF(AND(OR('DATOS'!K178="Sin coste documentado",'DATOS'!K178="Incluido en otra partida"),AND(LEN(TRIM('DATOS'!L178&amp;""))&gt;0,TRIM('DATOS'!L178&amp;"")&lt;&gt;"Pendiente",TRIM('DATOS'!L178&amp;"")&lt;&gt;"Por confirmar",TRIM('DATOS'!L178&amp;"")&lt;&gt;"No consta",TRIM('DATOS'!L178&amp;"")&lt;&gt;"Desconocido",TRIM('DATOS'!L178&amp;"")&lt;&gt;"Sin confirmar",TRIM('DATOS'!L178&amp;"")&lt;&gt;"Por decidir",TRIM('DATOS'!L178&amp;"")&lt;&gt;"Por comprobar")),0,1),0))))),2)</f>
      </c>
      <c r="R178" s="29">
        <f>IFERROR(IF(N178=0,"",IF(OR(NOT(AND(LEN(TRIM('DATOS'!D178&amp;""))&gt;0,TRIM('DATOS'!D178&amp;"")&lt;&gt;"Pendiente",TRIM('DATOS'!D178&amp;"")&lt;&gt;"Por confirmar",TRIM('DATOS'!D178&amp;"")&lt;&gt;"No consta",TRIM('DATOS'!D178&amp;"")&lt;&gt;"Desconocido",TRIM('DATOS'!D178&amp;"")&lt;&gt;"Sin confirmar",TRIM('DATOS'!D178&amp;"")&lt;&gt;"Por decidir",TRIM('DATOS'!D178&amp;"")&lt;&gt;"Por comprobar")),NOT(AND(LEN(TRIM('DATOS'!E178&amp;""))&gt;0,TRIM('DATOS'!E178&amp;"")&lt;&gt;"Pendiente",TRIM('DATOS'!E178&amp;"")&lt;&gt;"Por confirmar",TRIM('DATOS'!E178&amp;"")&lt;&gt;"No consta",TRIM('DATOS'!E178&amp;"")&lt;&gt;"Desconocido",TRIM('DATOS'!E178&amp;"")&lt;&gt;"Sin confirmar",TRIM('DATOS'!E178&amp;"")&lt;&gt;"Por decidir",TRIM('DATOS'!E178&amp;"")&lt;&gt;"Por comprobar"))),2,IF('DATOS'!M178="No",2,IF('DATOS'!M178="Sí",0,IF(OR('DATOS'!D178&lt;&gt;'DATOS'!E178,LEN('DATOS'!E178)&gt;300,RIGHT(TRIM('DATOS'!E178),3)="...",RIGHT(TRIM('DATOS'!E178),1)="…"),1,0))))),2)</f>
      </c>
      <c r="S178" s="29">
        <f>IFERROR(IF(N178=0,"",IF('REFERENCIAS'!$Q$8&lt;&gt;1,2,IF(NOT(Y178=1),1,IF(OR(ABS('DATOS'!G178-ROUND('DATOS'!G178,'REFERENCIAS'!$E$8))&gt;0.00000001,ABS('DATOS'!H178-ROUND('DATOS'!H178,'REFERENCIAS'!$H$8))&gt;0.00000001,ABS('DATOS'!J178-ROUND('DATOS'!J178,'REFERENCIAS'!$K$8))&gt;0.00000001,IF(ISNUMBER('DATOS'!I178),ABS('DATOS'!I178-ROUND('DATOS'!I178,'REFERENCIAS'!$H$8))&gt;0.00000001,FALSE)),1,0)))),2)</f>
      </c>
      <c r="T178" s="29">
        <f>IFERROR(IF(N178=0,"",IF(NOT(AND(LEN(TRIM('DATOS'!F178&amp;""))&gt;0,TRIM('DATOS'!F178&amp;"")&lt;&gt;"Pendiente",TRIM('DATOS'!F178&amp;"")&lt;&gt;"Por confirmar",TRIM('DATOS'!F178&amp;"")&lt;&gt;"No consta",TRIM('DATOS'!F178&amp;"")&lt;&gt;"Desconocido",TRIM('DATOS'!F178&amp;"")&lt;&gt;"Sin confirmar",TRIM('DATOS'!F178&amp;"")&lt;&gt;"Por decidir",TRIM('DATOS'!F178&amp;"")&lt;&gt;"Por comprobar")),2,IF(COUNTIFS('REFERENCIAS'!$T$15:$T$34,"ID:"&amp;SUBSTITUTE(SUBSTITUTE(SUBSTITUTE(SUBSTITUTE(UPPER(TRIM('DATOS'!F178&amp;"")),"!","!E"),"*","!A"),"?","!B"),"~","!C"),'REFERENCIAS'!$H$15:$H$34,"&lt;&gt;")&gt;0,0,1))),2)</f>
      </c>
      <c r="U178" s="29" t="str">
        <f>'DATOS'!R178</f>
        <v>ID:</v>
      </c>
      <c r="V178" s="29" t="str">
        <f>'DATOS'!S178</f>
        <v>ID:</v>
      </c>
      <c r="W178" s="29" t="n">
        <f>IF(N178=0,0,COUNTIFS('REFERENCIAS'!$R$15:$R$64,U178))</f>
        <v>0</v>
      </c>
      <c r="X178" s="29" t="n">
        <f>IF(N178=0,0,COUNTIFS('DATOS'!$R$10:$R$509,U178,'DATOS'!$S$10:$S$509,V178))</f>
        <v>0</v>
      </c>
      <c r="Y178" s="29" t="n">
        <f>IF(AND(ISNUMBER('DATOS'!G178),ISNUMBER('DATOS'!H178),ISNUMBER('DATOS'!J178)),1,0)</f>
        <v>0</v>
      </c>
    </row>
    <row r="179" ht="64" customHeight="1">
      <c r="B179" s="26">
        <f>IF(N179=1,170,"")</f>
      </c>
      <c r="C179" s="26">
        <f>IF(AND(N179=1,LEN(TRIM('DATOS'!B179&amp;""))&gt;0),'DATOS'!B179,"")</f>
      </c>
      <c r="D179" s="26">
        <f>IF(AND(N179=1,LEN(TRIM('DATOS'!C179&amp;""))&gt;0),'DATOS'!C179,"")</f>
      </c>
      <c r="E179" s="26">
        <f>IF(NOT(ISNUMBER(P179)),"",IF(P179=2,"ROJO",IF(P179=1,"ÁMBAR","VERDE")))</f>
      </c>
      <c r="F179" s="26">
        <f>IF(NOT(ISNUMBER(Q179)),"",IF(Q179=2,"ROJO",IF(Q179=1,"ÁMBAR","VERDE")))</f>
      </c>
      <c r="G179" s="26">
        <f>IF(NOT(ISNUMBER(R179)),"",IF(R179=2,"ROJO",IF(R179=1,"ÁMBAR","VERDE")))</f>
      </c>
      <c r="H179" s="26">
        <f>IF(NOT(ISNUMBER(S179)),"",IF(S179=2,"ROJO",IF(S179=1,"ÁMBAR","VERDE")))</f>
      </c>
      <c r="I179" s="26">
        <f>IF(NOT(ISNUMBER(T179)),"",IF(T179=2,"ROJO",IF(T179=1,"ÁMBAR","VERDE")))</f>
      </c>
      <c r="J179" s="26">
        <f>IF(NOT(ISNUMBER(O179)),"",IF(O179=2,"ROJO",IF(O179=1,"ÁMBAR","VERDE")))</f>
      </c>
      <c r="K179" s="26">
        <f>IFERROR(IF(AND(N179=1,LEN(TRIM('DATOS'!N179&amp;""))&gt;0),'DATOS'!N179,""),"Hay una entrada con error. Corregimos el dato antes de cerrar la comprobación.")</f>
      </c>
      <c r="L179" s="26">
        <f>IFERROR(IF(N179=0,"",IF(O179&gt;0,"Completamos datos, claves o motivo. ","")&amp;IF(P179&gt;0,"Cotejamos precios e importe. ","")&amp;IF(Q179&gt;0,"Aclaramos el cero. ","")&amp;IF(R179&gt;0,"Comprobamos el texto. ","")&amp;IF(S179&gt;0,"Revisamos decimales visibles. ","")&amp;IF(T179&gt;0,"Confirmamos la unidad.","")),"Hay una entrada con error. Corregimos el dato antes de cerrar la comprobación.")</f>
      </c>
      <c r="N179" s="29" t="n">
        <f>IF(COUNTA('DATOS'!B179:O179)&gt;0,1,0)</f>
        <v>0</v>
      </c>
      <c r="O179" s="29">
        <f>IFERROR(IF(N179=0,"",IF(OR(NOT(AND(LEN(TRIM('DATOS'!B179&amp;""))&gt;0,TRIM('DATOS'!B179&amp;"")&lt;&gt;"Pendiente",TRIM('DATOS'!B179&amp;"")&lt;&gt;"Por confirmar",TRIM('DATOS'!B179&amp;"")&lt;&gt;"No consta",TRIM('DATOS'!B179&amp;"")&lt;&gt;"Desconocido",TRIM('DATOS'!B179&amp;"")&lt;&gt;"Sin confirmar",TRIM('DATOS'!B179&amp;"")&lt;&gt;"Por decidir",TRIM('DATOS'!B179&amp;"")&lt;&gt;"Por comprobar")),NOT(AND(LEN(TRIM('DATOS'!C179&amp;""))&gt;0,TRIM('DATOS'!C179&amp;"")&lt;&gt;"Pendiente",TRIM('DATOS'!C179&amp;"")&lt;&gt;"Por confirmar",TRIM('DATOS'!C179&amp;"")&lt;&gt;"No consta",TRIM('DATOS'!C179&amp;"")&lt;&gt;"Desconocido",TRIM('DATOS'!C179&amp;"")&lt;&gt;"Sin confirmar",TRIM('DATOS'!C179&amp;"")&lt;&gt;"Por decidir",TRIM('DATOS'!C179&amp;"")&lt;&gt;"Por comprobar")),NOT(AND(LEN(TRIM('DATOS'!D179&amp;""))&gt;0,TRIM('DATOS'!D179&amp;"")&lt;&gt;"Pendiente",TRIM('DATOS'!D179&amp;"")&lt;&gt;"Por confirmar",TRIM('DATOS'!D179&amp;"")&lt;&gt;"No consta",TRIM('DATOS'!D179&amp;"")&lt;&gt;"Desconocido",TRIM('DATOS'!D179&amp;"")&lt;&gt;"Sin confirmar",TRIM('DATOS'!D179&amp;"")&lt;&gt;"Por decidir",TRIM('DATOS'!D179&amp;"")&lt;&gt;"Por comprobar")),NOT(AND(LEN(TRIM('DATOS'!E179&amp;""))&gt;0,TRIM('DATOS'!E179&amp;"")&lt;&gt;"Pendiente",TRIM('DATOS'!E179&amp;"")&lt;&gt;"Por confirmar",TRIM('DATOS'!E179&amp;"")&lt;&gt;"No consta",TRIM('DATOS'!E179&amp;"")&lt;&gt;"Desconocido",TRIM('DATOS'!E179&amp;"")&lt;&gt;"Sin confirmar",TRIM('DATOS'!E179&amp;"")&lt;&gt;"Por decidir",TRIM('DATOS'!E179&amp;"")&lt;&gt;"Por comprobar")),NOT(AND(LEN(TRIM('DATOS'!F179&amp;""))&gt;0,TRIM('DATOS'!F179&amp;"")&lt;&gt;"Pendiente",TRIM('DATOS'!F179&amp;"")&lt;&gt;"Por confirmar",TRIM('DATOS'!F179&amp;"")&lt;&gt;"No consta",TRIM('DATOS'!F179&amp;"")&lt;&gt;"Desconocido",TRIM('DATOS'!F179&amp;"")&lt;&gt;"Sin confirmar",TRIM('DATOS'!F179&amp;"")&lt;&gt;"Por decidir",TRIM('DATOS'!F179&amp;"")&lt;&gt;"Por comprobar")),NOT(AND(LEN(TRIM('DATOS'!N179&amp;""))&gt;0,TRIM('DATOS'!N179&amp;"")&lt;&gt;"Pendiente",TRIM('DATOS'!N179&amp;"")&lt;&gt;"Por confirmar",TRIM('DATOS'!N179&amp;"")&lt;&gt;"No consta",TRIM('DATOS'!N179&amp;"")&lt;&gt;"Desconocido",TRIM('DATOS'!N179&amp;"")&lt;&gt;"Sin confirmar",TRIM('DATOS'!N179&amp;"")&lt;&gt;"Por decidir",TRIM('DATOS'!N179&amp;"")&lt;&gt;"Por comprobar")),NOT(Y179=1),W179&lt;&gt;1,X179&gt;1,NOT(OR(LEN(TRIM('DATOS'!K179&amp;""))=0,'DATOS'!K179="Sin valorar",'DATOS'!K179="Sin coste documentado",'DATOS'!K179="Incluido en otra partida",'DATOS'!K179="Por confirmar")),NOT(OR(LEN(TRIM('DATOS'!M179&amp;""))=0,'DATOS'!M179="Sí",'DATOS'!M179="No",'DATOS'!M179="Por confirmar")),NOT(OR(LEN(TRIM('DATOS'!O179&amp;""))=0,'DATOS'!O179="Comparamos",'DATOS'!O179="No existe",'DATOS'!O179="Por confirmar"))),2,IF(AND(OR('DATOS'!G179&lt;0,'DATOS'!H179&lt;0,'DATOS'!J179&lt;0),NOT(AND(LEN(TRIM('DATOS'!L179&amp;""))&gt;0,TRIM('DATOS'!L179&amp;"")&lt;&gt;"Pendiente",TRIM('DATOS'!L179&amp;"")&lt;&gt;"Por confirmar",TRIM('DATOS'!L179&amp;"")&lt;&gt;"No consta",TRIM('DATOS'!L179&amp;"")&lt;&gt;"Desconocido",TRIM('DATOS'!L179&amp;"")&lt;&gt;"Sin confirmar",TRIM('DATOS'!L179&amp;"")&lt;&gt;"Por decidir",TRIM('DATOS'!L179&amp;"")&lt;&gt;"Por comprobar"))),1,0))),2)</f>
      </c>
      <c r="P179" s="29">
        <f>IFERROR(IF(N179=0,"",IF(NOT(Y179=1),1,IF('REFERENCIAS'!$Q$8&lt;&gt;1,2,IF(ABS('DATOS'!J179-ROUND('DATOS'!G179*'DATOS'!H179,'REFERENCIAS'!$K$8))&gt;0.00000001,2,IF('DATOS'!O179="No existe",IF(LEN(TRIM('DATOS'!I179&amp;""))=0,0,2),IF('DATOS'!O179="Comparamos",IF(LEN(TRIM('DATOS'!I179&amp;""))=0,1,IF(ISNUMBER('DATOS'!I179),IF(ABS('DATOS'!H179-'DATOS'!I179)&gt;0.00000001,2,0),2)),1)))))),2)</f>
      </c>
      <c r="Q179" s="29">
        <f>IFERROR(IF(N179=0,"",IF(NOT(Y179=1),1,IF('DATOS'!K179="Sin valorar",2,IF('DATOS'!G179=0,1,IF(OR('DATOS'!H179=0,'DATOS'!J179=0),IF(AND(OR('DATOS'!K179="Sin coste documentado",'DATOS'!K179="Incluido en otra partida"),AND(LEN(TRIM('DATOS'!L179&amp;""))&gt;0,TRIM('DATOS'!L179&amp;"")&lt;&gt;"Pendiente",TRIM('DATOS'!L179&amp;"")&lt;&gt;"Por confirmar",TRIM('DATOS'!L179&amp;"")&lt;&gt;"No consta",TRIM('DATOS'!L179&amp;"")&lt;&gt;"Desconocido",TRIM('DATOS'!L179&amp;"")&lt;&gt;"Sin confirmar",TRIM('DATOS'!L179&amp;"")&lt;&gt;"Por decidir",TRIM('DATOS'!L179&amp;"")&lt;&gt;"Por comprobar")),0,1),0))))),2)</f>
      </c>
      <c r="R179" s="29">
        <f>IFERROR(IF(N179=0,"",IF(OR(NOT(AND(LEN(TRIM('DATOS'!D179&amp;""))&gt;0,TRIM('DATOS'!D179&amp;"")&lt;&gt;"Pendiente",TRIM('DATOS'!D179&amp;"")&lt;&gt;"Por confirmar",TRIM('DATOS'!D179&amp;"")&lt;&gt;"No consta",TRIM('DATOS'!D179&amp;"")&lt;&gt;"Desconocido",TRIM('DATOS'!D179&amp;"")&lt;&gt;"Sin confirmar",TRIM('DATOS'!D179&amp;"")&lt;&gt;"Por decidir",TRIM('DATOS'!D179&amp;"")&lt;&gt;"Por comprobar")),NOT(AND(LEN(TRIM('DATOS'!E179&amp;""))&gt;0,TRIM('DATOS'!E179&amp;"")&lt;&gt;"Pendiente",TRIM('DATOS'!E179&amp;"")&lt;&gt;"Por confirmar",TRIM('DATOS'!E179&amp;"")&lt;&gt;"No consta",TRIM('DATOS'!E179&amp;"")&lt;&gt;"Desconocido",TRIM('DATOS'!E179&amp;"")&lt;&gt;"Sin confirmar",TRIM('DATOS'!E179&amp;"")&lt;&gt;"Por decidir",TRIM('DATOS'!E179&amp;"")&lt;&gt;"Por comprobar"))),2,IF('DATOS'!M179="No",2,IF('DATOS'!M179="Sí",0,IF(OR('DATOS'!D179&lt;&gt;'DATOS'!E179,LEN('DATOS'!E179)&gt;300,RIGHT(TRIM('DATOS'!E179),3)="...",RIGHT(TRIM('DATOS'!E179),1)="…"),1,0))))),2)</f>
      </c>
      <c r="S179" s="29">
        <f>IFERROR(IF(N179=0,"",IF('REFERENCIAS'!$Q$8&lt;&gt;1,2,IF(NOT(Y179=1),1,IF(OR(ABS('DATOS'!G179-ROUND('DATOS'!G179,'REFERENCIAS'!$E$8))&gt;0.00000001,ABS('DATOS'!H179-ROUND('DATOS'!H179,'REFERENCIAS'!$H$8))&gt;0.00000001,ABS('DATOS'!J179-ROUND('DATOS'!J179,'REFERENCIAS'!$K$8))&gt;0.00000001,IF(ISNUMBER('DATOS'!I179),ABS('DATOS'!I179-ROUND('DATOS'!I179,'REFERENCIAS'!$H$8))&gt;0.00000001,FALSE)),1,0)))),2)</f>
      </c>
      <c r="T179" s="29">
        <f>IFERROR(IF(N179=0,"",IF(NOT(AND(LEN(TRIM('DATOS'!F179&amp;""))&gt;0,TRIM('DATOS'!F179&amp;"")&lt;&gt;"Pendiente",TRIM('DATOS'!F179&amp;"")&lt;&gt;"Por confirmar",TRIM('DATOS'!F179&amp;"")&lt;&gt;"No consta",TRIM('DATOS'!F179&amp;"")&lt;&gt;"Desconocido",TRIM('DATOS'!F179&amp;"")&lt;&gt;"Sin confirmar",TRIM('DATOS'!F179&amp;"")&lt;&gt;"Por decidir",TRIM('DATOS'!F179&amp;"")&lt;&gt;"Por comprobar")),2,IF(COUNTIFS('REFERENCIAS'!$T$15:$T$34,"ID:"&amp;SUBSTITUTE(SUBSTITUTE(SUBSTITUTE(SUBSTITUTE(UPPER(TRIM('DATOS'!F179&amp;"")),"!","!E"),"*","!A"),"?","!B"),"~","!C"),'REFERENCIAS'!$H$15:$H$34,"&lt;&gt;")&gt;0,0,1))),2)</f>
      </c>
      <c r="U179" s="29" t="str">
        <f>'DATOS'!R179</f>
        <v>ID:</v>
      </c>
      <c r="V179" s="29" t="str">
        <f>'DATOS'!S179</f>
        <v>ID:</v>
      </c>
      <c r="W179" s="29" t="n">
        <f>IF(N179=0,0,COUNTIFS('REFERENCIAS'!$R$15:$R$64,U179))</f>
        <v>0</v>
      </c>
      <c r="X179" s="29" t="n">
        <f>IF(N179=0,0,COUNTIFS('DATOS'!$R$10:$R$509,U179,'DATOS'!$S$10:$S$509,V179))</f>
        <v>0</v>
      </c>
      <c r="Y179" s="29" t="n">
        <f>IF(AND(ISNUMBER('DATOS'!G179),ISNUMBER('DATOS'!H179),ISNUMBER('DATOS'!J179)),1,0)</f>
        <v>0</v>
      </c>
    </row>
    <row r="180" ht="64" customHeight="1">
      <c r="B180" s="26">
        <f>IF(N180=1,171,"")</f>
      </c>
      <c r="C180" s="26">
        <f>IF(AND(N180=1,LEN(TRIM('DATOS'!B180&amp;""))&gt;0),'DATOS'!B180,"")</f>
      </c>
      <c r="D180" s="26">
        <f>IF(AND(N180=1,LEN(TRIM('DATOS'!C180&amp;""))&gt;0),'DATOS'!C180,"")</f>
      </c>
      <c r="E180" s="26">
        <f>IF(NOT(ISNUMBER(P180)),"",IF(P180=2,"ROJO",IF(P180=1,"ÁMBAR","VERDE")))</f>
      </c>
      <c r="F180" s="26">
        <f>IF(NOT(ISNUMBER(Q180)),"",IF(Q180=2,"ROJO",IF(Q180=1,"ÁMBAR","VERDE")))</f>
      </c>
      <c r="G180" s="26">
        <f>IF(NOT(ISNUMBER(R180)),"",IF(R180=2,"ROJO",IF(R180=1,"ÁMBAR","VERDE")))</f>
      </c>
      <c r="H180" s="26">
        <f>IF(NOT(ISNUMBER(S180)),"",IF(S180=2,"ROJO",IF(S180=1,"ÁMBAR","VERDE")))</f>
      </c>
      <c r="I180" s="26">
        <f>IF(NOT(ISNUMBER(T180)),"",IF(T180=2,"ROJO",IF(T180=1,"ÁMBAR","VERDE")))</f>
      </c>
      <c r="J180" s="26">
        <f>IF(NOT(ISNUMBER(O180)),"",IF(O180=2,"ROJO",IF(O180=1,"ÁMBAR","VERDE")))</f>
      </c>
      <c r="K180" s="26">
        <f>IFERROR(IF(AND(N180=1,LEN(TRIM('DATOS'!N180&amp;""))&gt;0),'DATOS'!N180,""),"Hay una entrada con error. Corregimos el dato antes de cerrar la comprobación.")</f>
      </c>
      <c r="L180" s="26">
        <f>IFERROR(IF(N180=0,"",IF(O180&gt;0,"Completamos datos, claves o motivo. ","")&amp;IF(P180&gt;0,"Cotejamos precios e importe. ","")&amp;IF(Q180&gt;0,"Aclaramos el cero. ","")&amp;IF(R180&gt;0,"Comprobamos el texto. ","")&amp;IF(S180&gt;0,"Revisamos decimales visibles. ","")&amp;IF(T180&gt;0,"Confirmamos la unidad.","")),"Hay una entrada con error. Corregimos el dato antes de cerrar la comprobación.")</f>
      </c>
      <c r="N180" s="29" t="n">
        <f>IF(COUNTA('DATOS'!B180:O180)&gt;0,1,0)</f>
        <v>0</v>
      </c>
      <c r="O180" s="29">
        <f>IFERROR(IF(N180=0,"",IF(OR(NOT(AND(LEN(TRIM('DATOS'!B180&amp;""))&gt;0,TRIM('DATOS'!B180&amp;"")&lt;&gt;"Pendiente",TRIM('DATOS'!B180&amp;"")&lt;&gt;"Por confirmar",TRIM('DATOS'!B180&amp;"")&lt;&gt;"No consta",TRIM('DATOS'!B180&amp;"")&lt;&gt;"Desconocido",TRIM('DATOS'!B180&amp;"")&lt;&gt;"Sin confirmar",TRIM('DATOS'!B180&amp;"")&lt;&gt;"Por decidir",TRIM('DATOS'!B180&amp;"")&lt;&gt;"Por comprobar")),NOT(AND(LEN(TRIM('DATOS'!C180&amp;""))&gt;0,TRIM('DATOS'!C180&amp;"")&lt;&gt;"Pendiente",TRIM('DATOS'!C180&amp;"")&lt;&gt;"Por confirmar",TRIM('DATOS'!C180&amp;"")&lt;&gt;"No consta",TRIM('DATOS'!C180&amp;"")&lt;&gt;"Desconocido",TRIM('DATOS'!C180&amp;"")&lt;&gt;"Sin confirmar",TRIM('DATOS'!C180&amp;"")&lt;&gt;"Por decidir",TRIM('DATOS'!C180&amp;"")&lt;&gt;"Por comprobar")),NOT(AND(LEN(TRIM('DATOS'!D180&amp;""))&gt;0,TRIM('DATOS'!D180&amp;"")&lt;&gt;"Pendiente",TRIM('DATOS'!D180&amp;"")&lt;&gt;"Por confirmar",TRIM('DATOS'!D180&amp;"")&lt;&gt;"No consta",TRIM('DATOS'!D180&amp;"")&lt;&gt;"Desconocido",TRIM('DATOS'!D180&amp;"")&lt;&gt;"Sin confirmar",TRIM('DATOS'!D180&amp;"")&lt;&gt;"Por decidir",TRIM('DATOS'!D180&amp;"")&lt;&gt;"Por comprobar")),NOT(AND(LEN(TRIM('DATOS'!E180&amp;""))&gt;0,TRIM('DATOS'!E180&amp;"")&lt;&gt;"Pendiente",TRIM('DATOS'!E180&amp;"")&lt;&gt;"Por confirmar",TRIM('DATOS'!E180&amp;"")&lt;&gt;"No consta",TRIM('DATOS'!E180&amp;"")&lt;&gt;"Desconocido",TRIM('DATOS'!E180&amp;"")&lt;&gt;"Sin confirmar",TRIM('DATOS'!E180&amp;"")&lt;&gt;"Por decidir",TRIM('DATOS'!E180&amp;"")&lt;&gt;"Por comprobar")),NOT(AND(LEN(TRIM('DATOS'!F180&amp;""))&gt;0,TRIM('DATOS'!F180&amp;"")&lt;&gt;"Pendiente",TRIM('DATOS'!F180&amp;"")&lt;&gt;"Por confirmar",TRIM('DATOS'!F180&amp;"")&lt;&gt;"No consta",TRIM('DATOS'!F180&amp;"")&lt;&gt;"Desconocido",TRIM('DATOS'!F180&amp;"")&lt;&gt;"Sin confirmar",TRIM('DATOS'!F180&amp;"")&lt;&gt;"Por decidir",TRIM('DATOS'!F180&amp;"")&lt;&gt;"Por comprobar")),NOT(AND(LEN(TRIM('DATOS'!N180&amp;""))&gt;0,TRIM('DATOS'!N180&amp;"")&lt;&gt;"Pendiente",TRIM('DATOS'!N180&amp;"")&lt;&gt;"Por confirmar",TRIM('DATOS'!N180&amp;"")&lt;&gt;"No consta",TRIM('DATOS'!N180&amp;"")&lt;&gt;"Desconocido",TRIM('DATOS'!N180&amp;"")&lt;&gt;"Sin confirmar",TRIM('DATOS'!N180&amp;"")&lt;&gt;"Por decidir",TRIM('DATOS'!N180&amp;"")&lt;&gt;"Por comprobar")),NOT(Y180=1),W180&lt;&gt;1,X180&gt;1,NOT(OR(LEN(TRIM('DATOS'!K180&amp;""))=0,'DATOS'!K180="Sin valorar",'DATOS'!K180="Sin coste documentado",'DATOS'!K180="Incluido en otra partida",'DATOS'!K180="Por confirmar")),NOT(OR(LEN(TRIM('DATOS'!M180&amp;""))=0,'DATOS'!M180="Sí",'DATOS'!M180="No",'DATOS'!M180="Por confirmar")),NOT(OR(LEN(TRIM('DATOS'!O180&amp;""))=0,'DATOS'!O180="Comparamos",'DATOS'!O180="No existe",'DATOS'!O180="Por confirmar"))),2,IF(AND(OR('DATOS'!G180&lt;0,'DATOS'!H180&lt;0,'DATOS'!J180&lt;0),NOT(AND(LEN(TRIM('DATOS'!L180&amp;""))&gt;0,TRIM('DATOS'!L180&amp;"")&lt;&gt;"Pendiente",TRIM('DATOS'!L180&amp;"")&lt;&gt;"Por confirmar",TRIM('DATOS'!L180&amp;"")&lt;&gt;"No consta",TRIM('DATOS'!L180&amp;"")&lt;&gt;"Desconocido",TRIM('DATOS'!L180&amp;"")&lt;&gt;"Sin confirmar",TRIM('DATOS'!L180&amp;"")&lt;&gt;"Por decidir",TRIM('DATOS'!L180&amp;"")&lt;&gt;"Por comprobar"))),1,0))),2)</f>
      </c>
      <c r="P180" s="29">
        <f>IFERROR(IF(N180=0,"",IF(NOT(Y180=1),1,IF('REFERENCIAS'!$Q$8&lt;&gt;1,2,IF(ABS('DATOS'!J180-ROUND('DATOS'!G180*'DATOS'!H180,'REFERENCIAS'!$K$8))&gt;0.00000001,2,IF('DATOS'!O180="No existe",IF(LEN(TRIM('DATOS'!I180&amp;""))=0,0,2),IF('DATOS'!O180="Comparamos",IF(LEN(TRIM('DATOS'!I180&amp;""))=0,1,IF(ISNUMBER('DATOS'!I180),IF(ABS('DATOS'!H180-'DATOS'!I180)&gt;0.00000001,2,0),2)),1)))))),2)</f>
      </c>
      <c r="Q180" s="29">
        <f>IFERROR(IF(N180=0,"",IF(NOT(Y180=1),1,IF('DATOS'!K180="Sin valorar",2,IF('DATOS'!G180=0,1,IF(OR('DATOS'!H180=0,'DATOS'!J180=0),IF(AND(OR('DATOS'!K180="Sin coste documentado",'DATOS'!K180="Incluido en otra partida"),AND(LEN(TRIM('DATOS'!L180&amp;""))&gt;0,TRIM('DATOS'!L180&amp;"")&lt;&gt;"Pendiente",TRIM('DATOS'!L180&amp;"")&lt;&gt;"Por confirmar",TRIM('DATOS'!L180&amp;"")&lt;&gt;"No consta",TRIM('DATOS'!L180&amp;"")&lt;&gt;"Desconocido",TRIM('DATOS'!L180&amp;"")&lt;&gt;"Sin confirmar",TRIM('DATOS'!L180&amp;"")&lt;&gt;"Por decidir",TRIM('DATOS'!L180&amp;"")&lt;&gt;"Por comprobar")),0,1),0))))),2)</f>
      </c>
      <c r="R180" s="29">
        <f>IFERROR(IF(N180=0,"",IF(OR(NOT(AND(LEN(TRIM('DATOS'!D180&amp;""))&gt;0,TRIM('DATOS'!D180&amp;"")&lt;&gt;"Pendiente",TRIM('DATOS'!D180&amp;"")&lt;&gt;"Por confirmar",TRIM('DATOS'!D180&amp;"")&lt;&gt;"No consta",TRIM('DATOS'!D180&amp;"")&lt;&gt;"Desconocido",TRIM('DATOS'!D180&amp;"")&lt;&gt;"Sin confirmar",TRIM('DATOS'!D180&amp;"")&lt;&gt;"Por decidir",TRIM('DATOS'!D180&amp;"")&lt;&gt;"Por comprobar")),NOT(AND(LEN(TRIM('DATOS'!E180&amp;""))&gt;0,TRIM('DATOS'!E180&amp;"")&lt;&gt;"Pendiente",TRIM('DATOS'!E180&amp;"")&lt;&gt;"Por confirmar",TRIM('DATOS'!E180&amp;"")&lt;&gt;"No consta",TRIM('DATOS'!E180&amp;"")&lt;&gt;"Desconocido",TRIM('DATOS'!E180&amp;"")&lt;&gt;"Sin confirmar",TRIM('DATOS'!E180&amp;"")&lt;&gt;"Por decidir",TRIM('DATOS'!E180&amp;"")&lt;&gt;"Por comprobar"))),2,IF('DATOS'!M180="No",2,IF('DATOS'!M180="Sí",0,IF(OR('DATOS'!D180&lt;&gt;'DATOS'!E180,LEN('DATOS'!E180)&gt;300,RIGHT(TRIM('DATOS'!E180),3)="...",RIGHT(TRIM('DATOS'!E180),1)="…"),1,0))))),2)</f>
      </c>
      <c r="S180" s="29">
        <f>IFERROR(IF(N180=0,"",IF('REFERENCIAS'!$Q$8&lt;&gt;1,2,IF(NOT(Y180=1),1,IF(OR(ABS('DATOS'!G180-ROUND('DATOS'!G180,'REFERENCIAS'!$E$8))&gt;0.00000001,ABS('DATOS'!H180-ROUND('DATOS'!H180,'REFERENCIAS'!$H$8))&gt;0.00000001,ABS('DATOS'!J180-ROUND('DATOS'!J180,'REFERENCIAS'!$K$8))&gt;0.00000001,IF(ISNUMBER('DATOS'!I180),ABS('DATOS'!I180-ROUND('DATOS'!I180,'REFERENCIAS'!$H$8))&gt;0.00000001,FALSE)),1,0)))),2)</f>
      </c>
      <c r="T180" s="29">
        <f>IFERROR(IF(N180=0,"",IF(NOT(AND(LEN(TRIM('DATOS'!F180&amp;""))&gt;0,TRIM('DATOS'!F180&amp;"")&lt;&gt;"Pendiente",TRIM('DATOS'!F180&amp;"")&lt;&gt;"Por confirmar",TRIM('DATOS'!F180&amp;"")&lt;&gt;"No consta",TRIM('DATOS'!F180&amp;"")&lt;&gt;"Desconocido",TRIM('DATOS'!F180&amp;"")&lt;&gt;"Sin confirmar",TRIM('DATOS'!F180&amp;"")&lt;&gt;"Por decidir",TRIM('DATOS'!F180&amp;"")&lt;&gt;"Por comprobar")),2,IF(COUNTIFS('REFERENCIAS'!$T$15:$T$34,"ID:"&amp;SUBSTITUTE(SUBSTITUTE(SUBSTITUTE(SUBSTITUTE(UPPER(TRIM('DATOS'!F180&amp;"")),"!","!E"),"*","!A"),"?","!B"),"~","!C"),'REFERENCIAS'!$H$15:$H$34,"&lt;&gt;")&gt;0,0,1))),2)</f>
      </c>
      <c r="U180" s="29" t="str">
        <f>'DATOS'!R180</f>
        <v>ID:</v>
      </c>
      <c r="V180" s="29" t="str">
        <f>'DATOS'!S180</f>
        <v>ID:</v>
      </c>
      <c r="W180" s="29" t="n">
        <f>IF(N180=0,0,COUNTIFS('REFERENCIAS'!$R$15:$R$64,U180))</f>
        <v>0</v>
      </c>
      <c r="X180" s="29" t="n">
        <f>IF(N180=0,0,COUNTIFS('DATOS'!$R$10:$R$509,U180,'DATOS'!$S$10:$S$509,V180))</f>
        <v>0</v>
      </c>
      <c r="Y180" s="29" t="n">
        <f>IF(AND(ISNUMBER('DATOS'!G180),ISNUMBER('DATOS'!H180),ISNUMBER('DATOS'!J180)),1,0)</f>
        <v>0</v>
      </c>
    </row>
    <row r="181" ht="64" customHeight="1">
      <c r="B181" s="26">
        <f>IF(N181=1,172,"")</f>
      </c>
      <c r="C181" s="26">
        <f>IF(AND(N181=1,LEN(TRIM('DATOS'!B181&amp;""))&gt;0),'DATOS'!B181,"")</f>
      </c>
      <c r="D181" s="26">
        <f>IF(AND(N181=1,LEN(TRIM('DATOS'!C181&amp;""))&gt;0),'DATOS'!C181,"")</f>
      </c>
      <c r="E181" s="26">
        <f>IF(NOT(ISNUMBER(P181)),"",IF(P181=2,"ROJO",IF(P181=1,"ÁMBAR","VERDE")))</f>
      </c>
      <c r="F181" s="26">
        <f>IF(NOT(ISNUMBER(Q181)),"",IF(Q181=2,"ROJO",IF(Q181=1,"ÁMBAR","VERDE")))</f>
      </c>
      <c r="G181" s="26">
        <f>IF(NOT(ISNUMBER(R181)),"",IF(R181=2,"ROJO",IF(R181=1,"ÁMBAR","VERDE")))</f>
      </c>
      <c r="H181" s="26">
        <f>IF(NOT(ISNUMBER(S181)),"",IF(S181=2,"ROJO",IF(S181=1,"ÁMBAR","VERDE")))</f>
      </c>
      <c r="I181" s="26">
        <f>IF(NOT(ISNUMBER(T181)),"",IF(T181=2,"ROJO",IF(T181=1,"ÁMBAR","VERDE")))</f>
      </c>
      <c r="J181" s="26">
        <f>IF(NOT(ISNUMBER(O181)),"",IF(O181=2,"ROJO",IF(O181=1,"ÁMBAR","VERDE")))</f>
      </c>
      <c r="K181" s="26">
        <f>IFERROR(IF(AND(N181=1,LEN(TRIM('DATOS'!N181&amp;""))&gt;0),'DATOS'!N181,""),"Hay una entrada con error. Corregimos el dato antes de cerrar la comprobación.")</f>
      </c>
      <c r="L181" s="26">
        <f>IFERROR(IF(N181=0,"",IF(O181&gt;0,"Completamos datos, claves o motivo. ","")&amp;IF(P181&gt;0,"Cotejamos precios e importe. ","")&amp;IF(Q181&gt;0,"Aclaramos el cero. ","")&amp;IF(R181&gt;0,"Comprobamos el texto. ","")&amp;IF(S181&gt;0,"Revisamos decimales visibles. ","")&amp;IF(T181&gt;0,"Confirmamos la unidad.","")),"Hay una entrada con error. Corregimos el dato antes de cerrar la comprobación.")</f>
      </c>
      <c r="N181" s="29" t="n">
        <f>IF(COUNTA('DATOS'!B181:O181)&gt;0,1,0)</f>
        <v>0</v>
      </c>
      <c r="O181" s="29">
        <f>IFERROR(IF(N181=0,"",IF(OR(NOT(AND(LEN(TRIM('DATOS'!B181&amp;""))&gt;0,TRIM('DATOS'!B181&amp;"")&lt;&gt;"Pendiente",TRIM('DATOS'!B181&amp;"")&lt;&gt;"Por confirmar",TRIM('DATOS'!B181&amp;"")&lt;&gt;"No consta",TRIM('DATOS'!B181&amp;"")&lt;&gt;"Desconocido",TRIM('DATOS'!B181&amp;"")&lt;&gt;"Sin confirmar",TRIM('DATOS'!B181&amp;"")&lt;&gt;"Por decidir",TRIM('DATOS'!B181&amp;"")&lt;&gt;"Por comprobar")),NOT(AND(LEN(TRIM('DATOS'!C181&amp;""))&gt;0,TRIM('DATOS'!C181&amp;"")&lt;&gt;"Pendiente",TRIM('DATOS'!C181&amp;"")&lt;&gt;"Por confirmar",TRIM('DATOS'!C181&amp;"")&lt;&gt;"No consta",TRIM('DATOS'!C181&amp;"")&lt;&gt;"Desconocido",TRIM('DATOS'!C181&amp;"")&lt;&gt;"Sin confirmar",TRIM('DATOS'!C181&amp;"")&lt;&gt;"Por decidir",TRIM('DATOS'!C181&amp;"")&lt;&gt;"Por comprobar")),NOT(AND(LEN(TRIM('DATOS'!D181&amp;""))&gt;0,TRIM('DATOS'!D181&amp;"")&lt;&gt;"Pendiente",TRIM('DATOS'!D181&amp;"")&lt;&gt;"Por confirmar",TRIM('DATOS'!D181&amp;"")&lt;&gt;"No consta",TRIM('DATOS'!D181&amp;"")&lt;&gt;"Desconocido",TRIM('DATOS'!D181&amp;"")&lt;&gt;"Sin confirmar",TRIM('DATOS'!D181&amp;"")&lt;&gt;"Por decidir",TRIM('DATOS'!D181&amp;"")&lt;&gt;"Por comprobar")),NOT(AND(LEN(TRIM('DATOS'!E181&amp;""))&gt;0,TRIM('DATOS'!E181&amp;"")&lt;&gt;"Pendiente",TRIM('DATOS'!E181&amp;"")&lt;&gt;"Por confirmar",TRIM('DATOS'!E181&amp;"")&lt;&gt;"No consta",TRIM('DATOS'!E181&amp;"")&lt;&gt;"Desconocido",TRIM('DATOS'!E181&amp;"")&lt;&gt;"Sin confirmar",TRIM('DATOS'!E181&amp;"")&lt;&gt;"Por decidir",TRIM('DATOS'!E181&amp;"")&lt;&gt;"Por comprobar")),NOT(AND(LEN(TRIM('DATOS'!F181&amp;""))&gt;0,TRIM('DATOS'!F181&amp;"")&lt;&gt;"Pendiente",TRIM('DATOS'!F181&amp;"")&lt;&gt;"Por confirmar",TRIM('DATOS'!F181&amp;"")&lt;&gt;"No consta",TRIM('DATOS'!F181&amp;"")&lt;&gt;"Desconocido",TRIM('DATOS'!F181&amp;"")&lt;&gt;"Sin confirmar",TRIM('DATOS'!F181&amp;"")&lt;&gt;"Por decidir",TRIM('DATOS'!F181&amp;"")&lt;&gt;"Por comprobar")),NOT(AND(LEN(TRIM('DATOS'!N181&amp;""))&gt;0,TRIM('DATOS'!N181&amp;"")&lt;&gt;"Pendiente",TRIM('DATOS'!N181&amp;"")&lt;&gt;"Por confirmar",TRIM('DATOS'!N181&amp;"")&lt;&gt;"No consta",TRIM('DATOS'!N181&amp;"")&lt;&gt;"Desconocido",TRIM('DATOS'!N181&amp;"")&lt;&gt;"Sin confirmar",TRIM('DATOS'!N181&amp;"")&lt;&gt;"Por decidir",TRIM('DATOS'!N181&amp;"")&lt;&gt;"Por comprobar")),NOT(Y181=1),W181&lt;&gt;1,X181&gt;1,NOT(OR(LEN(TRIM('DATOS'!K181&amp;""))=0,'DATOS'!K181="Sin valorar",'DATOS'!K181="Sin coste documentado",'DATOS'!K181="Incluido en otra partida",'DATOS'!K181="Por confirmar")),NOT(OR(LEN(TRIM('DATOS'!M181&amp;""))=0,'DATOS'!M181="Sí",'DATOS'!M181="No",'DATOS'!M181="Por confirmar")),NOT(OR(LEN(TRIM('DATOS'!O181&amp;""))=0,'DATOS'!O181="Comparamos",'DATOS'!O181="No existe",'DATOS'!O181="Por confirmar"))),2,IF(AND(OR('DATOS'!G181&lt;0,'DATOS'!H181&lt;0,'DATOS'!J181&lt;0),NOT(AND(LEN(TRIM('DATOS'!L181&amp;""))&gt;0,TRIM('DATOS'!L181&amp;"")&lt;&gt;"Pendiente",TRIM('DATOS'!L181&amp;"")&lt;&gt;"Por confirmar",TRIM('DATOS'!L181&amp;"")&lt;&gt;"No consta",TRIM('DATOS'!L181&amp;"")&lt;&gt;"Desconocido",TRIM('DATOS'!L181&amp;"")&lt;&gt;"Sin confirmar",TRIM('DATOS'!L181&amp;"")&lt;&gt;"Por decidir",TRIM('DATOS'!L181&amp;"")&lt;&gt;"Por comprobar"))),1,0))),2)</f>
      </c>
      <c r="P181" s="29">
        <f>IFERROR(IF(N181=0,"",IF(NOT(Y181=1),1,IF('REFERENCIAS'!$Q$8&lt;&gt;1,2,IF(ABS('DATOS'!J181-ROUND('DATOS'!G181*'DATOS'!H181,'REFERENCIAS'!$K$8))&gt;0.00000001,2,IF('DATOS'!O181="No existe",IF(LEN(TRIM('DATOS'!I181&amp;""))=0,0,2),IF('DATOS'!O181="Comparamos",IF(LEN(TRIM('DATOS'!I181&amp;""))=0,1,IF(ISNUMBER('DATOS'!I181),IF(ABS('DATOS'!H181-'DATOS'!I181)&gt;0.00000001,2,0),2)),1)))))),2)</f>
      </c>
      <c r="Q181" s="29">
        <f>IFERROR(IF(N181=0,"",IF(NOT(Y181=1),1,IF('DATOS'!K181="Sin valorar",2,IF('DATOS'!G181=0,1,IF(OR('DATOS'!H181=0,'DATOS'!J181=0),IF(AND(OR('DATOS'!K181="Sin coste documentado",'DATOS'!K181="Incluido en otra partida"),AND(LEN(TRIM('DATOS'!L181&amp;""))&gt;0,TRIM('DATOS'!L181&amp;"")&lt;&gt;"Pendiente",TRIM('DATOS'!L181&amp;"")&lt;&gt;"Por confirmar",TRIM('DATOS'!L181&amp;"")&lt;&gt;"No consta",TRIM('DATOS'!L181&amp;"")&lt;&gt;"Desconocido",TRIM('DATOS'!L181&amp;"")&lt;&gt;"Sin confirmar",TRIM('DATOS'!L181&amp;"")&lt;&gt;"Por decidir",TRIM('DATOS'!L181&amp;"")&lt;&gt;"Por comprobar")),0,1),0))))),2)</f>
      </c>
      <c r="R181" s="29">
        <f>IFERROR(IF(N181=0,"",IF(OR(NOT(AND(LEN(TRIM('DATOS'!D181&amp;""))&gt;0,TRIM('DATOS'!D181&amp;"")&lt;&gt;"Pendiente",TRIM('DATOS'!D181&amp;"")&lt;&gt;"Por confirmar",TRIM('DATOS'!D181&amp;"")&lt;&gt;"No consta",TRIM('DATOS'!D181&amp;"")&lt;&gt;"Desconocido",TRIM('DATOS'!D181&amp;"")&lt;&gt;"Sin confirmar",TRIM('DATOS'!D181&amp;"")&lt;&gt;"Por decidir",TRIM('DATOS'!D181&amp;"")&lt;&gt;"Por comprobar")),NOT(AND(LEN(TRIM('DATOS'!E181&amp;""))&gt;0,TRIM('DATOS'!E181&amp;"")&lt;&gt;"Pendiente",TRIM('DATOS'!E181&amp;"")&lt;&gt;"Por confirmar",TRIM('DATOS'!E181&amp;"")&lt;&gt;"No consta",TRIM('DATOS'!E181&amp;"")&lt;&gt;"Desconocido",TRIM('DATOS'!E181&amp;"")&lt;&gt;"Sin confirmar",TRIM('DATOS'!E181&amp;"")&lt;&gt;"Por decidir",TRIM('DATOS'!E181&amp;"")&lt;&gt;"Por comprobar"))),2,IF('DATOS'!M181="No",2,IF('DATOS'!M181="Sí",0,IF(OR('DATOS'!D181&lt;&gt;'DATOS'!E181,LEN('DATOS'!E181)&gt;300,RIGHT(TRIM('DATOS'!E181),3)="...",RIGHT(TRIM('DATOS'!E181),1)="…"),1,0))))),2)</f>
      </c>
      <c r="S181" s="29">
        <f>IFERROR(IF(N181=0,"",IF('REFERENCIAS'!$Q$8&lt;&gt;1,2,IF(NOT(Y181=1),1,IF(OR(ABS('DATOS'!G181-ROUND('DATOS'!G181,'REFERENCIAS'!$E$8))&gt;0.00000001,ABS('DATOS'!H181-ROUND('DATOS'!H181,'REFERENCIAS'!$H$8))&gt;0.00000001,ABS('DATOS'!J181-ROUND('DATOS'!J181,'REFERENCIAS'!$K$8))&gt;0.00000001,IF(ISNUMBER('DATOS'!I181),ABS('DATOS'!I181-ROUND('DATOS'!I181,'REFERENCIAS'!$H$8))&gt;0.00000001,FALSE)),1,0)))),2)</f>
      </c>
      <c r="T181" s="29">
        <f>IFERROR(IF(N181=0,"",IF(NOT(AND(LEN(TRIM('DATOS'!F181&amp;""))&gt;0,TRIM('DATOS'!F181&amp;"")&lt;&gt;"Pendiente",TRIM('DATOS'!F181&amp;"")&lt;&gt;"Por confirmar",TRIM('DATOS'!F181&amp;"")&lt;&gt;"No consta",TRIM('DATOS'!F181&amp;"")&lt;&gt;"Desconocido",TRIM('DATOS'!F181&amp;"")&lt;&gt;"Sin confirmar",TRIM('DATOS'!F181&amp;"")&lt;&gt;"Por decidir",TRIM('DATOS'!F181&amp;"")&lt;&gt;"Por comprobar")),2,IF(COUNTIFS('REFERENCIAS'!$T$15:$T$34,"ID:"&amp;SUBSTITUTE(SUBSTITUTE(SUBSTITUTE(SUBSTITUTE(UPPER(TRIM('DATOS'!F181&amp;"")),"!","!E"),"*","!A"),"?","!B"),"~","!C"),'REFERENCIAS'!$H$15:$H$34,"&lt;&gt;")&gt;0,0,1))),2)</f>
      </c>
      <c r="U181" s="29" t="str">
        <f>'DATOS'!R181</f>
        <v>ID:</v>
      </c>
      <c r="V181" s="29" t="str">
        <f>'DATOS'!S181</f>
        <v>ID:</v>
      </c>
      <c r="W181" s="29" t="n">
        <f>IF(N181=0,0,COUNTIFS('REFERENCIAS'!$R$15:$R$64,U181))</f>
        <v>0</v>
      </c>
      <c r="X181" s="29" t="n">
        <f>IF(N181=0,0,COUNTIFS('DATOS'!$R$10:$R$509,U181,'DATOS'!$S$10:$S$509,V181))</f>
        <v>0</v>
      </c>
      <c r="Y181" s="29" t="n">
        <f>IF(AND(ISNUMBER('DATOS'!G181),ISNUMBER('DATOS'!H181),ISNUMBER('DATOS'!J181)),1,0)</f>
        <v>0</v>
      </c>
    </row>
    <row r="182" ht="64" customHeight="1">
      <c r="B182" s="26">
        <f>IF(N182=1,173,"")</f>
      </c>
      <c r="C182" s="26">
        <f>IF(AND(N182=1,LEN(TRIM('DATOS'!B182&amp;""))&gt;0),'DATOS'!B182,"")</f>
      </c>
      <c r="D182" s="26">
        <f>IF(AND(N182=1,LEN(TRIM('DATOS'!C182&amp;""))&gt;0),'DATOS'!C182,"")</f>
      </c>
      <c r="E182" s="26">
        <f>IF(NOT(ISNUMBER(P182)),"",IF(P182=2,"ROJO",IF(P182=1,"ÁMBAR","VERDE")))</f>
      </c>
      <c r="F182" s="26">
        <f>IF(NOT(ISNUMBER(Q182)),"",IF(Q182=2,"ROJO",IF(Q182=1,"ÁMBAR","VERDE")))</f>
      </c>
      <c r="G182" s="26">
        <f>IF(NOT(ISNUMBER(R182)),"",IF(R182=2,"ROJO",IF(R182=1,"ÁMBAR","VERDE")))</f>
      </c>
      <c r="H182" s="26">
        <f>IF(NOT(ISNUMBER(S182)),"",IF(S182=2,"ROJO",IF(S182=1,"ÁMBAR","VERDE")))</f>
      </c>
      <c r="I182" s="26">
        <f>IF(NOT(ISNUMBER(T182)),"",IF(T182=2,"ROJO",IF(T182=1,"ÁMBAR","VERDE")))</f>
      </c>
      <c r="J182" s="26">
        <f>IF(NOT(ISNUMBER(O182)),"",IF(O182=2,"ROJO",IF(O182=1,"ÁMBAR","VERDE")))</f>
      </c>
      <c r="K182" s="26">
        <f>IFERROR(IF(AND(N182=1,LEN(TRIM('DATOS'!N182&amp;""))&gt;0),'DATOS'!N182,""),"Hay una entrada con error. Corregimos el dato antes de cerrar la comprobación.")</f>
      </c>
      <c r="L182" s="26">
        <f>IFERROR(IF(N182=0,"",IF(O182&gt;0,"Completamos datos, claves o motivo. ","")&amp;IF(P182&gt;0,"Cotejamos precios e importe. ","")&amp;IF(Q182&gt;0,"Aclaramos el cero. ","")&amp;IF(R182&gt;0,"Comprobamos el texto. ","")&amp;IF(S182&gt;0,"Revisamos decimales visibles. ","")&amp;IF(T182&gt;0,"Confirmamos la unidad.","")),"Hay una entrada con error. Corregimos el dato antes de cerrar la comprobación.")</f>
      </c>
      <c r="N182" s="29" t="n">
        <f>IF(COUNTA('DATOS'!B182:O182)&gt;0,1,0)</f>
        <v>0</v>
      </c>
      <c r="O182" s="29">
        <f>IFERROR(IF(N182=0,"",IF(OR(NOT(AND(LEN(TRIM('DATOS'!B182&amp;""))&gt;0,TRIM('DATOS'!B182&amp;"")&lt;&gt;"Pendiente",TRIM('DATOS'!B182&amp;"")&lt;&gt;"Por confirmar",TRIM('DATOS'!B182&amp;"")&lt;&gt;"No consta",TRIM('DATOS'!B182&amp;"")&lt;&gt;"Desconocido",TRIM('DATOS'!B182&amp;"")&lt;&gt;"Sin confirmar",TRIM('DATOS'!B182&amp;"")&lt;&gt;"Por decidir",TRIM('DATOS'!B182&amp;"")&lt;&gt;"Por comprobar")),NOT(AND(LEN(TRIM('DATOS'!C182&amp;""))&gt;0,TRIM('DATOS'!C182&amp;"")&lt;&gt;"Pendiente",TRIM('DATOS'!C182&amp;"")&lt;&gt;"Por confirmar",TRIM('DATOS'!C182&amp;"")&lt;&gt;"No consta",TRIM('DATOS'!C182&amp;"")&lt;&gt;"Desconocido",TRIM('DATOS'!C182&amp;"")&lt;&gt;"Sin confirmar",TRIM('DATOS'!C182&amp;"")&lt;&gt;"Por decidir",TRIM('DATOS'!C182&amp;"")&lt;&gt;"Por comprobar")),NOT(AND(LEN(TRIM('DATOS'!D182&amp;""))&gt;0,TRIM('DATOS'!D182&amp;"")&lt;&gt;"Pendiente",TRIM('DATOS'!D182&amp;"")&lt;&gt;"Por confirmar",TRIM('DATOS'!D182&amp;"")&lt;&gt;"No consta",TRIM('DATOS'!D182&amp;"")&lt;&gt;"Desconocido",TRIM('DATOS'!D182&amp;"")&lt;&gt;"Sin confirmar",TRIM('DATOS'!D182&amp;"")&lt;&gt;"Por decidir",TRIM('DATOS'!D182&amp;"")&lt;&gt;"Por comprobar")),NOT(AND(LEN(TRIM('DATOS'!E182&amp;""))&gt;0,TRIM('DATOS'!E182&amp;"")&lt;&gt;"Pendiente",TRIM('DATOS'!E182&amp;"")&lt;&gt;"Por confirmar",TRIM('DATOS'!E182&amp;"")&lt;&gt;"No consta",TRIM('DATOS'!E182&amp;"")&lt;&gt;"Desconocido",TRIM('DATOS'!E182&amp;"")&lt;&gt;"Sin confirmar",TRIM('DATOS'!E182&amp;"")&lt;&gt;"Por decidir",TRIM('DATOS'!E182&amp;"")&lt;&gt;"Por comprobar")),NOT(AND(LEN(TRIM('DATOS'!F182&amp;""))&gt;0,TRIM('DATOS'!F182&amp;"")&lt;&gt;"Pendiente",TRIM('DATOS'!F182&amp;"")&lt;&gt;"Por confirmar",TRIM('DATOS'!F182&amp;"")&lt;&gt;"No consta",TRIM('DATOS'!F182&amp;"")&lt;&gt;"Desconocido",TRIM('DATOS'!F182&amp;"")&lt;&gt;"Sin confirmar",TRIM('DATOS'!F182&amp;"")&lt;&gt;"Por decidir",TRIM('DATOS'!F182&amp;"")&lt;&gt;"Por comprobar")),NOT(AND(LEN(TRIM('DATOS'!N182&amp;""))&gt;0,TRIM('DATOS'!N182&amp;"")&lt;&gt;"Pendiente",TRIM('DATOS'!N182&amp;"")&lt;&gt;"Por confirmar",TRIM('DATOS'!N182&amp;"")&lt;&gt;"No consta",TRIM('DATOS'!N182&amp;"")&lt;&gt;"Desconocido",TRIM('DATOS'!N182&amp;"")&lt;&gt;"Sin confirmar",TRIM('DATOS'!N182&amp;"")&lt;&gt;"Por decidir",TRIM('DATOS'!N182&amp;"")&lt;&gt;"Por comprobar")),NOT(Y182=1),W182&lt;&gt;1,X182&gt;1,NOT(OR(LEN(TRIM('DATOS'!K182&amp;""))=0,'DATOS'!K182="Sin valorar",'DATOS'!K182="Sin coste documentado",'DATOS'!K182="Incluido en otra partida",'DATOS'!K182="Por confirmar")),NOT(OR(LEN(TRIM('DATOS'!M182&amp;""))=0,'DATOS'!M182="Sí",'DATOS'!M182="No",'DATOS'!M182="Por confirmar")),NOT(OR(LEN(TRIM('DATOS'!O182&amp;""))=0,'DATOS'!O182="Comparamos",'DATOS'!O182="No existe",'DATOS'!O182="Por confirmar"))),2,IF(AND(OR('DATOS'!G182&lt;0,'DATOS'!H182&lt;0,'DATOS'!J182&lt;0),NOT(AND(LEN(TRIM('DATOS'!L182&amp;""))&gt;0,TRIM('DATOS'!L182&amp;"")&lt;&gt;"Pendiente",TRIM('DATOS'!L182&amp;"")&lt;&gt;"Por confirmar",TRIM('DATOS'!L182&amp;"")&lt;&gt;"No consta",TRIM('DATOS'!L182&amp;"")&lt;&gt;"Desconocido",TRIM('DATOS'!L182&amp;"")&lt;&gt;"Sin confirmar",TRIM('DATOS'!L182&amp;"")&lt;&gt;"Por decidir",TRIM('DATOS'!L182&amp;"")&lt;&gt;"Por comprobar"))),1,0))),2)</f>
      </c>
      <c r="P182" s="29">
        <f>IFERROR(IF(N182=0,"",IF(NOT(Y182=1),1,IF('REFERENCIAS'!$Q$8&lt;&gt;1,2,IF(ABS('DATOS'!J182-ROUND('DATOS'!G182*'DATOS'!H182,'REFERENCIAS'!$K$8))&gt;0.00000001,2,IF('DATOS'!O182="No existe",IF(LEN(TRIM('DATOS'!I182&amp;""))=0,0,2),IF('DATOS'!O182="Comparamos",IF(LEN(TRIM('DATOS'!I182&amp;""))=0,1,IF(ISNUMBER('DATOS'!I182),IF(ABS('DATOS'!H182-'DATOS'!I182)&gt;0.00000001,2,0),2)),1)))))),2)</f>
      </c>
      <c r="Q182" s="29">
        <f>IFERROR(IF(N182=0,"",IF(NOT(Y182=1),1,IF('DATOS'!K182="Sin valorar",2,IF('DATOS'!G182=0,1,IF(OR('DATOS'!H182=0,'DATOS'!J182=0),IF(AND(OR('DATOS'!K182="Sin coste documentado",'DATOS'!K182="Incluido en otra partida"),AND(LEN(TRIM('DATOS'!L182&amp;""))&gt;0,TRIM('DATOS'!L182&amp;"")&lt;&gt;"Pendiente",TRIM('DATOS'!L182&amp;"")&lt;&gt;"Por confirmar",TRIM('DATOS'!L182&amp;"")&lt;&gt;"No consta",TRIM('DATOS'!L182&amp;"")&lt;&gt;"Desconocido",TRIM('DATOS'!L182&amp;"")&lt;&gt;"Sin confirmar",TRIM('DATOS'!L182&amp;"")&lt;&gt;"Por decidir",TRIM('DATOS'!L182&amp;"")&lt;&gt;"Por comprobar")),0,1),0))))),2)</f>
      </c>
      <c r="R182" s="29">
        <f>IFERROR(IF(N182=0,"",IF(OR(NOT(AND(LEN(TRIM('DATOS'!D182&amp;""))&gt;0,TRIM('DATOS'!D182&amp;"")&lt;&gt;"Pendiente",TRIM('DATOS'!D182&amp;"")&lt;&gt;"Por confirmar",TRIM('DATOS'!D182&amp;"")&lt;&gt;"No consta",TRIM('DATOS'!D182&amp;"")&lt;&gt;"Desconocido",TRIM('DATOS'!D182&amp;"")&lt;&gt;"Sin confirmar",TRIM('DATOS'!D182&amp;"")&lt;&gt;"Por decidir",TRIM('DATOS'!D182&amp;"")&lt;&gt;"Por comprobar")),NOT(AND(LEN(TRIM('DATOS'!E182&amp;""))&gt;0,TRIM('DATOS'!E182&amp;"")&lt;&gt;"Pendiente",TRIM('DATOS'!E182&amp;"")&lt;&gt;"Por confirmar",TRIM('DATOS'!E182&amp;"")&lt;&gt;"No consta",TRIM('DATOS'!E182&amp;"")&lt;&gt;"Desconocido",TRIM('DATOS'!E182&amp;"")&lt;&gt;"Sin confirmar",TRIM('DATOS'!E182&amp;"")&lt;&gt;"Por decidir",TRIM('DATOS'!E182&amp;"")&lt;&gt;"Por comprobar"))),2,IF('DATOS'!M182="No",2,IF('DATOS'!M182="Sí",0,IF(OR('DATOS'!D182&lt;&gt;'DATOS'!E182,LEN('DATOS'!E182)&gt;300,RIGHT(TRIM('DATOS'!E182),3)="...",RIGHT(TRIM('DATOS'!E182),1)="…"),1,0))))),2)</f>
      </c>
      <c r="S182" s="29">
        <f>IFERROR(IF(N182=0,"",IF('REFERENCIAS'!$Q$8&lt;&gt;1,2,IF(NOT(Y182=1),1,IF(OR(ABS('DATOS'!G182-ROUND('DATOS'!G182,'REFERENCIAS'!$E$8))&gt;0.00000001,ABS('DATOS'!H182-ROUND('DATOS'!H182,'REFERENCIAS'!$H$8))&gt;0.00000001,ABS('DATOS'!J182-ROUND('DATOS'!J182,'REFERENCIAS'!$K$8))&gt;0.00000001,IF(ISNUMBER('DATOS'!I182),ABS('DATOS'!I182-ROUND('DATOS'!I182,'REFERENCIAS'!$H$8))&gt;0.00000001,FALSE)),1,0)))),2)</f>
      </c>
      <c r="T182" s="29">
        <f>IFERROR(IF(N182=0,"",IF(NOT(AND(LEN(TRIM('DATOS'!F182&amp;""))&gt;0,TRIM('DATOS'!F182&amp;"")&lt;&gt;"Pendiente",TRIM('DATOS'!F182&amp;"")&lt;&gt;"Por confirmar",TRIM('DATOS'!F182&amp;"")&lt;&gt;"No consta",TRIM('DATOS'!F182&amp;"")&lt;&gt;"Desconocido",TRIM('DATOS'!F182&amp;"")&lt;&gt;"Sin confirmar",TRIM('DATOS'!F182&amp;"")&lt;&gt;"Por decidir",TRIM('DATOS'!F182&amp;"")&lt;&gt;"Por comprobar")),2,IF(COUNTIFS('REFERENCIAS'!$T$15:$T$34,"ID:"&amp;SUBSTITUTE(SUBSTITUTE(SUBSTITUTE(SUBSTITUTE(UPPER(TRIM('DATOS'!F182&amp;"")),"!","!E"),"*","!A"),"?","!B"),"~","!C"),'REFERENCIAS'!$H$15:$H$34,"&lt;&gt;")&gt;0,0,1))),2)</f>
      </c>
      <c r="U182" s="29" t="str">
        <f>'DATOS'!R182</f>
        <v>ID:</v>
      </c>
      <c r="V182" s="29" t="str">
        <f>'DATOS'!S182</f>
        <v>ID:</v>
      </c>
      <c r="W182" s="29" t="n">
        <f>IF(N182=0,0,COUNTIFS('REFERENCIAS'!$R$15:$R$64,U182))</f>
        <v>0</v>
      </c>
      <c r="X182" s="29" t="n">
        <f>IF(N182=0,0,COUNTIFS('DATOS'!$R$10:$R$509,U182,'DATOS'!$S$10:$S$509,V182))</f>
        <v>0</v>
      </c>
      <c r="Y182" s="29" t="n">
        <f>IF(AND(ISNUMBER('DATOS'!G182),ISNUMBER('DATOS'!H182),ISNUMBER('DATOS'!J182)),1,0)</f>
        <v>0</v>
      </c>
    </row>
    <row r="183" ht="64" customHeight="1">
      <c r="B183" s="26">
        <f>IF(N183=1,174,"")</f>
      </c>
      <c r="C183" s="26">
        <f>IF(AND(N183=1,LEN(TRIM('DATOS'!B183&amp;""))&gt;0),'DATOS'!B183,"")</f>
      </c>
      <c r="D183" s="26">
        <f>IF(AND(N183=1,LEN(TRIM('DATOS'!C183&amp;""))&gt;0),'DATOS'!C183,"")</f>
      </c>
      <c r="E183" s="26">
        <f>IF(NOT(ISNUMBER(P183)),"",IF(P183=2,"ROJO",IF(P183=1,"ÁMBAR","VERDE")))</f>
      </c>
      <c r="F183" s="26">
        <f>IF(NOT(ISNUMBER(Q183)),"",IF(Q183=2,"ROJO",IF(Q183=1,"ÁMBAR","VERDE")))</f>
      </c>
      <c r="G183" s="26">
        <f>IF(NOT(ISNUMBER(R183)),"",IF(R183=2,"ROJO",IF(R183=1,"ÁMBAR","VERDE")))</f>
      </c>
      <c r="H183" s="26">
        <f>IF(NOT(ISNUMBER(S183)),"",IF(S183=2,"ROJO",IF(S183=1,"ÁMBAR","VERDE")))</f>
      </c>
      <c r="I183" s="26">
        <f>IF(NOT(ISNUMBER(T183)),"",IF(T183=2,"ROJO",IF(T183=1,"ÁMBAR","VERDE")))</f>
      </c>
      <c r="J183" s="26">
        <f>IF(NOT(ISNUMBER(O183)),"",IF(O183=2,"ROJO",IF(O183=1,"ÁMBAR","VERDE")))</f>
      </c>
      <c r="K183" s="26">
        <f>IFERROR(IF(AND(N183=1,LEN(TRIM('DATOS'!N183&amp;""))&gt;0),'DATOS'!N183,""),"Hay una entrada con error. Corregimos el dato antes de cerrar la comprobación.")</f>
      </c>
      <c r="L183" s="26">
        <f>IFERROR(IF(N183=0,"",IF(O183&gt;0,"Completamos datos, claves o motivo. ","")&amp;IF(P183&gt;0,"Cotejamos precios e importe. ","")&amp;IF(Q183&gt;0,"Aclaramos el cero. ","")&amp;IF(R183&gt;0,"Comprobamos el texto. ","")&amp;IF(S183&gt;0,"Revisamos decimales visibles. ","")&amp;IF(T183&gt;0,"Confirmamos la unidad.","")),"Hay una entrada con error. Corregimos el dato antes de cerrar la comprobación.")</f>
      </c>
      <c r="N183" s="29" t="n">
        <f>IF(COUNTA('DATOS'!B183:O183)&gt;0,1,0)</f>
        <v>0</v>
      </c>
      <c r="O183" s="29">
        <f>IFERROR(IF(N183=0,"",IF(OR(NOT(AND(LEN(TRIM('DATOS'!B183&amp;""))&gt;0,TRIM('DATOS'!B183&amp;"")&lt;&gt;"Pendiente",TRIM('DATOS'!B183&amp;"")&lt;&gt;"Por confirmar",TRIM('DATOS'!B183&amp;"")&lt;&gt;"No consta",TRIM('DATOS'!B183&amp;"")&lt;&gt;"Desconocido",TRIM('DATOS'!B183&amp;"")&lt;&gt;"Sin confirmar",TRIM('DATOS'!B183&amp;"")&lt;&gt;"Por decidir",TRIM('DATOS'!B183&amp;"")&lt;&gt;"Por comprobar")),NOT(AND(LEN(TRIM('DATOS'!C183&amp;""))&gt;0,TRIM('DATOS'!C183&amp;"")&lt;&gt;"Pendiente",TRIM('DATOS'!C183&amp;"")&lt;&gt;"Por confirmar",TRIM('DATOS'!C183&amp;"")&lt;&gt;"No consta",TRIM('DATOS'!C183&amp;"")&lt;&gt;"Desconocido",TRIM('DATOS'!C183&amp;"")&lt;&gt;"Sin confirmar",TRIM('DATOS'!C183&amp;"")&lt;&gt;"Por decidir",TRIM('DATOS'!C183&amp;"")&lt;&gt;"Por comprobar")),NOT(AND(LEN(TRIM('DATOS'!D183&amp;""))&gt;0,TRIM('DATOS'!D183&amp;"")&lt;&gt;"Pendiente",TRIM('DATOS'!D183&amp;"")&lt;&gt;"Por confirmar",TRIM('DATOS'!D183&amp;"")&lt;&gt;"No consta",TRIM('DATOS'!D183&amp;"")&lt;&gt;"Desconocido",TRIM('DATOS'!D183&amp;"")&lt;&gt;"Sin confirmar",TRIM('DATOS'!D183&amp;"")&lt;&gt;"Por decidir",TRIM('DATOS'!D183&amp;"")&lt;&gt;"Por comprobar")),NOT(AND(LEN(TRIM('DATOS'!E183&amp;""))&gt;0,TRIM('DATOS'!E183&amp;"")&lt;&gt;"Pendiente",TRIM('DATOS'!E183&amp;"")&lt;&gt;"Por confirmar",TRIM('DATOS'!E183&amp;"")&lt;&gt;"No consta",TRIM('DATOS'!E183&amp;"")&lt;&gt;"Desconocido",TRIM('DATOS'!E183&amp;"")&lt;&gt;"Sin confirmar",TRIM('DATOS'!E183&amp;"")&lt;&gt;"Por decidir",TRIM('DATOS'!E183&amp;"")&lt;&gt;"Por comprobar")),NOT(AND(LEN(TRIM('DATOS'!F183&amp;""))&gt;0,TRIM('DATOS'!F183&amp;"")&lt;&gt;"Pendiente",TRIM('DATOS'!F183&amp;"")&lt;&gt;"Por confirmar",TRIM('DATOS'!F183&amp;"")&lt;&gt;"No consta",TRIM('DATOS'!F183&amp;"")&lt;&gt;"Desconocido",TRIM('DATOS'!F183&amp;"")&lt;&gt;"Sin confirmar",TRIM('DATOS'!F183&amp;"")&lt;&gt;"Por decidir",TRIM('DATOS'!F183&amp;"")&lt;&gt;"Por comprobar")),NOT(AND(LEN(TRIM('DATOS'!N183&amp;""))&gt;0,TRIM('DATOS'!N183&amp;"")&lt;&gt;"Pendiente",TRIM('DATOS'!N183&amp;"")&lt;&gt;"Por confirmar",TRIM('DATOS'!N183&amp;"")&lt;&gt;"No consta",TRIM('DATOS'!N183&amp;"")&lt;&gt;"Desconocido",TRIM('DATOS'!N183&amp;"")&lt;&gt;"Sin confirmar",TRIM('DATOS'!N183&amp;"")&lt;&gt;"Por decidir",TRIM('DATOS'!N183&amp;"")&lt;&gt;"Por comprobar")),NOT(Y183=1),W183&lt;&gt;1,X183&gt;1,NOT(OR(LEN(TRIM('DATOS'!K183&amp;""))=0,'DATOS'!K183="Sin valorar",'DATOS'!K183="Sin coste documentado",'DATOS'!K183="Incluido en otra partida",'DATOS'!K183="Por confirmar")),NOT(OR(LEN(TRIM('DATOS'!M183&amp;""))=0,'DATOS'!M183="Sí",'DATOS'!M183="No",'DATOS'!M183="Por confirmar")),NOT(OR(LEN(TRIM('DATOS'!O183&amp;""))=0,'DATOS'!O183="Comparamos",'DATOS'!O183="No existe",'DATOS'!O183="Por confirmar"))),2,IF(AND(OR('DATOS'!G183&lt;0,'DATOS'!H183&lt;0,'DATOS'!J183&lt;0),NOT(AND(LEN(TRIM('DATOS'!L183&amp;""))&gt;0,TRIM('DATOS'!L183&amp;"")&lt;&gt;"Pendiente",TRIM('DATOS'!L183&amp;"")&lt;&gt;"Por confirmar",TRIM('DATOS'!L183&amp;"")&lt;&gt;"No consta",TRIM('DATOS'!L183&amp;"")&lt;&gt;"Desconocido",TRIM('DATOS'!L183&amp;"")&lt;&gt;"Sin confirmar",TRIM('DATOS'!L183&amp;"")&lt;&gt;"Por decidir",TRIM('DATOS'!L183&amp;"")&lt;&gt;"Por comprobar"))),1,0))),2)</f>
      </c>
      <c r="P183" s="29">
        <f>IFERROR(IF(N183=0,"",IF(NOT(Y183=1),1,IF('REFERENCIAS'!$Q$8&lt;&gt;1,2,IF(ABS('DATOS'!J183-ROUND('DATOS'!G183*'DATOS'!H183,'REFERENCIAS'!$K$8))&gt;0.00000001,2,IF('DATOS'!O183="No existe",IF(LEN(TRIM('DATOS'!I183&amp;""))=0,0,2),IF('DATOS'!O183="Comparamos",IF(LEN(TRIM('DATOS'!I183&amp;""))=0,1,IF(ISNUMBER('DATOS'!I183),IF(ABS('DATOS'!H183-'DATOS'!I183)&gt;0.00000001,2,0),2)),1)))))),2)</f>
      </c>
      <c r="Q183" s="29">
        <f>IFERROR(IF(N183=0,"",IF(NOT(Y183=1),1,IF('DATOS'!K183="Sin valorar",2,IF('DATOS'!G183=0,1,IF(OR('DATOS'!H183=0,'DATOS'!J183=0),IF(AND(OR('DATOS'!K183="Sin coste documentado",'DATOS'!K183="Incluido en otra partida"),AND(LEN(TRIM('DATOS'!L183&amp;""))&gt;0,TRIM('DATOS'!L183&amp;"")&lt;&gt;"Pendiente",TRIM('DATOS'!L183&amp;"")&lt;&gt;"Por confirmar",TRIM('DATOS'!L183&amp;"")&lt;&gt;"No consta",TRIM('DATOS'!L183&amp;"")&lt;&gt;"Desconocido",TRIM('DATOS'!L183&amp;"")&lt;&gt;"Sin confirmar",TRIM('DATOS'!L183&amp;"")&lt;&gt;"Por decidir",TRIM('DATOS'!L183&amp;"")&lt;&gt;"Por comprobar")),0,1),0))))),2)</f>
      </c>
      <c r="R183" s="29">
        <f>IFERROR(IF(N183=0,"",IF(OR(NOT(AND(LEN(TRIM('DATOS'!D183&amp;""))&gt;0,TRIM('DATOS'!D183&amp;"")&lt;&gt;"Pendiente",TRIM('DATOS'!D183&amp;"")&lt;&gt;"Por confirmar",TRIM('DATOS'!D183&amp;"")&lt;&gt;"No consta",TRIM('DATOS'!D183&amp;"")&lt;&gt;"Desconocido",TRIM('DATOS'!D183&amp;"")&lt;&gt;"Sin confirmar",TRIM('DATOS'!D183&amp;"")&lt;&gt;"Por decidir",TRIM('DATOS'!D183&amp;"")&lt;&gt;"Por comprobar")),NOT(AND(LEN(TRIM('DATOS'!E183&amp;""))&gt;0,TRIM('DATOS'!E183&amp;"")&lt;&gt;"Pendiente",TRIM('DATOS'!E183&amp;"")&lt;&gt;"Por confirmar",TRIM('DATOS'!E183&amp;"")&lt;&gt;"No consta",TRIM('DATOS'!E183&amp;"")&lt;&gt;"Desconocido",TRIM('DATOS'!E183&amp;"")&lt;&gt;"Sin confirmar",TRIM('DATOS'!E183&amp;"")&lt;&gt;"Por decidir",TRIM('DATOS'!E183&amp;"")&lt;&gt;"Por comprobar"))),2,IF('DATOS'!M183="No",2,IF('DATOS'!M183="Sí",0,IF(OR('DATOS'!D183&lt;&gt;'DATOS'!E183,LEN('DATOS'!E183)&gt;300,RIGHT(TRIM('DATOS'!E183),3)="...",RIGHT(TRIM('DATOS'!E183),1)="…"),1,0))))),2)</f>
      </c>
      <c r="S183" s="29">
        <f>IFERROR(IF(N183=0,"",IF('REFERENCIAS'!$Q$8&lt;&gt;1,2,IF(NOT(Y183=1),1,IF(OR(ABS('DATOS'!G183-ROUND('DATOS'!G183,'REFERENCIAS'!$E$8))&gt;0.00000001,ABS('DATOS'!H183-ROUND('DATOS'!H183,'REFERENCIAS'!$H$8))&gt;0.00000001,ABS('DATOS'!J183-ROUND('DATOS'!J183,'REFERENCIAS'!$K$8))&gt;0.00000001,IF(ISNUMBER('DATOS'!I183),ABS('DATOS'!I183-ROUND('DATOS'!I183,'REFERENCIAS'!$H$8))&gt;0.00000001,FALSE)),1,0)))),2)</f>
      </c>
      <c r="T183" s="29">
        <f>IFERROR(IF(N183=0,"",IF(NOT(AND(LEN(TRIM('DATOS'!F183&amp;""))&gt;0,TRIM('DATOS'!F183&amp;"")&lt;&gt;"Pendiente",TRIM('DATOS'!F183&amp;"")&lt;&gt;"Por confirmar",TRIM('DATOS'!F183&amp;"")&lt;&gt;"No consta",TRIM('DATOS'!F183&amp;"")&lt;&gt;"Desconocido",TRIM('DATOS'!F183&amp;"")&lt;&gt;"Sin confirmar",TRIM('DATOS'!F183&amp;"")&lt;&gt;"Por decidir",TRIM('DATOS'!F183&amp;"")&lt;&gt;"Por comprobar")),2,IF(COUNTIFS('REFERENCIAS'!$T$15:$T$34,"ID:"&amp;SUBSTITUTE(SUBSTITUTE(SUBSTITUTE(SUBSTITUTE(UPPER(TRIM('DATOS'!F183&amp;"")),"!","!E"),"*","!A"),"?","!B"),"~","!C"),'REFERENCIAS'!$H$15:$H$34,"&lt;&gt;")&gt;0,0,1))),2)</f>
      </c>
      <c r="U183" s="29" t="str">
        <f>'DATOS'!R183</f>
        <v>ID:</v>
      </c>
      <c r="V183" s="29" t="str">
        <f>'DATOS'!S183</f>
        <v>ID:</v>
      </c>
      <c r="W183" s="29" t="n">
        <f>IF(N183=0,0,COUNTIFS('REFERENCIAS'!$R$15:$R$64,U183))</f>
        <v>0</v>
      </c>
      <c r="X183" s="29" t="n">
        <f>IF(N183=0,0,COUNTIFS('DATOS'!$R$10:$R$509,U183,'DATOS'!$S$10:$S$509,V183))</f>
        <v>0</v>
      </c>
      <c r="Y183" s="29" t="n">
        <f>IF(AND(ISNUMBER('DATOS'!G183),ISNUMBER('DATOS'!H183),ISNUMBER('DATOS'!J183)),1,0)</f>
        <v>0</v>
      </c>
    </row>
    <row r="184" ht="64" customHeight="1">
      <c r="B184" s="26">
        <f>IF(N184=1,175,"")</f>
      </c>
      <c r="C184" s="26">
        <f>IF(AND(N184=1,LEN(TRIM('DATOS'!B184&amp;""))&gt;0),'DATOS'!B184,"")</f>
      </c>
      <c r="D184" s="26">
        <f>IF(AND(N184=1,LEN(TRIM('DATOS'!C184&amp;""))&gt;0),'DATOS'!C184,"")</f>
      </c>
      <c r="E184" s="26">
        <f>IF(NOT(ISNUMBER(P184)),"",IF(P184=2,"ROJO",IF(P184=1,"ÁMBAR","VERDE")))</f>
      </c>
      <c r="F184" s="26">
        <f>IF(NOT(ISNUMBER(Q184)),"",IF(Q184=2,"ROJO",IF(Q184=1,"ÁMBAR","VERDE")))</f>
      </c>
      <c r="G184" s="26">
        <f>IF(NOT(ISNUMBER(R184)),"",IF(R184=2,"ROJO",IF(R184=1,"ÁMBAR","VERDE")))</f>
      </c>
      <c r="H184" s="26">
        <f>IF(NOT(ISNUMBER(S184)),"",IF(S184=2,"ROJO",IF(S184=1,"ÁMBAR","VERDE")))</f>
      </c>
      <c r="I184" s="26">
        <f>IF(NOT(ISNUMBER(T184)),"",IF(T184=2,"ROJO",IF(T184=1,"ÁMBAR","VERDE")))</f>
      </c>
      <c r="J184" s="26">
        <f>IF(NOT(ISNUMBER(O184)),"",IF(O184=2,"ROJO",IF(O184=1,"ÁMBAR","VERDE")))</f>
      </c>
      <c r="K184" s="26">
        <f>IFERROR(IF(AND(N184=1,LEN(TRIM('DATOS'!N184&amp;""))&gt;0),'DATOS'!N184,""),"Hay una entrada con error. Corregimos el dato antes de cerrar la comprobación.")</f>
      </c>
      <c r="L184" s="26">
        <f>IFERROR(IF(N184=0,"",IF(O184&gt;0,"Completamos datos, claves o motivo. ","")&amp;IF(P184&gt;0,"Cotejamos precios e importe. ","")&amp;IF(Q184&gt;0,"Aclaramos el cero. ","")&amp;IF(R184&gt;0,"Comprobamos el texto. ","")&amp;IF(S184&gt;0,"Revisamos decimales visibles. ","")&amp;IF(T184&gt;0,"Confirmamos la unidad.","")),"Hay una entrada con error. Corregimos el dato antes de cerrar la comprobación.")</f>
      </c>
      <c r="N184" s="29" t="n">
        <f>IF(COUNTA('DATOS'!B184:O184)&gt;0,1,0)</f>
        <v>0</v>
      </c>
      <c r="O184" s="29">
        <f>IFERROR(IF(N184=0,"",IF(OR(NOT(AND(LEN(TRIM('DATOS'!B184&amp;""))&gt;0,TRIM('DATOS'!B184&amp;"")&lt;&gt;"Pendiente",TRIM('DATOS'!B184&amp;"")&lt;&gt;"Por confirmar",TRIM('DATOS'!B184&amp;"")&lt;&gt;"No consta",TRIM('DATOS'!B184&amp;"")&lt;&gt;"Desconocido",TRIM('DATOS'!B184&amp;"")&lt;&gt;"Sin confirmar",TRIM('DATOS'!B184&amp;"")&lt;&gt;"Por decidir",TRIM('DATOS'!B184&amp;"")&lt;&gt;"Por comprobar")),NOT(AND(LEN(TRIM('DATOS'!C184&amp;""))&gt;0,TRIM('DATOS'!C184&amp;"")&lt;&gt;"Pendiente",TRIM('DATOS'!C184&amp;"")&lt;&gt;"Por confirmar",TRIM('DATOS'!C184&amp;"")&lt;&gt;"No consta",TRIM('DATOS'!C184&amp;"")&lt;&gt;"Desconocido",TRIM('DATOS'!C184&amp;"")&lt;&gt;"Sin confirmar",TRIM('DATOS'!C184&amp;"")&lt;&gt;"Por decidir",TRIM('DATOS'!C184&amp;"")&lt;&gt;"Por comprobar")),NOT(AND(LEN(TRIM('DATOS'!D184&amp;""))&gt;0,TRIM('DATOS'!D184&amp;"")&lt;&gt;"Pendiente",TRIM('DATOS'!D184&amp;"")&lt;&gt;"Por confirmar",TRIM('DATOS'!D184&amp;"")&lt;&gt;"No consta",TRIM('DATOS'!D184&amp;"")&lt;&gt;"Desconocido",TRIM('DATOS'!D184&amp;"")&lt;&gt;"Sin confirmar",TRIM('DATOS'!D184&amp;"")&lt;&gt;"Por decidir",TRIM('DATOS'!D184&amp;"")&lt;&gt;"Por comprobar")),NOT(AND(LEN(TRIM('DATOS'!E184&amp;""))&gt;0,TRIM('DATOS'!E184&amp;"")&lt;&gt;"Pendiente",TRIM('DATOS'!E184&amp;"")&lt;&gt;"Por confirmar",TRIM('DATOS'!E184&amp;"")&lt;&gt;"No consta",TRIM('DATOS'!E184&amp;"")&lt;&gt;"Desconocido",TRIM('DATOS'!E184&amp;"")&lt;&gt;"Sin confirmar",TRIM('DATOS'!E184&amp;"")&lt;&gt;"Por decidir",TRIM('DATOS'!E184&amp;"")&lt;&gt;"Por comprobar")),NOT(AND(LEN(TRIM('DATOS'!F184&amp;""))&gt;0,TRIM('DATOS'!F184&amp;"")&lt;&gt;"Pendiente",TRIM('DATOS'!F184&amp;"")&lt;&gt;"Por confirmar",TRIM('DATOS'!F184&amp;"")&lt;&gt;"No consta",TRIM('DATOS'!F184&amp;"")&lt;&gt;"Desconocido",TRIM('DATOS'!F184&amp;"")&lt;&gt;"Sin confirmar",TRIM('DATOS'!F184&amp;"")&lt;&gt;"Por decidir",TRIM('DATOS'!F184&amp;"")&lt;&gt;"Por comprobar")),NOT(AND(LEN(TRIM('DATOS'!N184&amp;""))&gt;0,TRIM('DATOS'!N184&amp;"")&lt;&gt;"Pendiente",TRIM('DATOS'!N184&amp;"")&lt;&gt;"Por confirmar",TRIM('DATOS'!N184&amp;"")&lt;&gt;"No consta",TRIM('DATOS'!N184&amp;"")&lt;&gt;"Desconocido",TRIM('DATOS'!N184&amp;"")&lt;&gt;"Sin confirmar",TRIM('DATOS'!N184&amp;"")&lt;&gt;"Por decidir",TRIM('DATOS'!N184&amp;"")&lt;&gt;"Por comprobar")),NOT(Y184=1),W184&lt;&gt;1,X184&gt;1,NOT(OR(LEN(TRIM('DATOS'!K184&amp;""))=0,'DATOS'!K184="Sin valorar",'DATOS'!K184="Sin coste documentado",'DATOS'!K184="Incluido en otra partida",'DATOS'!K184="Por confirmar")),NOT(OR(LEN(TRIM('DATOS'!M184&amp;""))=0,'DATOS'!M184="Sí",'DATOS'!M184="No",'DATOS'!M184="Por confirmar")),NOT(OR(LEN(TRIM('DATOS'!O184&amp;""))=0,'DATOS'!O184="Comparamos",'DATOS'!O184="No existe",'DATOS'!O184="Por confirmar"))),2,IF(AND(OR('DATOS'!G184&lt;0,'DATOS'!H184&lt;0,'DATOS'!J184&lt;0),NOT(AND(LEN(TRIM('DATOS'!L184&amp;""))&gt;0,TRIM('DATOS'!L184&amp;"")&lt;&gt;"Pendiente",TRIM('DATOS'!L184&amp;"")&lt;&gt;"Por confirmar",TRIM('DATOS'!L184&amp;"")&lt;&gt;"No consta",TRIM('DATOS'!L184&amp;"")&lt;&gt;"Desconocido",TRIM('DATOS'!L184&amp;"")&lt;&gt;"Sin confirmar",TRIM('DATOS'!L184&amp;"")&lt;&gt;"Por decidir",TRIM('DATOS'!L184&amp;"")&lt;&gt;"Por comprobar"))),1,0))),2)</f>
      </c>
      <c r="P184" s="29">
        <f>IFERROR(IF(N184=0,"",IF(NOT(Y184=1),1,IF('REFERENCIAS'!$Q$8&lt;&gt;1,2,IF(ABS('DATOS'!J184-ROUND('DATOS'!G184*'DATOS'!H184,'REFERENCIAS'!$K$8))&gt;0.00000001,2,IF('DATOS'!O184="No existe",IF(LEN(TRIM('DATOS'!I184&amp;""))=0,0,2),IF('DATOS'!O184="Comparamos",IF(LEN(TRIM('DATOS'!I184&amp;""))=0,1,IF(ISNUMBER('DATOS'!I184),IF(ABS('DATOS'!H184-'DATOS'!I184)&gt;0.00000001,2,0),2)),1)))))),2)</f>
      </c>
      <c r="Q184" s="29">
        <f>IFERROR(IF(N184=0,"",IF(NOT(Y184=1),1,IF('DATOS'!K184="Sin valorar",2,IF('DATOS'!G184=0,1,IF(OR('DATOS'!H184=0,'DATOS'!J184=0),IF(AND(OR('DATOS'!K184="Sin coste documentado",'DATOS'!K184="Incluido en otra partida"),AND(LEN(TRIM('DATOS'!L184&amp;""))&gt;0,TRIM('DATOS'!L184&amp;"")&lt;&gt;"Pendiente",TRIM('DATOS'!L184&amp;"")&lt;&gt;"Por confirmar",TRIM('DATOS'!L184&amp;"")&lt;&gt;"No consta",TRIM('DATOS'!L184&amp;"")&lt;&gt;"Desconocido",TRIM('DATOS'!L184&amp;"")&lt;&gt;"Sin confirmar",TRIM('DATOS'!L184&amp;"")&lt;&gt;"Por decidir",TRIM('DATOS'!L184&amp;"")&lt;&gt;"Por comprobar")),0,1),0))))),2)</f>
      </c>
      <c r="R184" s="29">
        <f>IFERROR(IF(N184=0,"",IF(OR(NOT(AND(LEN(TRIM('DATOS'!D184&amp;""))&gt;0,TRIM('DATOS'!D184&amp;"")&lt;&gt;"Pendiente",TRIM('DATOS'!D184&amp;"")&lt;&gt;"Por confirmar",TRIM('DATOS'!D184&amp;"")&lt;&gt;"No consta",TRIM('DATOS'!D184&amp;"")&lt;&gt;"Desconocido",TRIM('DATOS'!D184&amp;"")&lt;&gt;"Sin confirmar",TRIM('DATOS'!D184&amp;"")&lt;&gt;"Por decidir",TRIM('DATOS'!D184&amp;"")&lt;&gt;"Por comprobar")),NOT(AND(LEN(TRIM('DATOS'!E184&amp;""))&gt;0,TRIM('DATOS'!E184&amp;"")&lt;&gt;"Pendiente",TRIM('DATOS'!E184&amp;"")&lt;&gt;"Por confirmar",TRIM('DATOS'!E184&amp;"")&lt;&gt;"No consta",TRIM('DATOS'!E184&amp;"")&lt;&gt;"Desconocido",TRIM('DATOS'!E184&amp;"")&lt;&gt;"Sin confirmar",TRIM('DATOS'!E184&amp;"")&lt;&gt;"Por decidir",TRIM('DATOS'!E184&amp;"")&lt;&gt;"Por comprobar"))),2,IF('DATOS'!M184="No",2,IF('DATOS'!M184="Sí",0,IF(OR('DATOS'!D184&lt;&gt;'DATOS'!E184,LEN('DATOS'!E184)&gt;300,RIGHT(TRIM('DATOS'!E184),3)="...",RIGHT(TRIM('DATOS'!E184),1)="…"),1,0))))),2)</f>
      </c>
      <c r="S184" s="29">
        <f>IFERROR(IF(N184=0,"",IF('REFERENCIAS'!$Q$8&lt;&gt;1,2,IF(NOT(Y184=1),1,IF(OR(ABS('DATOS'!G184-ROUND('DATOS'!G184,'REFERENCIAS'!$E$8))&gt;0.00000001,ABS('DATOS'!H184-ROUND('DATOS'!H184,'REFERENCIAS'!$H$8))&gt;0.00000001,ABS('DATOS'!J184-ROUND('DATOS'!J184,'REFERENCIAS'!$K$8))&gt;0.00000001,IF(ISNUMBER('DATOS'!I184),ABS('DATOS'!I184-ROUND('DATOS'!I184,'REFERENCIAS'!$H$8))&gt;0.00000001,FALSE)),1,0)))),2)</f>
      </c>
      <c r="T184" s="29">
        <f>IFERROR(IF(N184=0,"",IF(NOT(AND(LEN(TRIM('DATOS'!F184&amp;""))&gt;0,TRIM('DATOS'!F184&amp;"")&lt;&gt;"Pendiente",TRIM('DATOS'!F184&amp;"")&lt;&gt;"Por confirmar",TRIM('DATOS'!F184&amp;"")&lt;&gt;"No consta",TRIM('DATOS'!F184&amp;"")&lt;&gt;"Desconocido",TRIM('DATOS'!F184&amp;"")&lt;&gt;"Sin confirmar",TRIM('DATOS'!F184&amp;"")&lt;&gt;"Por decidir",TRIM('DATOS'!F184&amp;"")&lt;&gt;"Por comprobar")),2,IF(COUNTIFS('REFERENCIAS'!$T$15:$T$34,"ID:"&amp;SUBSTITUTE(SUBSTITUTE(SUBSTITUTE(SUBSTITUTE(UPPER(TRIM('DATOS'!F184&amp;"")),"!","!E"),"*","!A"),"?","!B"),"~","!C"),'REFERENCIAS'!$H$15:$H$34,"&lt;&gt;")&gt;0,0,1))),2)</f>
      </c>
      <c r="U184" s="29" t="str">
        <f>'DATOS'!R184</f>
        <v>ID:</v>
      </c>
      <c r="V184" s="29" t="str">
        <f>'DATOS'!S184</f>
        <v>ID:</v>
      </c>
      <c r="W184" s="29" t="n">
        <f>IF(N184=0,0,COUNTIFS('REFERENCIAS'!$R$15:$R$64,U184))</f>
        <v>0</v>
      </c>
      <c r="X184" s="29" t="n">
        <f>IF(N184=0,0,COUNTIFS('DATOS'!$R$10:$R$509,U184,'DATOS'!$S$10:$S$509,V184))</f>
        <v>0</v>
      </c>
      <c r="Y184" s="29" t="n">
        <f>IF(AND(ISNUMBER('DATOS'!G184),ISNUMBER('DATOS'!H184),ISNUMBER('DATOS'!J184)),1,0)</f>
        <v>0</v>
      </c>
    </row>
    <row r="185" ht="64" customHeight="1">
      <c r="B185" s="26">
        <f>IF(N185=1,176,"")</f>
      </c>
      <c r="C185" s="26">
        <f>IF(AND(N185=1,LEN(TRIM('DATOS'!B185&amp;""))&gt;0),'DATOS'!B185,"")</f>
      </c>
      <c r="D185" s="26">
        <f>IF(AND(N185=1,LEN(TRIM('DATOS'!C185&amp;""))&gt;0),'DATOS'!C185,"")</f>
      </c>
      <c r="E185" s="26">
        <f>IF(NOT(ISNUMBER(P185)),"",IF(P185=2,"ROJO",IF(P185=1,"ÁMBAR","VERDE")))</f>
      </c>
      <c r="F185" s="26">
        <f>IF(NOT(ISNUMBER(Q185)),"",IF(Q185=2,"ROJO",IF(Q185=1,"ÁMBAR","VERDE")))</f>
      </c>
      <c r="G185" s="26">
        <f>IF(NOT(ISNUMBER(R185)),"",IF(R185=2,"ROJO",IF(R185=1,"ÁMBAR","VERDE")))</f>
      </c>
      <c r="H185" s="26">
        <f>IF(NOT(ISNUMBER(S185)),"",IF(S185=2,"ROJO",IF(S185=1,"ÁMBAR","VERDE")))</f>
      </c>
      <c r="I185" s="26">
        <f>IF(NOT(ISNUMBER(T185)),"",IF(T185=2,"ROJO",IF(T185=1,"ÁMBAR","VERDE")))</f>
      </c>
      <c r="J185" s="26">
        <f>IF(NOT(ISNUMBER(O185)),"",IF(O185=2,"ROJO",IF(O185=1,"ÁMBAR","VERDE")))</f>
      </c>
      <c r="K185" s="26">
        <f>IFERROR(IF(AND(N185=1,LEN(TRIM('DATOS'!N185&amp;""))&gt;0),'DATOS'!N185,""),"Hay una entrada con error. Corregimos el dato antes de cerrar la comprobación.")</f>
      </c>
      <c r="L185" s="26">
        <f>IFERROR(IF(N185=0,"",IF(O185&gt;0,"Completamos datos, claves o motivo. ","")&amp;IF(P185&gt;0,"Cotejamos precios e importe. ","")&amp;IF(Q185&gt;0,"Aclaramos el cero. ","")&amp;IF(R185&gt;0,"Comprobamos el texto. ","")&amp;IF(S185&gt;0,"Revisamos decimales visibles. ","")&amp;IF(T185&gt;0,"Confirmamos la unidad.","")),"Hay una entrada con error. Corregimos el dato antes de cerrar la comprobación.")</f>
      </c>
      <c r="N185" s="29" t="n">
        <f>IF(COUNTA('DATOS'!B185:O185)&gt;0,1,0)</f>
        <v>0</v>
      </c>
      <c r="O185" s="29">
        <f>IFERROR(IF(N185=0,"",IF(OR(NOT(AND(LEN(TRIM('DATOS'!B185&amp;""))&gt;0,TRIM('DATOS'!B185&amp;"")&lt;&gt;"Pendiente",TRIM('DATOS'!B185&amp;"")&lt;&gt;"Por confirmar",TRIM('DATOS'!B185&amp;"")&lt;&gt;"No consta",TRIM('DATOS'!B185&amp;"")&lt;&gt;"Desconocido",TRIM('DATOS'!B185&amp;"")&lt;&gt;"Sin confirmar",TRIM('DATOS'!B185&amp;"")&lt;&gt;"Por decidir",TRIM('DATOS'!B185&amp;"")&lt;&gt;"Por comprobar")),NOT(AND(LEN(TRIM('DATOS'!C185&amp;""))&gt;0,TRIM('DATOS'!C185&amp;"")&lt;&gt;"Pendiente",TRIM('DATOS'!C185&amp;"")&lt;&gt;"Por confirmar",TRIM('DATOS'!C185&amp;"")&lt;&gt;"No consta",TRIM('DATOS'!C185&amp;"")&lt;&gt;"Desconocido",TRIM('DATOS'!C185&amp;"")&lt;&gt;"Sin confirmar",TRIM('DATOS'!C185&amp;"")&lt;&gt;"Por decidir",TRIM('DATOS'!C185&amp;"")&lt;&gt;"Por comprobar")),NOT(AND(LEN(TRIM('DATOS'!D185&amp;""))&gt;0,TRIM('DATOS'!D185&amp;"")&lt;&gt;"Pendiente",TRIM('DATOS'!D185&amp;"")&lt;&gt;"Por confirmar",TRIM('DATOS'!D185&amp;"")&lt;&gt;"No consta",TRIM('DATOS'!D185&amp;"")&lt;&gt;"Desconocido",TRIM('DATOS'!D185&amp;"")&lt;&gt;"Sin confirmar",TRIM('DATOS'!D185&amp;"")&lt;&gt;"Por decidir",TRIM('DATOS'!D185&amp;"")&lt;&gt;"Por comprobar")),NOT(AND(LEN(TRIM('DATOS'!E185&amp;""))&gt;0,TRIM('DATOS'!E185&amp;"")&lt;&gt;"Pendiente",TRIM('DATOS'!E185&amp;"")&lt;&gt;"Por confirmar",TRIM('DATOS'!E185&amp;"")&lt;&gt;"No consta",TRIM('DATOS'!E185&amp;"")&lt;&gt;"Desconocido",TRIM('DATOS'!E185&amp;"")&lt;&gt;"Sin confirmar",TRIM('DATOS'!E185&amp;"")&lt;&gt;"Por decidir",TRIM('DATOS'!E185&amp;"")&lt;&gt;"Por comprobar")),NOT(AND(LEN(TRIM('DATOS'!F185&amp;""))&gt;0,TRIM('DATOS'!F185&amp;"")&lt;&gt;"Pendiente",TRIM('DATOS'!F185&amp;"")&lt;&gt;"Por confirmar",TRIM('DATOS'!F185&amp;"")&lt;&gt;"No consta",TRIM('DATOS'!F185&amp;"")&lt;&gt;"Desconocido",TRIM('DATOS'!F185&amp;"")&lt;&gt;"Sin confirmar",TRIM('DATOS'!F185&amp;"")&lt;&gt;"Por decidir",TRIM('DATOS'!F185&amp;"")&lt;&gt;"Por comprobar")),NOT(AND(LEN(TRIM('DATOS'!N185&amp;""))&gt;0,TRIM('DATOS'!N185&amp;"")&lt;&gt;"Pendiente",TRIM('DATOS'!N185&amp;"")&lt;&gt;"Por confirmar",TRIM('DATOS'!N185&amp;"")&lt;&gt;"No consta",TRIM('DATOS'!N185&amp;"")&lt;&gt;"Desconocido",TRIM('DATOS'!N185&amp;"")&lt;&gt;"Sin confirmar",TRIM('DATOS'!N185&amp;"")&lt;&gt;"Por decidir",TRIM('DATOS'!N185&amp;"")&lt;&gt;"Por comprobar")),NOT(Y185=1),W185&lt;&gt;1,X185&gt;1,NOT(OR(LEN(TRIM('DATOS'!K185&amp;""))=0,'DATOS'!K185="Sin valorar",'DATOS'!K185="Sin coste documentado",'DATOS'!K185="Incluido en otra partida",'DATOS'!K185="Por confirmar")),NOT(OR(LEN(TRIM('DATOS'!M185&amp;""))=0,'DATOS'!M185="Sí",'DATOS'!M185="No",'DATOS'!M185="Por confirmar")),NOT(OR(LEN(TRIM('DATOS'!O185&amp;""))=0,'DATOS'!O185="Comparamos",'DATOS'!O185="No existe",'DATOS'!O185="Por confirmar"))),2,IF(AND(OR('DATOS'!G185&lt;0,'DATOS'!H185&lt;0,'DATOS'!J185&lt;0),NOT(AND(LEN(TRIM('DATOS'!L185&amp;""))&gt;0,TRIM('DATOS'!L185&amp;"")&lt;&gt;"Pendiente",TRIM('DATOS'!L185&amp;"")&lt;&gt;"Por confirmar",TRIM('DATOS'!L185&amp;"")&lt;&gt;"No consta",TRIM('DATOS'!L185&amp;"")&lt;&gt;"Desconocido",TRIM('DATOS'!L185&amp;"")&lt;&gt;"Sin confirmar",TRIM('DATOS'!L185&amp;"")&lt;&gt;"Por decidir",TRIM('DATOS'!L185&amp;"")&lt;&gt;"Por comprobar"))),1,0))),2)</f>
      </c>
      <c r="P185" s="29">
        <f>IFERROR(IF(N185=0,"",IF(NOT(Y185=1),1,IF('REFERENCIAS'!$Q$8&lt;&gt;1,2,IF(ABS('DATOS'!J185-ROUND('DATOS'!G185*'DATOS'!H185,'REFERENCIAS'!$K$8))&gt;0.00000001,2,IF('DATOS'!O185="No existe",IF(LEN(TRIM('DATOS'!I185&amp;""))=0,0,2),IF('DATOS'!O185="Comparamos",IF(LEN(TRIM('DATOS'!I185&amp;""))=0,1,IF(ISNUMBER('DATOS'!I185),IF(ABS('DATOS'!H185-'DATOS'!I185)&gt;0.00000001,2,0),2)),1)))))),2)</f>
      </c>
      <c r="Q185" s="29">
        <f>IFERROR(IF(N185=0,"",IF(NOT(Y185=1),1,IF('DATOS'!K185="Sin valorar",2,IF('DATOS'!G185=0,1,IF(OR('DATOS'!H185=0,'DATOS'!J185=0),IF(AND(OR('DATOS'!K185="Sin coste documentado",'DATOS'!K185="Incluido en otra partida"),AND(LEN(TRIM('DATOS'!L185&amp;""))&gt;0,TRIM('DATOS'!L185&amp;"")&lt;&gt;"Pendiente",TRIM('DATOS'!L185&amp;"")&lt;&gt;"Por confirmar",TRIM('DATOS'!L185&amp;"")&lt;&gt;"No consta",TRIM('DATOS'!L185&amp;"")&lt;&gt;"Desconocido",TRIM('DATOS'!L185&amp;"")&lt;&gt;"Sin confirmar",TRIM('DATOS'!L185&amp;"")&lt;&gt;"Por decidir",TRIM('DATOS'!L185&amp;"")&lt;&gt;"Por comprobar")),0,1),0))))),2)</f>
      </c>
      <c r="R185" s="29">
        <f>IFERROR(IF(N185=0,"",IF(OR(NOT(AND(LEN(TRIM('DATOS'!D185&amp;""))&gt;0,TRIM('DATOS'!D185&amp;"")&lt;&gt;"Pendiente",TRIM('DATOS'!D185&amp;"")&lt;&gt;"Por confirmar",TRIM('DATOS'!D185&amp;"")&lt;&gt;"No consta",TRIM('DATOS'!D185&amp;"")&lt;&gt;"Desconocido",TRIM('DATOS'!D185&amp;"")&lt;&gt;"Sin confirmar",TRIM('DATOS'!D185&amp;"")&lt;&gt;"Por decidir",TRIM('DATOS'!D185&amp;"")&lt;&gt;"Por comprobar")),NOT(AND(LEN(TRIM('DATOS'!E185&amp;""))&gt;0,TRIM('DATOS'!E185&amp;"")&lt;&gt;"Pendiente",TRIM('DATOS'!E185&amp;"")&lt;&gt;"Por confirmar",TRIM('DATOS'!E185&amp;"")&lt;&gt;"No consta",TRIM('DATOS'!E185&amp;"")&lt;&gt;"Desconocido",TRIM('DATOS'!E185&amp;"")&lt;&gt;"Sin confirmar",TRIM('DATOS'!E185&amp;"")&lt;&gt;"Por decidir",TRIM('DATOS'!E185&amp;"")&lt;&gt;"Por comprobar"))),2,IF('DATOS'!M185="No",2,IF('DATOS'!M185="Sí",0,IF(OR('DATOS'!D185&lt;&gt;'DATOS'!E185,LEN('DATOS'!E185)&gt;300,RIGHT(TRIM('DATOS'!E185),3)="...",RIGHT(TRIM('DATOS'!E185),1)="…"),1,0))))),2)</f>
      </c>
      <c r="S185" s="29">
        <f>IFERROR(IF(N185=0,"",IF('REFERENCIAS'!$Q$8&lt;&gt;1,2,IF(NOT(Y185=1),1,IF(OR(ABS('DATOS'!G185-ROUND('DATOS'!G185,'REFERENCIAS'!$E$8))&gt;0.00000001,ABS('DATOS'!H185-ROUND('DATOS'!H185,'REFERENCIAS'!$H$8))&gt;0.00000001,ABS('DATOS'!J185-ROUND('DATOS'!J185,'REFERENCIAS'!$K$8))&gt;0.00000001,IF(ISNUMBER('DATOS'!I185),ABS('DATOS'!I185-ROUND('DATOS'!I185,'REFERENCIAS'!$H$8))&gt;0.00000001,FALSE)),1,0)))),2)</f>
      </c>
      <c r="T185" s="29">
        <f>IFERROR(IF(N185=0,"",IF(NOT(AND(LEN(TRIM('DATOS'!F185&amp;""))&gt;0,TRIM('DATOS'!F185&amp;"")&lt;&gt;"Pendiente",TRIM('DATOS'!F185&amp;"")&lt;&gt;"Por confirmar",TRIM('DATOS'!F185&amp;"")&lt;&gt;"No consta",TRIM('DATOS'!F185&amp;"")&lt;&gt;"Desconocido",TRIM('DATOS'!F185&amp;"")&lt;&gt;"Sin confirmar",TRIM('DATOS'!F185&amp;"")&lt;&gt;"Por decidir",TRIM('DATOS'!F185&amp;"")&lt;&gt;"Por comprobar")),2,IF(COUNTIFS('REFERENCIAS'!$T$15:$T$34,"ID:"&amp;SUBSTITUTE(SUBSTITUTE(SUBSTITUTE(SUBSTITUTE(UPPER(TRIM('DATOS'!F185&amp;"")),"!","!E"),"*","!A"),"?","!B"),"~","!C"),'REFERENCIAS'!$H$15:$H$34,"&lt;&gt;")&gt;0,0,1))),2)</f>
      </c>
      <c r="U185" s="29" t="str">
        <f>'DATOS'!R185</f>
        <v>ID:</v>
      </c>
      <c r="V185" s="29" t="str">
        <f>'DATOS'!S185</f>
        <v>ID:</v>
      </c>
      <c r="W185" s="29" t="n">
        <f>IF(N185=0,0,COUNTIFS('REFERENCIAS'!$R$15:$R$64,U185))</f>
        <v>0</v>
      </c>
      <c r="X185" s="29" t="n">
        <f>IF(N185=0,0,COUNTIFS('DATOS'!$R$10:$R$509,U185,'DATOS'!$S$10:$S$509,V185))</f>
        <v>0</v>
      </c>
      <c r="Y185" s="29" t="n">
        <f>IF(AND(ISNUMBER('DATOS'!G185),ISNUMBER('DATOS'!H185),ISNUMBER('DATOS'!J185)),1,0)</f>
        <v>0</v>
      </c>
    </row>
    <row r="186" ht="64" customHeight="1">
      <c r="B186" s="26">
        <f>IF(N186=1,177,"")</f>
      </c>
      <c r="C186" s="26">
        <f>IF(AND(N186=1,LEN(TRIM('DATOS'!B186&amp;""))&gt;0),'DATOS'!B186,"")</f>
      </c>
      <c r="D186" s="26">
        <f>IF(AND(N186=1,LEN(TRIM('DATOS'!C186&amp;""))&gt;0),'DATOS'!C186,"")</f>
      </c>
      <c r="E186" s="26">
        <f>IF(NOT(ISNUMBER(P186)),"",IF(P186=2,"ROJO",IF(P186=1,"ÁMBAR","VERDE")))</f>
      </c>
      <c r="F186" s="26">
        <f>IF(NOT(ISNUMBER(Q186)),"",IF(Q186=2,"ROJO",IF(Q186=1,"ÁMBAR","VERDE")))</f>
      </c>
      <c r="G186" s="26">
        <f>IF(NOT(ISNUMBER(R186)),"",IF(R186=2,"ROJO",IF(R186=1,"ÁMBAR","VERDE")))</f>
      </c>
      <c r="H186" s="26">
        <f>IF(NOT(ISNUMBER(S186)),"",IF(S186=2,"ROJO",IF(S186=1,"ÁMBAR","VERDE")))</f>
      </c>
      <c r="I186" s="26">
        <f>IF(NOT(ISNUMBER(T186)),"",IF(T186=2,"ROJO",IF(T186=1,"ÁMBAR","VERDE")))</f>
      </c>
      <c r="J186" s="26">
        <f>IF(NOT(ISNUMBER(O186)),"",IF(O186=2,"ROJO",IF(O186=1,"ÁMBAR","VERDE")))</f>
      </c>
      <c r="K186" s="26">
        <f>IFERROR(IF(AND(N186=1,LEN(TRIM('DATOS'!N186&amp;""))&gt;0),'DATOS'!N186,""),"Hay una entrada con error. Corregimos el dato antes de cerrar la comprobación.")</f>
      </c>
      <c r="L186" s="26">
        <f>IFERROR(IF(N186=0,"",IF(O186&gt;0,"Completamos datos, claves o motivo. ","")&amp;IF(P186&gt;0,"Cotejamos precios e importe. ","")&amp;IF(Q186&gt;0,"Aclaramos el cero. ","")&amp;IF(R186&gt;0,"Comprobamos el texto. ","")&amp;IF(S186&gt;0,"Revisamos decimales visibles. ","")&amp;IF(T186&gt;0,"Confirmamos la unidad.","")),"Hay una entrada con error. Corregimos el dato antes de cerrar la comprobación.")</f>
      </c>
      <c r="N186" s="29" t="n">
        <f>IF(COUNTA('DATOS'!B186:O186)&gt;0,1,0)</f>
        <v>0</v>
      </c>
      <c r="O186" s="29">
        <f>IFERROR(IF(N186=0,"",IF(OR(NOT(AND(LEN(TRIM('DATOS'!B186&amp;""))&gt;0,TRIM('DATOS'!B186&amp;"")&lt;&gt;"Pendiente",TRIM('DATOS'!B186&amp;"")&lt;&gt;"Por confirmar",TRIM('DATOS'!B186&amp;"")&lt;&gt;"No consta",TRIM('DATOS'!B186&amp;"")&lt;&gt;"Desconocido",TRIM('DATOS'!B186&amp;"")&lt;&gt;"Sin confirmar",TRIM('DATOS'!B186&amp;"")&lt;&gt;"Por decidir",TRIM('DATOS'!B186&amp;"")&lt;&gt;"Por comprobar")),NOT(AND(LEN(TRIM('DATOS'!C186&amp;""))&gt;0,TRIM('DATOS'!C186&amp;"")&lt;&gt;"Pendiente",TRIM('DATOS'!C186&amp;"")&lt;&gt;"Por confirmar",TRIM('DATOS'!C186&amp;"")&lt;&gt;"No consta",TRIM('DATOS'!C186&amp;"")&lt;&gt;"Desconocido",TRIM('DATOS'!C186&amp;"")&lt;&gt;"Sin confirmar",TRIM('DATOS'!C186&amp;"")&lt;&gt;"Por decidir",TRIM('DATOS'!C186&amp;"")&lt;&gt;"Por comprobar")),NOT(AND(LEN(TRIM('DATOS'!D186&amp;""))&gt;0,TRIM('DATOS'!D186&amp;"")&lt;&gt;"Pendiente",TRIM('DATOS'!D186&amp;"")&lt;&gt;"Por confirmar",TRIM('DATOS'!D186&amp;"")&lt;&gt;"No consta",TRIM('DATOS'!D186&amp;"")&lt;&gt;"Desconocido",TRIM('DATOS'!D186&amp;"")&lt;&gt;"Sin confirmar",TRIM('DATOS'!D186&amp;"")&lt;&gt;"Por decidir",TRIM('DATOS'!D186&amp;"")&lt;&gt;"Por comprobar")),NOT(AND(LEN(TRIM('DATOS'!E186&amp;""))&gt;0,TRIM('DATOS'!E186&amp;"")&lt;&gt;"Pendiente",TRIM('DATOS'!E186&amp;"")&lt;&gt;"Por confirmar",TRIM('DATOS'!E186&amp;"")&lt;&gt;"No consta",TRIM('DATOS'!E186&amp;"")&lt;&gt;"Desconocido",TRIM('DATOS'!E186&amp;"")&lt;&gt;"Sin confirmar",TRIM('DATOS'!E186&amp;"")&lt;&gt;"Por decidir",TRIM('DATOS'!E186&amp;"")&lt;&gt;"Por comprobar")),NOT(AND(LEN(TRIM('DATOS'!F186&amp;""))&gt;0,TRIM('DATOS'!F186&amp;"")&lt;&gt;"Pendiente",TRIM('DATOS'!F186&amp;"")&lt;&gt;"Por confirmar",TRIM('DATOS'!F186&amp;"")&lt;&gt;"No consta",TRIM('DATOS'!F186&amp;"")&lt;&gt;"Desconocido",TRIM('DATOS'!F186&amp;"")&lt;&gt;"Sin confirmar",TRIM('DATOS'!F186&amp;"")&lt;&gt;"Por decidir",TRIM('DATOS'!F186&amp;"")&lt;&gt;"Por comprobar")),NOT(AND(LEN(TRIM('DATOS'!N186&amp;""))&gt;0,TRIM('DATOS'!N186&amp;"")&lt;&gt;"Pendiente",TRIM('DATOS'!N186&amp;"")&lt;&gt;"Por confirmar",TRIM('DATOS'!N186&amp;"")&lt;&gt;"No consta",TRIM('DATOS'!N186&amp;"")&lt;&gt;"Desconocido",TRIM('DATOS'!N186&amp;"")&lt;&gt;"Sin confirmar",TRIM('DATOS'!N186&amp;"")&lt;&gt;"Por decidir",TRIM('DATOS'!N186&amp;"")&lt;&gt;"Por comprobar")),NOT(Y186=1),W186&lt;&gt;1,X186&gt;1,NOT(OR(LEN(TRIM('DATOS'!K186&amp;""))=0,'DATOS'!K186="Sin valorar",'DATOS'!K186="Sin coste documentado",'DATOS'!K186="Incluido en otra partida",'DATOS'!K186="Por confirmar")),NOT(OR(LEN(TRIM('DATOS'!M186&amp;""))=0,'DATOS'!M186="Sí",'DATOS'!M186="No",'DATOS'!M186="Por confirmar")),NOT(OR(LEN(TRIM('DATOS'!O186&amp;""))=0,'DATOS'!O186="Comparamos",'DATOS'!O186="No existe",'DATOS'!O186="Por confirmar"))),2,IF(AND(OR('DATOS'!G186&lt;0,'DATOS'!H186&lt;0,'DATOS'!J186&lt;0),NOT(AND(LEN(TRIM('DATOS'!L186&amp;""))&gt;0,TRIM('DATOS'!L186&amp;"")&lt;&gt;"Pendiente",TRIM('DATOS'!L186&amp;"")&lt;&gt;"Por confirmar",TRIM('DATOS'!L186&amp;"")&lt;&gt;"No consta",TRIM('DATOS'!L186&amp;"")&lt;&gt;"Desconocido",TRIM('DATOS'!L186&amp;"")&lt;&gt;"Sin confirmar",TRIM('DATOS'!L186&amp;"")&lt;&gt;"Por decidir",TRIM('DATOS'!L186&amp;"")&lt;&gt;"Por comprobar"))),1,0))),2)</f>
      </c>
      <c r="P186" s="29">
        <f>IFERROR(IF(N186=0,"",IF(NOT(Y186=1),1,IF('REFERENCIAS'!$Q$8&lt;&gt;1,2,IF(ABS('DATOS'!J186-ROUND('DATOS'!G186*'DATOS'!H186,'REFERENCIAS'!$K$8))&gt;0.00000001,2,IF('DATOS'!O186="No existe",IF(LEN(TRIM('DATOS'!I186&amp;""))=0,0,2),IF('DATOS'!O186="Comparamos",IF(LEN(TRIM('DATOS'!I186&amp;""))=0,1,IF(ISNUMBER('DATOS'!I186),IF(ABS('DATOS'!H186-'DATOS'!I186)&gt;0.00000001,2,0),2)),1)))))),2)</f>
      </c>
      <c r="Q186" s="29">
        <f>IFERROR(IF(N186=0,"",IF(NOT(Y186=1),1,IF('DATOS'!K186="Sin valorar",2,IF('DATOS'!G186=0,1,IF(OR('DATOS'!H186=0,'DATOS'!J186=0),IF(AND(OR('DATOS'!K186="Sin coste documentado",'DATOS'!K186="Incluido en otra partida"),AND(LEN(TRIM('DATOS'!L186&amp;""))&gt;0,TRIM('DATOS'!L186&amp;"")&lt;&gt;"Pendiente",TRIM('DATOS'!L186&amp;"")&lt;&gt;"Por confirmar",TRIM('DATOS'!L186&amp;"")&lt;&gt;"No consta",TRIM('DATOS'!L186&amp;"")&lt;&gt;"Desconocido",TRIM('DATOS'!L186&amp;"")&lt;&gt;"Sin confirmar",TRIM('DATOS'!L186&amp;"")&lt;&gt;"Por decidir",TRIM('DATOS'!L186&amp;"")&lt;&gt;"Por comprobar")),0,1),0))))),2)</f>
      </c>
      <c r="R186" s="29">
        <f>IFERROR(IF(N186=0,"",IF(OR(NOT(AND(LEN(TRIM('DATOS'!D186&amp;""))&gt;0,TRIM('DATOS'!D186&amp;"")&lt;&gt;"Pendiente",TRIM('DATOS'!D186&amp;"")&lt;&gt;"Por confirmar",TRIM('DATOS'!D186&amp;"")&lt;&gt;"No consta",TRIM('DATOS'!D186&amp;"")&lt;&gt;"Desconocido",TRIM('DATOS'!D186&amp;"")&lt;&gt;"Sin confirmar",TRIM('DATOS'!D186&amp;"")&lt;&gt;"Por decidir",TRIM('DATOS'!D186&amp;"")&lt;&gt;"Por comprobar")),NOT(AND(LEN(TRIM('DATOS'!E186&amp;""))&gt;0,TRIM('DATOS'!E186&amp;"")&lt;&gt;"Pendiente",TRIM('DATOS'!E186&amp;"")&lt;&gt;"Por confirmar",TRIM('DATOS'!E186&amp;"")&lt;&gt;"No consta",TRIM('DATOS'!E186&amp;"")&lt;&gt;"Desconocido",TRIM('DATOS'!E186&amp;"")&lt;&gt;"Sin confirmar",TRIM('DATOS'!E186&amp;"")&lt;&gt;"Por decidir",TRIM('DATOS'!E186&amp;"")&lt;&gt;"Por comprobar"))),2,IF('DATOS'!M186="No",2,IF('DATOS'!M186="Sí",0,IF(OR('DATOS'!D186&lt;&gt;'DATOS'!E186,LEN('DATOS'!E186)&gt;300,RIGHT(TRIM('DATOS'!E186),3)="...",RIGHT(TRIM('DATOS'!E186),1)="…"),1,0))))),2)</f>
      </c>
      <c r="S186" s="29">
        <f>IFERROR(IF(N186=0,"",IF('REFERENCIAS'!$Q$8&lt;&gt;1,2,IF(NOT(Y186=1),1,IF(OR(ABS('DATOS'!G186-ROUND('DATOS'!G186,'REFERENCIAS'!$E$8))&gt;0.00000001,ABS('DATOS'!H186-ROUND('DATOS'!H186,'REFERENCIAS'!$H$8))&gt;0.00000001,ABS('DATOS'!J186-ROUND('DATOS'!J186,'REFERENCIAS'!$K$8))&gt;0.00000001,IF(ISNUMBER('DATOS'!I186),ABS('DATOS'!I186-ROUND('DATOS'!I186,'REFERENCIAS'!$H$8))&gt;0.00000001,FALSE)),1,0)))),2)</f>
      </c>
      <c r="T186" s="29">
        <f>IFERROR(IF(N186=0,"",IF(NOT(AND(LEN(TRIM('DATOS'!F186&amp;""))&gt;0,TRIM('DATOS'!F186&amp;"")&lt;&gt;"Pendiente",TRIM('DATOS'!F186&amp;"")&lt;&gt;"Por confirmar",TRIM('DATOS'!F186&amp;"")&lt;&gt;"No consta",TRIM('DATOS'!F186&amp;"")&lt;&gt;"Desconocido",TRIM('DATOS'!F186&amp;"")&lt;&gt;"Sin confirmar",TRIM('DATOS'!F186&amp;"")&lt;&gt;"Por decidir",TRIM('DATOS'!F186&amp;"")&lt;&gt;"Por comprobar")),2,IF(COUNTIFS('REFERENCIAS'!$T$15:$T$34,"ID:"&amp;SUBSTITUTE(SUBSTITUTE(SUBSTITUTE(SUBSTITUTE(UPPER(TRIM('DATOS'!F186&amp;"")),"!","!E"),"*","!A"),"?","!B"),"~","!C"),'REFERENCIAS'!$H$15:$H$34,"&lt;&gt;")&gt;0,0,1))),2)</f>
      </c>
      <c r="U186" s="29" t="str">
        <f>'DATOS'!R186</f>
        <v>ID:</v>
      </c>
      <c r="V186" s="29" t="str">
        <f>'DATOS'!S186</f>
        <v>ID:</v>
      </c>
      <c r="W186" s="29" t="n">
        <f>IF(N186=0,0,COUNTIFS('REFERENCIAS'!$R$15:$R$64,U186))</f>
        <v>0</v>
      </c>
      <c r="X186" s="29" t="n">
        <f>IF(N186=0,0,COUNTIFS('DATOS'!$R$10:$R$509,U186,'DATOS'!$S$10:$S$509,V186))</f>
        <v>0</v>
      </c>
      <c r="Y186" s="29" t="n">
        <f>IF(AND(ISNUMBER('DATOS'!G186),ISNUMBER('DATOS'!H186),ISNUMBER('DATOS'!J186)),1,0)</f>
        <v>0</v>
      </c>
    </row>
    <row r="187" ht="64" customHeight="1">
      <c r="B187" s="26">
        <f>IF(N187=1,178,"")</f>
      </c>
      <c r="C187" s="26">
        <f>IF(AND(N187=1,LEN(TRIM('DATOS'!B187&amp;""))&gt;0),'DATOS'!B187,"")</f>
      </c>
      <c r="D187" s="26">
        <f>IF(AND(N187=1,LEN(TRIM('DATOS'!C187&amp;""))&gt;0),'DATOS'!C187,"")</f>
      </c>
      <c r="E187" s="26">
        <f>IF(NOT(ISNUMBER(P187)),"",IF(P187=2,"ROJO",IF(P187=1,"ÁMBAR","VERDE")))</f>
      </c>
      <c r="F187" s="26">
        <f>IF(NOT(ISNUMBER(Q187)),"",IF(Q187=2,"ROJO",IF(Q187=1,"ÁMBAR","VERDE")))</f>
      </c>
      <c r="G187" s="26">
        <f>IF(NOT(ISNUMBER(R187)),"",IF(R187=2,"ROJO",IF(R187=1,"ÁMBAR","VERDE")))</f>
      </c>
      <c r="H187" s="26">
        <f>IF(NOT(ISNUMBER(S187)),"",IF(S187=2,"ROJO",IF(S187=1,"ÁMBAR","VERDE")))</f>
      </c>
      <c r="I187" s="26">
        <f>IF(NOT(ISNUMBER(T187)),"",IF(T187=2,"ROJO",IF(T187=1,"ÁMBAR","VERDE")))</f>
      </c>
      <c r="J187" s="26">
        <f>IF(NOT(ISNUMBER(O187)),"",IF(O187=2,"ROJO",IF(O187=1,"ÁMBAR","VERDE")))</f>
      </c>
      <c r="K187" s="26">
        <f>IFERROR(IF(AND(N187=1,LEN(TRIM('DATOS'!N187&amp;""))&gt;0),'DATOS'!N187,""),"Hay una entrada con error. Corregimos el dato antes de cerrar la comprobación.")</f>
      </c>
      <c r="L187" s="26">
        <f>IFERROR(IF(N187=0,"",IF(O187&gt;0,"Completamos datos, claves o motivo. ","")&amp;IF(P187&gt;0,"Cotejamos precios e importe. ","")&amp;IF(Q187&gt;0,"Aclaramos el cero. ","")&amp;IF(R187&gt;0,"Comprobamos el texto. ","")&amp;IF(S187&gt;0,"Revisamos decimales visibles. ","")&amp;IF(T187&gt;0,"Confirmamos la unidad.","")),"Hay una entrada con error. Corregimos el dato antes de cerrar la comprobación.")</f>
      </c>
      <c r="N187" s="29" t="n">
        <f>IF(COUNTA('DATOS'!B187:O187)&gt;0,1,0)</f>
        <v>0</v>
      </c>
      <c r="O187" s="29">
        <f>IFERROR(IF(N187=0,"",IF(OR(NOT(AND(LEN(TRIM('DATOS'!B187&amp;""))&gt;0,TRIM('DATOS'!B187&amp;"")&lt;&gt;"Pendiente",TRIM('DATOS'!B187&amp;"")&lt;&gt;"Por confirmar",TRIM('DATOS'!B187&amp;"")&lt;&gt;"No consta",TRIM('DATOS'!B187&amp;"")&lt;&gt;"Desconocido",TRIM('DATOS'!B187&amp;"")&lt;&gt;"Sin confirmar",TRIM('DATOS'!B187&amp;"")&lt;&gt;"Por decidir",TRIM('DATOS'!B187&amp;"")&lt;&gt;"Por comprobar")),NOT(AND(LEN(TRIM('DATOS'!C187&amp;""))&gt;0,TRIM('DATOS'!C187&amp;"")&lt;&gt;"Pendiente",TRIM('DATOS'!C187&amp;"")&lt;&gt;"Por confirmar",TRIM('DATOS'!C187&amp;"")&lt;&gt;"No consta",TRIM('DATOS'!C187&amp;"")&lt;&gt;"Desconocido",TRIM('DATOS'!C187&amp;"")&lt;&gt;"Sin confirmar",TRIM('DATOS'!C187&amp;"")&lt;&gt;"Por decidir",TRIM('DATOS'!C187&amp;"")&lt;&gt;"Por comprobar")),NOT(AND(LEN(TRIM('DATOS'!D187&amp;""))&gt;0,TRIM('DATOS'!D187&amp;"")&lt;&gt;"Pendiente",TRIM('DATOS'!D187&amp;"")&lt;&gt;"Por confirmar",TRIM('DATOS'!D187&amp;"")&lt;&gt;"No consta",TRIM('DATOS'!D187&amp;"")&lt;&gt;"Desconocido",TRIM('DATOS'!D187&amp;"")&lt;&gt;"Sin confirmar",TRIM('DATOS'!D187&amp;"")&lt;&gt;"Por decidir",TRIM('DATOS'!D187&amp;"")&lt;&gt;"Por comprobar")),NOT(AND(LEN(TRIM('DATOS'!E187&amp;""))&gt;0,TRIM('DATOS'!E187&amp;"")&lt;&gt;"Pendiente",TRIM('DATOS'!E187&amp;"")&lt;&gt;"Por confirmar",TRIM('DATOS'!E187&amp;"")&lt;&gt;"No consta",TRIM('DATOS'!E187&amp;"")&lt;&gt;"Desconocido",TRIM('DATOS'!E187&amp;"")&lt;&gt;"Sin confirmar",TRIM('DATOS'!E187&amp;"")&lt;&gt;"Por decidir",TRIM('DATOS'!E187&amp;"")&lt;&gt;"Por comprobar")),NOT(AND(LEN(TRIM('DATOS'!F187&amp;""))&gt;0,TRIM('DATOS'!F187&amp;"")&lt;&gt;"Pendiente",TRIM('DATOS'!F187&amp;"")&lt;&gt;"Por confirmar",TRIM('DATOS'!F187&amp;"")&lt;&gt;"No consta",TRIM('DATOS'!F187&amp;"")&lt;&gt;"Desconocido",TRIM('DATOS'!F187&amp;"")&lt;&gt;"Sin confirmar",TRIM('DATOS'!F187&amp;"")&lt;&gt;"Por decidir",TRIM('DATOS'!F187&amp;"")&lt;&gt;"Por comprobar")),NOT(AND(LEN(TRIM('DATOS'!N187&amp;""))&gt;0,TRIM('DATOS'!N187&amp;"")&lt;&gt;"Pendiente",TRIM('DATOS'!N187&amp;"")&lt;&gt;"Por confirmar",TRIM('DATOS'!N187&amp;"")&lt;&gt;"No consta",TRIM('DATOS'!N187&amp;"")&lt;&gt;"Desconocido",TRIM('DATOS'!N187&amp;"")&lt;&gt;"Sin confirmar",TRIM('DATOS'!N187&amp;"")&lt;&gt;"Por decidir",TRIM('DATOS'!N187&amp;"")&lt;&gt;"Por comprobar")),NOT(Y187=1),W187&lt;&gt;1,X187&gt;1,NOT(OR(LEN(TRIM('DATOS'!K187&amp;""))=0,'DATOS'!K187="Sin valorar",'DATOS'!K187="Sin coste documentado",'DATOS'!K187="Incluido en otra partida",'DATOS'!K187="Por confirmar")),NOT(OR(LEN(TRIM('DATOS'!M187&amp;""))=0,'DATOS'!M187="Sí",'DATOS'!M187="No",'DATOS'!M187="Por confirmar")),NOT(OR(LEN(TRIM('DATOS'!O187&amp;""))=0,'DATOS'!O187="Comparamos",'DATOS'!O187="No existe",'DATOS'!O187="Por confirmar"))),2,IF(AND(OR('DATOS'!G187&lt;0,'DATOS'!H187&lt;0,'DATOS'!J187&lt;0),NOT(AND(LEN(TRIM('DATOS'!L187&amp;""))&gt;0,TRIM('DATOS'!L187&amp;"")&lt;&gt;"Pendiente",TRIM('DATOS'!L187&amp;"")&lt;&gt;"Por confirmar",TRIM('DATOS'!L187&amp;"")&lt;&gt;"No consta",TRIM('DATOS'!L187&amp;"")&lt;&gt;"Desconocido",TRIM('DATOS'!L187&amp;"")&lt;&gt;"Sin confirmar",TRIM('DATOS'!L187&amp;"")&lt;&gt;"Por decidir",TRIM('DATOS'!L187&amp;"")&lt;&gt;"Por comprobar"))),1,0))),2)</f>
      </c>
      <c r="P187" s="29">
        <f>IFERROR(IF(N187=0,"",IF(NOT(Y187=1),1,IF('REFERENCIAS'!$Q$8&lt;&gt;1,2,IF(ABS('DATOS'!J187-ROUND('DATOS'!G187*'DATOS'!H187,'REFERENCIAS'!$K$8))&gt;0.00000001,2,IF('DATOS'!O187="No existe",IF(LEN(TRIM('DATOS'!I187&amp;""))=0,0,2),IF('DATOS'!O187="Comparamos",IF(LEN(TRIM('DATOS'!I187&amp;""))=0,1,IF(ISNUMBER('DATOS'!I187),IF(ABS('DATOS'!H187-'DATOS'!I187)&gt;0.00000001,2,0),2)),1)))))),2)</f>
      </c>
      <c r="Q187" s="29">
        <f>IFERROR(IF(N187=0,"",IF(NOT(Y187=1),1,IF('DATOS'!K187="Sin valorar",2,IF('DATOS'!G187=0,1,IF(OR('DATOS'!H187=0,'DATOS'!J187=0),IF(AND(OR('DATOS'!K187="Sin coste documentado",'DATOS'!K187="Incluido en otra partida"),AND(LEN(TRIM('DATOS'!L187&amp;""))&gt;0,TRIM('DATOS'!L187&amp;"")&lt;&gt;"Pendiente",TRIM('DATOS'!L187&amp;"")&lt;&gt;"Por confirmar",TRIM('DATOS'!L187&amp;"")&lt;&gt;"No consta",TRIM('DATOS'!L187&amp;"")&lt;&gt;"Desconocido",TRIM('DATOS'!L187&amp;"")&lt;&gt;"Sin confirmar",TRIM('DATOS'!L187&amp;"")&lt;&gt;"Por decidir",TRIM('DATOS'!L187&amp;"")&lt;&gt;"Por comprobar")),0,1),0))))),2)</f>
      </c>
      <c r="R187" s="29">
        <f>IFERROR(IF(N187=0,"",IF(OR(NOT(AND(LEN(TRIM('DATOS'!D187&amp;""))&gt;0,TRIM('DATOS'!D187&amp;"")&lt;&gt;"Pendiente",TRIM('DATOS'!D187&amp;"")&lt;&gt;"Por confirmar",TRIM('DATOS'!D187&amp;"")&lt;&gt;"No consta",TRIM('DATOS'!D187&amp;"")&lt;&gt;"Desconocido",TRIM('DATOS'!D187&amp;"")&lt;&gt;"Sin confirmar",TRIM('DATOS'!D187&amp;"")&lt;&gt;"Por decidir",TRIM('DATOS'!D187&amp;"")&lt;&gt;"Por comprobar")),NOT(AND(LEN(TRIM('DATOS'!E187&amp;""))&gt;0,TRIM('DATOS'!E187&amp;"")&lt;&gt;"Pendiente",TRIM('DATOS'!E187&amp;"")&lt;&gt;"Por confirmar",TRIM('DATOS'!E187&amp;"")&lt;&gt;"No consta",TRIM('DATOS'!E187&amp;"")&lt;&gt;"Desconocido",TRIM('DATOS'!E187&amp;"")&lt;&gt;"Sin confirmar",TRIM('DATOS'!E187&amp;"")&lt;&gt;"Por decidir",TRIM('DATOS'!E187&amp;"")&lt;&gt;"Por comprobar"))),2,IF('DATOS'!M187="No",2,IF('DATOS'!M187="Sí",0,IF(OR('DATOS'!D187&lt;&gt;'DATOS'!E187,LEN('DATOS'!E187)&gt;300,RIGHT(TRIM('DATOS'!E187),3)="...",RIGHT(TRIM('DATOS'!E187),1)="…"),1,0))))),2)</f>
      </c>
      <c r="S187" s="29">
        <f>IFERROR(IF(N187=0,"",IF('REFERENCIAS'!$Q$8&lt;&gt;1,2,IF(NOT(Y187=1),1,IF(OR(ABS('DATOS'!G187-ROUND('DATOS'!G187,'REFERENCIAS'!$E$8))&gt;0.00000001,ABS('DATOS'!H187-ROUND('DATOS'!H187,'REFERENCIAS'!$H$8))&gt;0.00000001,ABS('DATOS'!J187-ROUND('DATOS'!J187,'REFERENCIAS'!$K$8))&gt;0.00000001,IF(ISNUMBER('DATOS'!I187),ABS('DATOS'!I187-ROUND('DATOS'!I187,'REFERENCIAS'!$H$8))&gt;0.00000001,FALSE)),1,0)))),2)</f>
      </c>
      <c r="T187" s="29">
        <f>IFERROR(IF(N187=0,"",IF(NOT(AND(LEN(TRIM('DATOS'!F187&amp;""))&gt;0,TRIM('DATOS'!F187&amp;"")&lt;&gt;"Pendiente",TRIM('DATOS'!F187&amp;"")&lt;&gt;"Por confirmar",TRIM('DATOS'!F187&amp;"")&lt;&gt;"No consta",TRIM('DATOS'!F187&amp;"")&lt;&gt;"Desconocido",TRIM('DATOS'!F187&amp;"")&lt;&gt;"Sin confirmar",TRIM('DATOS'!F187&amp;"")&lt;&gt;"Por decidir",TRIM('DATOS'!F187&amp;"")&lt;&gt;"Por comprobar")),2,IF(COUNTIFS('REFERENCIAS'!$T$15:$T$34,"ID:"&amp;SUBSTITUTE(SUBSTITUTE(SUBSTITUTE(SUBSTITUTE(UPPER(TRIM('DATOS'!F187&amp;"")),"!","!E"),"*","!A"),"?","!B"),"~","!C"),'REFERENCIAS'!$H$15:$H$34,"&lt;&gt;")&gt;0,0,1))),2)</f>
      </c>
      <c r="U187" s="29" t="str">
        <f>'DATOS'!R187</f>
        <v>ID:</v>
      </c>
      <c r="V187" s="29" t="str">
        <f>'DATOS'!S187</f>
        <v>ID:</v>
      </c>
      <c r="W187" s="29" t="n">
        <f>IF(N187=0,0,COUNTIFS('REFERENCIAS'!$R$15:$R$64,U187))</f>
        <v>0</v>
      </c>
      <c r="X187" s="29" t="n">
        <f>IF(N187=0,0,COUNTIFS('DATOS'!$R$10:$R$509,U187,'DATOS'!$S$10:$S$509,V187))</f>
        <v>0</v>
      </c>
      <c r="Y187" s="29" t="n">
        <f>IF(AND(ISNUMBER('DATOS'!G187),ISNUMBER('DATOS'!H187),ISNUMBER('DATOS'!J187)),1,0)</f>
        <v>0</v>
      </c>
    </row>
    <row r="188" ht="64" customHeight="1">
      <c r="B188" s="26">
        <f>IF(N188=1,179,"")</f>
      </c>
      <c r="C188" s="26">
        <f>IF(AND(N188=1,LEN(TRIM('DATOS'!B188&amp;""))&gt;0),'DATOS'!B188,"")</f>
      </c>
      <c r="D188" s="26">
        <f>IF(AND(N188=1,LEN(TRIM('DATOS'!C188&amp;""))&gt;0),'DATOS'!C188,"")</f>
      </c>
      <c r="E188" s="26">
        <f>IF(NOT(ISNUMBER(P188)),"",IF(P188=2,"ROJO",IF(P188=1,"ÁMBAR","VERDE")))</f>
      </c>
      <c r="F188" s="26">
        <f>IF(NOT(ISNUMBER(Q188)),"",IF(Q188=2,"ROJO",IF(Q188=1,"ÁMBAR","VERDE")))</f>
      </c>
      <c r="G188" s="26">
        <f>IF(NOT(ISNUMBER(R188)),"",IF(R188=2,"ROJO",IF(R188=1,"ÁMBAR","VERDE")))</f>
      </c>
      <c r="H188" s="26">
        <f>IF(NOT(ISNUMBER(S188)),"",IF(S188=2,"ROJO",IF(S188=1,"ÁMBAR","VERDE")))</f>
      </c>
      <c r="I188" s="26">
        <f>IF(NOT(ISNUMBER(T188)),"",IF(T188=2,"ROJO",IF(T188=1,"ÁMBAR","VERDE")))</f>
      </c>
      <c r="J188" s="26">
        <f>IF(NOT(ISNUMBER(O188)),"",IF(O188=2,"ROJO",IF(O188=1,"ÁMBAR","VERDE")))</f>
      </c>
      <c r="K188" s="26">
        <f>IFERROR(IF(AND(N188=1,LEN(TRIM('DATOS'!N188&amp;""))&gt;0),'DATOS'!N188,""),"Hay una entrada con error. Corregimos el dato antes de cerrar la comprobación.")</f>
      </c>
      <c r="L188" s="26">
        <f>IFERROR(IF(N188=0,"",IF(O188&gt;0,"Completamos datos, claves o motivo. ","")&amp;IF(P188&gt;0,"Cotejamos precios e importe. ","")&amp;IF(Q188&gt;0,"Aclaramos el cero. ","")&amp;IF(R188&gt;0,"Comprobamos el texto. ","")&amp;IF(S188&gt;0,"Revisamos decimales visibles. ","")&amp;IF(T188&gt;0,"Confirmamos la unidad.","")),"Hay una entrada con error. Corregimos el dato antes de cerrar la comprobación.")</f>
      </c>
      <c r="N188" s="29" t="n">
        <f>IF(COUNTA('DATOS'!B188:O188)&gt;0,1,0)</f>
        <v>0</v>
      </c>
      <c r="O188" s="29">
        <f>IFERROR(IF(N188=0,"",IF(OR(NOT(AND(LEN(TRIM('DATOS'!B188&amp;""))&gt;0,TRIM('DATOS'!B188&amp;"")&lt;&gt;"Pendiente",TRIM('DATOS'!B188&amp;"")&lt;&gt;"Por confirmar",TRIM('DATOS'!B188&amp;"")&lt;&gt;"No consta",TRIM('DATOS'!B188&amp;"")&lt;&gt;"Desconocido",TRIM('DATOS'!B188&amp;"")&lt;&gt;"Sin confirmar",TRIM('DATOS'!B188&amp;"")&lt;&gt;"Por decidir",TRIM('DATOS'!B188&amp;"")&lt;&gt;"Por comprobar")),NOT(AND(LEN(TRIM('DATOS'!C188&amp;""))&gt;0,TRIM('DATOS'!C188&amp;"")&lt;&gt;"Pendiente",TRIM('DATOS'!C188&amp;"")&lt;&gt;"Por confirmar",TRIM('DATOS'!C188&amp;"")&lt;&gt;"No consta",TRIM('DATOS'!C188&amp;"")&lt;&gt;"Desconocido",TRIM('DATOS'!C188&amp;"")&lt;&gt;"Sin confirmar",TRIM('DATOS'!C188&amp;"")&lt;&gt;"Por decidir",TRIM('DATOS'!C188&amp;"")&lt;&gt;"Por comprobar")),NOT(AND(LEN(TRIM('DATOS'!D188&amp;""))&gt;0,TRIM('DATOS'!D188&amp;"")&lt;&gt;"Pendiente",TRIM('DATOS'!D188&amp;"")&lt;&gt;"Por confirmar",TRIM('DATOS'!D188&amp;"")&lt;&gt;"No consta",TRIM('DATOS'!D188&amp;"")&lt;&gt;"Desconocido",TRIM('DATOS'!D188&amp;"")&lt;&gt;"Sin confirmar",TRIM('DATOS'!D188&amp;"")&lt;&gt;"Por decidir",TRIM('DATOS'!D188&amp;"")&lt;&gt;"Por comprobar")),NOT(AND(LEN(TRIM('DATOS'!E188&amp;""))&gt;0,TRIM('DATOS'!E188&amp;"")&lt;&gt;"Pendiente",TRIM('DATOS'!E188&amp;"")&lt;&gt;"Por confirmar",TRIM('DATOS'!E188&amp;"")&lt;&gt;"No consta",TRIM('DATOS'!E188&amp;"")&lt;&gt;"Desconocido",TRIM('DATOS'!E188&amp;"")&lt;&gt;"Sin confirmar",TRIM('DATOS'!E188&amp;"")&lt;&gt;"Por decidir",TRIM('DATOS'!E188&amp;"")&lt;&gt;"Por comprobar")),NOT(AND(LEN(TRIM('DATOS'!F188&amp;""))&gt;0,TRIM('DATOS'!F188&amp;"")&lt;&gt;"Pendiente",TRIM('DATOS'!F188&amp;"")&lt;&gt;"Por confirmar",TRIM('DATOS'!F188&amp;"")&lt;&gt;"No consta",TRIM('DATOS'!F188&amp;"")&lt;&gt;"Desconocido",TRIM('DATOS'!F188&amp;"")&lt;&gt;"Sin confirmar",TRIM('DATOS'!F188&amp;"")&lt;&gt;"Por decidir",TRIM('DATOS'!F188&amp;"")&lt;&gt;"Por comprobar")),NOT(AND(LEN(TRIM('DATOS'!N188&amp;""))&gt;0,TRIM('DATOS'!N188&amp;"")&lt;&gt;"Pendiente",TRIM('DATOS'!N188&amp;"")&lt;&gt;"Por confirmar",TRIM('DATOS'!N188&amp;"")&lt;&gt;"No consta",TRIM('DATOS'!N188&amp;"")&lt;&gt;"Desconocido",TRIM('DATOS'!N188&amp;"")&lt;&gt;"Sin confirmar",TRIM('DATOS'!N188&amp;"")&lt;&gt;"Por decidir",TRIM('DATOS'!N188&amp;"")&lt;&gt;"Por comprobar")),NOT(Y188=1),W188&lt;&gt;1,X188&gt;1,NOT(OR(LEN(TRIM('DATOS'!K188&amp;""))=0,'DATOS'!K188="Sin valorar",'DATOS'!K188="Sin coste documentado",'DATOS'!K188="Incluido en otra partida",'DATOS'!K188="Por confirmar")),NOT(OR(LEN(TRIM('DATOS'!M188&amp;""))=0,'DATOS'!M188="Sí",'DATOS'!M188="No",'DATOS'!M188="Por confirmar")),NOT(OR(LEN(TRIM('DATOS'!O188&amp;""))=0,'DATOS'!O188="Comparamos",'DATOS'!O188="No existe",'DATOS'!O188="Por confirmar"))),2,IF(AND(OR('DATOS'!G188&lt;0,'DATOS'!H188&lt;0,'DATOS'!J188&lt;0),NOT(AND(LEN(TRIM('DATOS'!L188&amp;""))&gt;0,TRIM('DATOS'!L188&amp;"")&lt;&gt;"Pendiente",TRIM('DATOS'!L188&amp;"")&lt;&gt;"Por confirmar",TRIM('DATOS'!L188&amp;"")&lt;&gt;"No consta",TRIM('DATOS'!L188&amp;"")&lt;&gt;"Desconocido",TRIM('DATOS'!L188&amp;"")&lt;&gt;"Sin confirmar",TRIM('DATOS'!L188&amp;"")&lt;&gt;"Por decidir",TRIM('DATOS'!L188&amp;"")&lt;&gt;"Por comprobar"))),1,0))),2)</f>
      </c>
      <c r="P188" s="29">
        <f>IFERROR(IF(N188=0,"",IF(NOT(Y188=1),1,IF('REFERENCIAS'!$Q$8&lt;&gt;1,2,IF(ABS('DATOS'!J188-ROUND('DATOS'!G188*'DATOS'!H188,'REFERENCIAS'!$K$8))&gt;0.00000001,2,IF('DATOS'!O188="No existe",IF(LEN(TRIM('DATOS'!I188&amp;""))=0,0,2),IF('DATOS'!O188="Comparamos",IF(LEN(TRIM('DATOS'!I188&amp;""))=0,1,IF(ISNUMBER('DATOS'!I188),IF(ABS('DATOS'!H188-'DATOS'!I188)&gt;0.00000001,2,0),2)),1)))))),2)</f>
      </c>
      <c r="Q188" s="29">
        <f>IFERROR(IF(N188=0,"",IF(NOT(Y188=1),1,IF('DATOS'!K188="Sin valorar",2,IF('DATOS'!G188=0,1,IF(OR('DATOS'!H188=0,'DATOS'!J188=0),IF(AND(OR('DATOS'!K188="Sin coste documentado",'DATOS'!K188="Incluido en otra partida"),AND(LEN(TRIM('DATOS'!L188&amp;""))&gt;0,TRIM('DATOS'!L188&amp;"")&lt;&gt;"Pendiente",TRIM('DATOS'!L188&amp;"")&lt;&gt;"Por confirmar",TRIM('DATOS'!L188&amp;"")&lt;&gt;"No consta",TRIM('DATOS'!L188&amp;"")&lt;&gt;"Desconocido",TRIM('DATOS'!L188&amp;"")&lt;&gt;"Sin confirmar",TRIM('DATOS'!L188&amp;"")&lt;&gt;"Por decidir",TRIM('DATOS'!L188&amp;"")&lt;&gt;"Por comprobar")),0,1),0))))),2)</f>
      </c>
      <c r="R188" s="29">
        <f>IFERROR(IF(N188=0,"",IF(OR(NOT(AND(LEN(TRIM('DATOS'!D188&amp;""))&gt;0,TRIM('DATOS'!D188&amp;"")&lt;&gt;"Pendiente",TRIM('DATOS'!D188&amp;"")&lt;&gt;"Por confirmar",TRIM('DATOS'!D188&amp;"")&lt;&gt;"No consta",TRIM('DATOS'!D188&amp;"")&lt;&gt;"Desconocido",TRIM('DATOS'!D188&amp;"")&lt;&gt;"Sin confirmar",TRIM('DATOS'!D188&amp;"")&lt;&gt;"Por decidir",TRIM('DATOS'!D188&amp;"")&lt;&gt;"Por comprobar")),NOT(AND(LEN(TRIM('DATOS'!E188&amp;""))&gt;0,TRIM('DATOS'!E188&amp;"")&lt;&gt;"Pendiente",TRIM('DATOS'!E188&amp;"")&lt;&gt;"Por confirmar",TRIM('DATOS'!E188&amp;"")&lt;&gt;"No consta",TRIM('DATOS'!E188&amp;"")&lt;&gt;"Desconocido",TRIM('DATOS'!E188&amp;"")&lt;&gt;"Sin confirmar",TRIM('DATOS'!E188&amp;"")&lt;&gt;"Por decidir",TRIM('DATOS'!E188&amp;"")&lt;&gt;"Por comprobar"))),2,IF('DATOS'!M188="No",2,IF('DATOS'!M188="Sí",0,IF(OR('DATOS'!D188&lt;&gt;'DATOS'!E188,LEN('DATOS'!E188)&gt;300,RIGHT(TRIM('DATOS'!E188),3)="...",RIGHT(TRIM('DATOS'!E188),1)="…"),1,0))))),2)</f>
      </c>
      <c r="S188" s="29">
        <f>IFERROR(IF(N188=0,"",IF('REFERENCIAS'!$Q$8&lt;&gt;1,2,IF(NOT(Y188=1),1,IF(OR(ABS('DATOS'!G188-ROUND('DATOS'!G188,'REFERENCIAS'!$E$8))&gt;0.00000001,ABS('DATOS'!H188-ROUND('DATOS'!H188,'REFERENCIAS'!$H$8))&gt;0.00000001,ABS('DATOS'!J188-ROUND('DATOS'!J188,'REFERENCIAS'!$K$8))&gt;0.00000001,IF(ISNUMBER('DATOS'!I188),ABS('DATOS'!I188-ROUND('DATOS'!I188,'REFERENCIAS'!$H$8))&gt;0.00000001,FALSE)),1,0)))),2)</f>
      </c>
      <c r="T188" s="29">
        <f>IFERROR(IF(N188=0,"",IF(NOT(AND(LEN(TRIM('DATOS'!F188&amp;""))&gt;0,TRIM('DATOS'!F188&amp;"")&lt;&gt;"Pendiente",TRIM('DATOS'!F188&amp;"")&lt;&gt;"Por confirmar",TRIM('DATOS'!F188&amp;"")&lt;&gt;"No consta",TRIM('DATOS'!F188&amp;"")&lt;&gt;"Desconocido",TRIM('DATOS'!F188&amp;"")&lt;&gt;"Sin confirmar",TRIM('DATOS'!F188&amp;"")&lt;&gt;"Por decidir",TRIM('DATOS'!F188&amp;"")&lt;&gt;"Por comprobar")),2,IF(COUNTIFS('REFERENCIAS'!$T$15:$T$34,"ID:"&amp;SUBSTITUTE(SUBSTITUTE(SUBSTITUTE(SUBSTITUTE(UPPER(TRIM('DATOS'!F188&amp;"")),"!","!E"),"*","!A"),"?","!B"),"~","!C"),'REFERENCIAS'!$H$15:$H$34,"&lt;&gt;")&gt;0,0,1))),2)</f>
      </c>
      <c r="U188" s="29" t="str">
        <f>'DATOS'!R188</f>
        <v>ID:</v>
      </c>
      <c r="V188" s="29" t="str">
        <f>'DATOS'!S188</f>
        <v>ID:</v>
      </c>
      <c r="W188" s="29" t="n">
        <f>IF(N188=0,0,COUNTIFS('REFERENCIAS'!$R$15:$R$64,U188))</f>
        <v>0</v>
      </c>
      <c r="X188" s="29" t="n">
        <f>IF(N188=0,0,COUNTIFS('DATOS'!$R$10:$R$509,U188,'DATOS'!$S$10:$S$509,V188))</f>
        <v>0</v>
      </c>
      <c r="Y188" s="29" t="n">
        <f>IF(AND(ISNUMBER('DATOS'!G188),ISNUMBER('DATOS'!H188),ISNUMBER('DATOS'!J188)),1,0)</f>
        <v>0</v>
      </c>
    </row>
    <row r="189" ht="64" customHeight="1">
      <c r="B189" s="26">
        <f>IF(N189=1,180,"")</f>
      </c>
      <c r="C189" s="26">
        <f>IF(AND(N189=1,LEN(TRIM('DATOS'!B189&amp;""))&gt;0),'DATOS'!B189,"")</f>
      </c>
      <c r="D189" s="26">
        <f>IF(AND(N189=1,LEN(TRIM('DATOS'!C189&amp;""))&gt;0),'DATOS'!C189,"")</f>
      </c>
      <c r="E189" s="26">
        <f>IF(NOT(ISNUMBER(P189)),"",IF(P189=2,"ROJO",IF(P189=1,"ÁMBAR","VERDE")))</f>
      </c>
      <c r="F189" s="26">
        <f>IF(NOT(ISNUMBER(Q189)),"",IF(Q189=2,"ROJO",IF(Q189=1,"ÁMBAR","VERDE")))</f>
      </c>
      <c r="G189" s="26">
        <f>IF(NOT(ISNUMBER(R189)),"",IF(R189=2,"ROJO",IF(R189=1,"ÁMBAR","VERDE")))</f>
      </c>
      <c r="H189" s="26">
        <f>IF(NOT(ISNUMBER(S189)),"",IF(S189=2,"ROJO",IF(S189=1,"ÁMBAR","VERDE")))</f>
      </c>
      <c r="I189" s="26">
        <f>IF(NOT(ISNUMBER(T189)),"",IF(T189=2,"ROJO",IF(T189=1,"ÁMBAR","VERDE")))</f>
      </c>
      <c r="J189" s="26">
        <f>IF(NOT(ISNUMBER(O189)),"",IF(O189=2,"ROJO",IF(O189=1,"ÁMBAR","VERDE")))</f>
      </c>
      <c r="K189" s="26">
        <f>IFERROR(IF(AND(N189=1,LEN(TRIM('DATOS'!N189&amp;""))&gt;0),'DATOS'!N189,""),"Hay una entrada con error. Corregimos el dato antes de cerrar la comprobación.")</f>
      </c>
      <c r="L189" s="26">
        <f>IFERROR(IF(N189=0,"",IF(O189&gt;0,"Completamos datos, claves o motivo. ","")&amp;IF(P189&gt;0,"Cotejamos precios e importe. ","")&amp;IF(Q189&gt;0,"Aclaramos el cero. ","")&amp;IF(R189&gt;0,"Comprobamos el texto. ","")&amp;IF(S189&gt;0,"Revisamos decimales visibles. ","")&amp;IF(T189&gt;0,"Confirmamos la unidad.","")),"Hay una entrada con error. Corregimos el dato antes de cerrar la comprobación.")</f>
      </c>
      <c r="N189" s="29" t="n">
        <f>IF(COUNTA('DATOS'!B189:O189)&gt;0,1,0)</f>
        <v>0</v>
      </c>
      <c r="O189" s="29">
        <f>IFERROR(IF(N189=0,"",IF(OR(NOT(AND(LEN(TRIM('DATOS'!B189&amp;""))&gt;0,TRIM('DATOS'!B189&amp;"")&lt;&gt;"Pendiente",TRIM('DATOS'!B189&amp;"")&lt;&gt;"Por confirmar",TRIM('DATOS'!B189&amp;"")&lt;&gt;"No consta",TRIM('DATOS'!B189&amp;"")&lt;&gt;"Desconocido",TRIM('DATOS'!B189&amp;"")&lt;&gt;"Sin confirmar",TRIM('DATOS'!B189&amp;"")&lt;&gt;"Por decidir",TRIM('DATOS'!B189&amp;"")&lt;&gt;"Por comprobar")),NOT(AND(LEN(TRIM('DATOS'!C189&amp;""))&gt;0,TRIM('DATOS'!C189&amp;"")&lt;&gt;"Pendiente",TRIM('DATOS'!C189&amp;"")&lt;&gt;"Por confirmar",TRIM('DATOS'!C189&amp;"")&lt;&gt;"No consta",TRIM('DATOS'!C189&amp;"")&lt;&gt;"Desconocido",TRIM('DATOS'!C189&amp;"")&lt;&gt;"Sin confirmar",TRIM('DATOS'!C189&amp;"")&lt;&gt;"Por decidir",TRIM('DATOS'!C189&amp;"")&lt;&gt;"Por comprobar")),NOT(AND(LEN(TRIM('DATOS'!D189&amp;""))&gt;0,TRIM('DATOS'!D189&amp;"")&lt;&gt;"Pendiente",TRIM('DATOS'!D189&amp;"")&lt;&gt;"Por confirmar",TRIM('DATOS'!D189&amp;"")&lt;&gt;"No consta",TRIM('DATOS'!D189&amp;"")&lt;&gt;"Desconocido",TRIM('DATOS'!D189&amp;"")&lt;&gt;"Sin confirmar",TRIM('DATOS'!D189&amp;"")&lt;&gt;"Por decidir",TRIM('DATOS'!D189&amp;"")&lt;&gt;"Por comprobar")),NOT(AND(LEN(TRIM('DATOS'!E189&amp;""))&gt;0,TRIM('DATOS'!E189&amp;"")&lt;&gt;"Pendiente",TRIM('DATOS'!E189&amp;"")&lt;&gt;"Por confirmar",TRIM('DATOS'!E189&amp;"")&lt;&gt;"No consta",TRIM('DATOS'!E189&amp;"")&lt;&gt;"Desconocido",TRIM('DATOS'!E189&amp;"")&lt;&gt;"Sin confirmar",TRIM('DATOS'!E189&amp;"")&lt;&gt;"Por decidir",TRIM('DATOS'!E189&amp;"")&lt;&gt;"Por comprobar")),NOT(AND(LEN(TRIM('DATOS'!F189&amp;""))&gt;0,TRIM('DATOS'!F189&amp;"")&lt;&gt;"Pendiente",TRIM('DATOS'!F189&amp;"")&lt;&gt;"Por confirmar",TRIM('DATOS'!F189&amp;"")&lt;&gt;"No consta",TRIM('DATOS'!F189&amp;"")&lt;&gt;"Desconocido",TRIM('DATOS'!F189&amp;"")&lt;&gt;"Sin confirmar",TRIM('DATOS'!F189&amp;"")&lt;&gt;"Por decidir",TRIM('DATOS'!F189&amp;"")&lt;&gt;"Por comprobar")),NOT(AND(LEN(TRIM('DATOS'!N189&amp;""))&gt;0,TRIM('DATOS'!N189&amp;"")&lt;&gt;"Pendiente",TRIM('DATOS'!N189&amp;"")&lt;&gt;"Por confirmar",TRIM('DATOS'!N189&amp;"")&lt;&gt;"No consta",TRIM('DATOS'!N189&amp;"")&lt;&gt;"Desconocido",TRIM('DATOS'!N189&amp;"")&lt;&gt;"Sin confirmar",TRIM('DATOS'!N189&amp;"")&lt;&gt;"Por decidir",TRIM('DATOS'!N189&amp;"")&lt;&gt;"Por comprobar")),NOT(Y189=1),W189&lt;&gt;1,X189&gt;1,NOT(OR(LEN(TRIM('DATOS'!K189&amp;""))=0,'DATOS'!K189="Sin valorar",'DATOS'!K189="Sin coste documentado",'DATOS'!K189="Incluido en otra partida",'DATOS'!K189="Por confirmar")),NOT(OR(LEN(TRIM('DATOS'!M189&amp;""))=0,'DATOS'!M189="Sí",'DATOS'!M189="No",'DATOS'!M189="Por confirmar")),NOT(OR(LEN(TRIM('DATOS'!O189&amp;""))=0,'DATOS'!O189="Comparamos",'DATOS'!O189="No existe",'DATOS'!O189="Por confirmar"))),2,IF(AND(OR('DATOS'!G189&lt;0,'DATOS'!H189&lt;0,'DATOS'!J189&lt;0),NOT(AND(LEN(TRIM('DATOS'!L189&amp;""))&gt;0,TRIM('DATOS'!L189&amp;"")&lt;&gt;"Pendiente",TRIM('DATOS'!L189&amp;"")&lt;&gt;"Por confirmar",TRIM('DATOS'!L189&amp;"")&lt;&gt;"No consta",TRIM('DATOS'!L189&amp;"")&lt;&gt;"Desconocido",TRIM('DATOS'!L189&amp;"")&lt;&gt;"Sin confirmar",TRIM('DATOS'!L189&amp;"")&lt;&gt;"Por decidir",TRIM('DATOS'!L189&amp;"")&lt;&gt;"Por comprobar"))),1,0))),2)</f>
      </c>
      <c r="P189" s="29">
        <f>IFERROR(IF(N189=0,"",IF(NOT(Y189=1),1,IF('REFERENCIAS'!$Q$8&lt;&gt;1,2,IF(ABS('DATOS'!J189-ROUND('DATOS'!G189*'DATOS'!H189,'REFERENCIAS'!$K$8))&gt;0.00000001,2,IF('DATOS'!O189="No existe",IF(LEN(TRIM('DATOS'!I189&amp;""))=0,0,2),IF('DATOS'!O189="Comparamos",IF(LEN(TRIM('DATOS'!I189&amp;""))=0,1,IF(ISNUMBER('DATOS'!I189),IF(ABS('DATOS'!H189-'DATOS'!I189)&gt;0.00000001,2,0),2)),1)))))),2)</f>
      </c>
      <c r="Q189" s="29">
        <f>IFERROR(IF(N189=0,"",IF(NOT(Y189=1),1,IF('DATOS'!K189="Sin valorar",2,IF('DATOS'!G189=0,1,IF(OR('DATOS'!H189=0,'DATOS'!J189=0),IF(AND(OR('DATOS'!K189="Sin coste documentado",'DATOS'!K189="Incluido en otra partida"),AND(LEN(TRIM('DATOS'!L189&amp;""))&gt;0,TRIM('DATOS'!L189&amp;"")&lt;&gt;"Pendiente",TRIM('DATOS'!L189&amp;"")&lt;&gt;"Por confirmar",TRIM('DATOS'!L189&amp;"")&lt;&gt;"No consta",TRIM('DATOS'!L189&amp;"")&lt;&gt;"Desconocido",TRIM('DATOS'!L189&amp;"")&lt;&gt;"Sin confirmar",TRIM('DATOS'!L189&amp;"")&lt;&gt;"Por decidir",TRIM('DATOS'!L189&amp;"")&lt;&gt;"Por comprobar")),0,1),0))))),2)</f>
      </c>
      <c r="R189" s="29">
        <f>IFERROR(IF(N189=0,"",IF(OR(NOT(AND(LEN(TRIM('DATOS'!D189&amp;""))&gt;0,TRIM('DATOS'!D189&amp;"")&lt;&gt;"Pendiente",TRIM('DATOS'!D189&amp;"")&lt;&gt;"Por confirmar",TRIM('DATOS'!D189&amp;"")&lt;&gt;"No consta",TRIM('DATOS'!D189&amp;"")&lt;&gt;"Desconocido",TRIM('DATOS'!D189&amp;"")&lt;&gt;"Sin confirmar",TRIM('DATOS'!D189&amp;"")&lt;&gt;"Por decidir",TRIM('DATOS'!D189&amp;"")&lt;&gt;"Por comprobar")),NOT(AND(LEN(TRIM('DATOS'!E189&amp;""))&gt;0,TRIM('DATOS'!E189&amp;"")&lt;&gt;"Pendiente",TRIM('DATOS'!E189&amp;"")&lt;&gt;"Por confirmar",TRIM('DATOS'!E189&amp;"")&lt;&gt;"No consta",TRIM('DATOS'!E189&amp;"")&lt;&gt;"Desconocido",TRIM('DATOS'!E189&amp;"")&lt;&gt;"Sin confirmar",TRIM('DATOS'!E189&amp;"")&lt;&gt;"Por decidir",TRIM('DATOS'!E189&amp;"")&lt;&gt;"Por comprobar"))),2,IF('DATOS'!M189="No",2,IF('DATOS'!M189="Sí",0,IF(OR('DATOS'!D189&lt;&gt;'DATOS'!E189,LEN('DATOS'!E189)&gt;300,RIGHT(TRIM('DATOS'!E189),3)="...",RIGHT(TRIM('DATOS'!E189),1)="…"),1,0))))),2)</f>
      </c>
      <c r="S189" s="29">
        <f>IFERROR(IF(N189=0,"",IF('REFERENCIAS'!$Q$8&lt;&gt;1,2,IF(NOT(Y189=1),1,IF(OR(ABS('DATOS'!G189-ROUND('DATOS'!G189,'REFERENCIAS'!$E$8))&gt;0.00000001,ABS('DATOS'!H189-ROUND('DATOS'!H189,'REFERENCIAS'!$H$8))&gt;0.00000001,ABS('DATOS'!J189-ROUND('DATOS'!J189,'REFERENCIAS'!$K$8))&gt;0.00000001,IF(ISNUMBER('DATOS'!I189),ABS('DATOS'!I189-ROUND('DATOS'!I189,'REFERENCIAS'!$H$8))&gt;0.00000001,FALSE)),1,0)))),2)</f>
      </c>
      <c r="T189" s="29">
        <f>IFERROR(IF(N189=0,"",IF(NOT(AND(LEN(TRIM('DATOS'!F189&amp;""))&gt;0,TRIM('DATOS'!F189&amp;"")&lt;&gt;"Pendiente",TRIM('DATOS'!F189&amp;"")&lt;&gt;"Por confirmar",TRIM('DATOS'!F189&amp;"")&lt;&gt;"No consta",TRIM('DATOS'!F189&amp;"")&lt;&gt;"Desconocido",TRIM('DATOS'!F189&amp;"")&lt;&gt;"Sin confirmar",TRIM('DATOS'!F189&amp;"")&lt;&gt;"Por decidir",TRIM('DATOS'!F189&amp;"")&lt;&gt;"Por comprobar")),2,IF(COUNTIFS('REFERENCIAS'!$T$15:$T$34,"ID:"&amp;SUBSTITUTE(SUBSTITUTE(SUBSTITUTE(SUBSTITUTE(UPPER(TRIM('DATOS'!F189&amp;"")),"!","!E"),"*","!A"),"?","!B"),"~","!C"),'REFERENCIAS'!$H$15:$H$34,"&lt;&gt;")&gt;0,0,1))),2)</f>
      </c>
      <c r="U189" s="29" t="str">
        <f>'DATOS'!R189</f>
        <v>ID:</v>
      </c>
      <c r="V189" s="29" t="str">
        <f>'DATOS'!S189</f>
        <v>ID:</v>
      </c>
      <c r="W189" s="29" t="n">
        <f>IF(N189=0,0,COUNTIFS('REFERENCIAS'!$R$15:$R$64,U189))</f>
        <v>0</v>
      </c>
      <c r="X189" s="29" t="n">
        <f>IF(N189=0,0,COUNTIFS('DATOS'!$R$10:$R$509,U189,'DATOS'!$S$10:$S$509,V189))</f>
        <v>0</v>
      </c>
      <c r="Y189" s="29" t="n">
        <f>IF(AND(ISNUMBER('DATOS'!G189),ISNUMBER('DATOS'!H189),ISNUMBER('DATOS'!J189)),1,0)</f>
        <v>0</v>
      </c>
    </row>
    <row r="190" ht="64" customHeight="1">
      <c r="B190" s="26">
        <f>IF(N190=1,181,"")</f>
      </c>
      <c r="C190" s="26">
        <f>IF(AND(N190=1,LEN(TRIM('DATOS'!B190&amp;""))&gt;0),'DATOS'!B190,"")</f>
      </c>
      <c r="D190" s="26">
        <f>IF(AND(N190=1,LEN(TRIM('DATOS'!C190&amp;""))&gt;0),'DATOS'!C190,"")</f>
      </c>
      <c r="E190" s="26">
        <f>IF(NOT(ISNUMBER(P190)),"",IF(P190=2,"ROJO",IF(P190=1,"ÁMBAR","VERDE")))</f>
      </c>
      <c r="F190" s="26">
        <f>IF(NOT(ISNUMBER(Q190)),"",IF(Q190=2,"ROJO",IF(Q190=1,"ÁMBAR","VERDE")))</f>
      </c>
      <c r="G190" s="26">
        <f>IF(NOT(ISNUMBER(R190)),"",IF(R190=2,"ROJO",IF(R190=1,"ÁMBAR","VERDE")))</f>
      </c>
      <c r="H190" s="26">
        <f>IF(NOT(ISNUMBER(S190)),"",IF(S190=2,"ROJO",IF(S190=1,"ÁMBAR","VERDE")))</f>
      </c>
      <c r="I190" s="26">
        <f>IF(NOT(ISNUMBER(T190)),"",IF(T190=2,"ROJO",IF(T190=1,"ÁMBAR","VERDE")))</f>
      </c>
      <c r="J190" s="26">
        <f>IF(NOT(ISNUMBER(O190)),"",IF(O190=2,"ROJO",IF(O190=1,"ÁMBAR","VERDE")))</f>
      </c>
      <c r="K190" s="26">
        <f>IFERROR(IF(AND(N190=1,LEN(TRIM('DATOS'!N190&amp;""))&gt;0),'DATOS'!N190,""),"Hay una entrada con error. Corregimos el dato antes de cerrar la comprobación.")</f>
      </c>
      <c r="L190" s="26">
        <f>IFERROR(IF(N190=0,"",IF(O190&gt;0,"Completamos datos, claves o motivo. ","")&amp;IF(P190&gt;0,"Cotejamos precios e importe. ","")&amp;IF(Q190&gt;0,"Aclaramos el cero. ","")&amp;IF(R190&gt;0,"Comprobamos el texto. ","")&amp;IF(S190&gt;0,"Revisamos decimales visibles. ","")&amp;IF(T190&gt;0,"Confirmamos la unidad.","")),"Hay una entrada con error. Corregimos el dato antes de cerrar la comprobación.")</f>
      </c>
      <c r="N190" s="29" t="n">
        <f>IF(COUNTA('DATOS'!B190:O190)&gt;0,1,0)</f>
        <v>0</v>
      </c>
      <c r="O190" s="29">
        <f>IFERROR(IF(N190=0,"",IF(OR(NOT(AND(LEN(TRIM('DATOS'!B190&amp;""))&gt;0,TRIM('DATOS'!B190&amp;"")&lt;&gt;"Pendiente",TRIM('DATOS'!B190&amp;"")&lt;&gt;"Por confirmar",TRIM('DATOS'!B190&amp;"")&lt;&gt;"No consta",TRIM('DATOS'!B190&amp;"")&lt;&gt;"Desconocido",TRIM('DATOS'!B190&amp;"")&lt;&gt;"Sin confirmar",TRIM('DATOS'!B190&amp;"")&lt;&gt;"Por decidir",TRIM('DATOS'!B190&amp;"")&lt;&gt;"Por comprobar")),NOT(AND(LEN(TRIM('DATOS'!C190&amp;""))&gt;0,TRIM('DATOS'!C190&amp;"")&lt;&gt;"Pendiente",TRIM('DATOS'!C190&amp;"")&lt;&gt;"Por confirmar",TRIM('DATOS'!C190&amp;"")&lt;&gt;"No consta",TRIM('DATOS'!C190&amp;"")&lt;&gt;"Desconocido",TRIM('DATOS'!C190&amp;"")&lt;&gt;"Sin confirmar",TRIM('DATOS'!C190&amp;"")&lt;&gt;"Por decidir",TRIM('DATOS'!C190&amp;"")&lt;&gt;"Por comprobar")),NOT(AND(LEN(TRIM('DATOS'!D190&amp;""))&gt;0,TRIM('DATOS'!D190&amp;"")&lt;&gt;"Pendiente",TRIM('DATOS'!D190&amp;"")&lt;&gt;"Por confirmar",TRIM('DATOS'!D190&amp;"")&lt;&gt;"No consta",TRIM('DATOS'!D190&amp;"")&lt;&gt;"Desconocido",TRIM('DATOS'!D190&amp;"")&lt;&gt;"Sin confirmar",TRIM('DATOS'!D190&amp;"")&lt;&gt;"Por decidir",TRIM('DATOS'!D190&amp;"")&lt;&gt;"Por comprobar")),NOT(AND(LEN(TRIM('DATOS'!E190&amp;""))&gt;0,TRIM('DATOS'!E190&amp;"")&lt;&gt;"Pendiente",TRIM('DATOS'!E190&amp;"")&lt;&gt;"Por confirmar",TRIM('DATOS'!E190&amp;"")&lt;&gt;"No consta",TRIM('DATOS'!E190&amp;"")&lt;&gt;"Desconocido",TRIM('DATOS'!E190&amp;"")&lt;&gt;"Sin confirmar",TRIM('DATOS'!E190&amp;"")&lt;&gt;"Por decidir",TRIM('DATOS'!E190&amp;"")&lt;&gt;"Por comprobar")),NOT(AND(LEN(TRIM('DATOS'!F190&amp;""))&gt;0,TRIM('DATOS'!F190&amp;"")&lt;&gt;"Pendiente",TRIM('DATOS'!F190&amp;"")&lt;&gt;"Por confirmar",TRIM('DATOS'!F190&amp;"")&lt;&gt;"No consta",TRIM('DATOS'!F190&amp;"")&lt;&gt;"Desconocido",TRIM('DATOS'!F190&amp;"")&lt;&gt;"Sin confirmar",TRIM('DATOS'!F190&amp;"")&lt;&gt;"Por decidir",TRIM('DATOS'!F190&amp;"")&lt;&gt;"Por comprobar")),NOT(AND(LEN(TRIM('DATOS'!N190&amp;""))&gt;0,TRIM('DATOS'!N190&amp;"")&lt;&gt;"Pendiente",TRIM('DATOS'!N190&amp;"")&lt;&gt;"Por confirmar",TRIM('DATOS'!N190&amp;"")&lt;&gt;"No consta",TRIM('DATOS'!N190&amp;"")&lt;&gt;"Desconocido",TRIM('DATOS'!N190&amp;"")&lt;&gt;"Sin confirmar",TRIM('DATOS'!N190&amp;"")&lt;&gt;"Por decidir",TRIM('DATOS'!N190&amp;"")&lt;&gt;"Por comprobar")),NOT(Y190=1),W190&lt;&gt;1,X190&gt;1,NOT(OR(LEN(TRIM('DATOS'!K190&amp;""))=0,'DATOS'!K190="Sin valorar",'DATOS'!K190="Sin coste documentado",'DATOS'!K190="Incluido en otra partida",'DATOS'!K190="Por confirmar")),NOT(OR(LEN(TRIM('DATOS'!M190&amp;""))=0,'DATOS'!M190="Sí",'DATOS'!M190="No",'DATOS'!M190="Por confirmar")),NOT(OR(LEN(TRIM('DATOS'!O190&amp;""))=0,'DATOS'!O190="Comparamos",'DATOS'!O190="No existe",'DATOS'!O190="Por confirmar"))),2,IF(AND(OR('DATOS'!G190&lt;0,'DATOS'!H190&lt;0,'DATOS'!J190&lt;0),NOT(AND(LEN(TRIM('DATOS'!L190&amp;""))&gt;0,TRIM('DATOS'!L190&amp;"")&lt;&gt;"Pendiente",TRIM('DATOS'!L190&amp;"")&lt;&gt;"Por confirmar",TRIM('DATOS'!L190&amp;"")&lt;&gt;"No consta",TRIM('DATOS'!L190&amp;"")&lt;&gt;"Desconocido",TRIM('DATOS'!L190&amp;"")&lt;&gt;"Sin confirmar",TRIM('DATOS'!L190&amp;"")&lt;&gt;"Por decidir",TRIM('DATOS'!L190&amp;"")&lt;&gt;"Por comprobar"))),1,0))),2)</f>
      </c>
      <c r="P190" s="29">
        <f>IFERROR(IF(N190=0,"",IF(NOT(Y190=1),1,IF('REFERENCIAS'!$Q$8&lt;&gt;1,2,IF(ABS('DATOS'!J190-ROUND('DATOS'!G190*'DATOS'!H190,'REFERENCIAS'!$K$8))&gt;0.00000001,2,IF('DATOS'!O190="No existe",IF(LEN(TRIM('DATOS'!I190&amp;""))=0,0,2),IF('DATOS'!O190="Comparamos",IF(LEN(TRIM('DATOS'!I190&amp;""))=0,1,IF(ISNUMBER('DATOS'!I190),IF(ABS('DATOS'!H190-'DATOS'!I190)&gt;0.00000001,2,0),2)),1)))))),2)</f>
      </c>
      <c r="Q190" s="29">
        <f>IFERROR(IF(N190=0,"",IF(NOT(Y190=1),1,IF('DATOS'!K190="Sin valorar",2,IF('DATOS'!G190=0,1,IF(OR('DATOS'!H190=0,'DATOS'!J190=0),IF(AND(OR('DATOS'!K190="Sin coste documentado",'DATOS'!K190="Incluido en otra partida"),AND(LEN(TRIM('DATOS'!L190&amp;""))&gt;0,TRIM('DATOS'!L190&amp;"")&lt;&gt;"Pendiente",TRIM('DATOS'!L190&amp;"")&lt;&gt;"Por confirmar",TRIM('DATOS'!L190&amp;"")&lt;&gt;"No consta",TRIM('DATOS'!L190&amp;"")&lt;&gt;"Desconocido",TRIM('DATOS'!L190&amp;"")&lt;&gt;"Sin confirmar",TRIM('DATOS'!L190&amp;"")&lt;&gt;"Por decidir",TRIM('DATOS'!L190&amp;"")&lt;&gt;"Por comprobar")),0,1),0))))),2)</f>
      </c>
      <c r="R190" s="29">
        <f>IFERROR(IF(N190=0,"",IF(OR(NOT(AND(LEN(TRIM('DATOS'!D190&amp;""))&gt;0,TRIM('DATOS'!D190&amp;"")&lt;&gt;"Pendiente",TRIM('DATOS'!D190&amp;"")&lt;&gt;"Por confirmar",TRIM('DATOS'!D190&amp;"")&lt;&gt;"No consta",TRIM('DATOS'!D190&amp;"")&lt;&gt;"Desconocido",TRIM('DATOS'!D190&amp;"")&lt;&gt;"Sin confirmar",TRIM('DATOS'!D190&amp;"")&lt;&gt;"Por decidir",TRIM('DATOS'!D190&amp;"")&lt;&gt;"Por comprobar")),NOT(AND(LEN(TRIM('DATOS'!E190&amp;""))&gt;0,TRIM('DATOS'!E190&amp;"")&lt;&gt;"Pendiente",TRIM('DATOS'!E190&amp;"")&lt;&gt;"Por confirmar",TRIM('DATOS'!E190&amp;"")&lt;&gt;"No consta",TRIM('DATOS'!E190&amp;"")&lt;&gt;"Desconocido",TRIM('DATOS'!E190&amp;"")&lt;&gt;"Sin confirmar",TRIM('DATOS'!E190&amp;"")&lt;&gt;"Por decidir",TRIM('DATOS'!E190&amp;"")&lt;&gt;"Por comprobar"))),2,IF('DATOS'!M190="No",2,IF('DATOS'!M190="Sí",0,IF(OR('DATOS'!D190&lt;&gt;'DATOS'!E190,LEN('DATOS'!E190)&gt;300,RIGHT(TRIM('DATOS'!E190),3)="...",RIGHT(TRIM('DATOS'!E190),1)="…"),1,0))))),2)</f>
      </c>
      <c r="S190" s="29">
        <f>IFERROR(IF(N190=0,"",IF('REFERENCIAS'!$Q$8&lt;&gt;1,2,IF(NOT(Y190=1),1,IF(OR(ABS('DATOS'!G190-ROUND('DATOS'!G190,'REFERENCIAS'!$E$8))&gt;0.00000001,ABS('DATOS'!H190-ROUND('DATOS'!H190,'REFERENCIAS'!$H$8))&gt;0.00000001,ABS('DATOS'!J190-ROUND('DATOS'!J190,'REFERENCIAS'!$K$8))&gt;0.00000001,IF(ISNUMBER('DATOS'!I190),ABS('DATOS'!I190-ROUND('DATOS'!I190,'REFERENCIAS'!$H$8))&gt;0.00000001,FALSE)),1,0)))),2)</f>
      </c>
      <c r="T190" s="29">
        <f>IFERROR(IF(N190=0,"",IF(NOT(AND(LEN(TRIM('DATOS'!F190&amp;""))&gt;0,TRIM('DATOS'!F190&amp;"")&lt;&gt;"Pendiente",TRIM('DATOS'!F190&amp;"")&lt;&gt;"Por confirmar",TRIM('DATOS'!F190&amp;"")&lt;&gt;"No consta",TRIM('DATOS'!F190&amp;"")&lt;&gt;"Desconocido",TRIM('DATOS'!F190&amp;"")&lt;&gt;"Sin confirmar",TRIM('DATOS'!F190&amp;"")&lt;&gt;"Por decidir",TRIM('DATOS'!F190&amp;"")&lt;&gt;"Por comprobar")),2,IF(COUNTIFS('REFERENCIAS'!$T$15:$T$34,"ID:"&amp;SUBSTITUTE(SUBSTITUTE(SUBSTITUTE(SUBSTITUTE(UPPER(TRIM('DATOS'!F190&amp;"")),"!","!E"),"*","!A"),"?","!B"),"~","!C"),'REFERENCIAS'!$H$15:$H$34,"&lt;&gt;")&gt;0,0,1))),2)</f>
      </c>
      <c r="U190" s="29" t="str">
        <f>'DATOS'!R190</f>
        <v>ID:</v>
      </c>
      <c r="V190" s="29" t="str">
        <f>'DATOS'!S190</f>
        <v>ID:</v>
      </c>
      <c r="W190" s="29" t="n">
        <f>IF(N190=0,0,COUNTIFS('REFERENCIAS'!$R$15:$R$64,U190))</f>
        <v>0</v>
      </c>
      <c r="X190" s="29" t="n">
        <f>IF(N190=0,0,COUNTIFS('DATOS'!$R$10:$R$509,U190,'DATOS'!$S$10:$S$509,V190))</f>
        <v>0</v>
      </c>
      <c r="Y190" s="29" t="n">
        <f>IF(AND(ISNUMBER('DATOS'!G190),ISNUMBER('DATOS'!H190),ISNUMBER('DATOS'!J190)),1,0)</f>
        <v>0</v>
      </c>
    </row>
    <row r="191" ht="64" customHeight="1">
      <c r="B191" s="26">
        <f>IF(N191=1,182,"")</f>
      </c>
      <c r="C191" s="26">
        <f>IF(AND(N191=1,LEN(TRIM('DATOS'!B191&amp;""))&gt;0),'DATOS'!B191,"")</f>
      </c>
      <c r="D191" s="26">
        <f>IF(AND(N191=1,LEN(TRIM('DATOS'!C191&amp;""))&gt;0),'DATOS'!C191,"")</f>
      </c>
      <c r="E191" s="26">
        <f>IF(NOT(ISNUMBER(P191)),"",IF(P191=2,"ROJO",IF(P191=1,"ÁMBAR","VERDE")))</f>
      </c>
      <c r="F191" s="26">
        <f>IF(NOT(ISNUMBER(Q191)),"",IF(Q191=2,"ROJO",IF(Q191=1,"ÁMBAR","VERDE")))</f>
      </c>
      <c r="G191" s="26">
        <f>IF(NOT(ISNUMBER(R191)),"",IF(R191=2,"ROJO",IF(R191=1,"ÁMBAR","VERDE")))</f>
      </c>
      <c r="H191" s="26">
        <f>IF(NOT(ISNUMBER(S191)),"",IF(S191=2,"ROJO",IF(S191=1,"ÁMBAR","VERDE")))</f>
      </c>
      <c r="I191" s="26">
        <f>IF(NOT(ISNUMBER(T191)),"",IF(T191=2,"ROJO",IF(T191=1,"ÁMBAR","VERDE")))</f>
      </c>
      <c r="J191" s="26">
        <f>IF(NOT(ISNUMBER(O191)),"",IF(O191=2,"ROJO",IF(O191=1,"ÁMBAR","VERDE")))</f>
      </c>
      <c r="K191" s="26">
        <f>IFERROR(IF(AND(N191=1,LEN(TRIM('DATOS'!N191&amp;""))&gt;0),'DATOS'!N191,""),"Hay una entrada con error. Corregimos el dato antes de cerrar la comprobación.")</f>
      </c>
      <c r="L191" s="26">
        <f>IFERROR(IF(N191=0,"",IF(O191&gt;0,"Completamos datos, claves o motivo. ","")&amp;IF(P191&gt;0,"Cotejamos precios e importe. ","")&amp;IF(Q191&gt;0,"Aclaramos el cero. ","")&amp;IF(R191&gt;0,"Comprobamos el texto. ","")&amp;IF(S191&gt;0,"Revisamos decimales visibles. ","")&amp;IF(T191&gt;0,"Confirmamos la unidad.","")),"Hay una entrada con error. Corregimos el dato antes de cerrar la comprobación.")</f>
      </c>
      <c r="N191" s="29" t="n">
        <f>IF(COUNTA('DATOS'!B191:O191)&gt;0,1,0)</f>
        <v>0</v>
      </c>
      <c r="O191" s="29">
        <f>IFERROR(IF(N191=0,"",IF(OR(NOT(AND(LEN(TRIM('DATOS'!B191&amp;""))&gt;0,TRIM('DATOS'!B191&amp;"")&lt;&gt;"Pendiente",TRIM('DATOS'!B191&amp;"")&lt;&gt;"Por confirmar",TRIM('DATOS'!B191&amp;"")&lt;&gt;"No consta",TRIM('DATOS'!B191&amp;"")&lt;&gt;"Desconocido",TRIM('DATOS'!B191&amp;"")&lt;&gt;"Sin confirmar",TRIM('DATOS'!B191&amp;"")&lt;&gt;"Por decidir",TRIM('DATOS'!B191&amp;"")&lt;&gt;"Por comprobar")),NOT(AND(LEN(TRIM('DATOS'!C191&amp;""))&gt;0,TRIM('DATOS'!C191&amp;"")&lt;&gt;"Pendiente",TRIM('DATOS'!C191&amp;"")&lt;&gt;"Por confirmar",TRIM('DATOS'!C191&amp;"")&lt;&gt;"No consta",TRIM('DATOS'!C191&amp;"")&lt;&gt;"Desconocido",TRIM('DATOS'!C191&amp;"")&lt;&gt;"Sin confirmar",TRIM('DATOS'!C191&amp;"")&lt;&gt;"Por decidir",TRIM('DATOS'!C191&amp;"")&lt;&gt;"Por comprobar")),NOT(AND(LEN(TRIM('DATOS'!D191&amp;""))&gt;0,TRIM('DATOS'!D191&amp;"")&lt;&gt;"Pendiente",TRIM('DATOS'!D191&amp;"")&lt;&gt;"Por confirmar",TRIM('DATOS'!D191&amp;"")&lt;&gt;"No consta",TRIM('DATOS'!D191&amp;"")&lt;&gt;"Desconocido",TRIM('DATOS'!D191&amp;"")&lt;&gt;"Sin confirmar",TRIM('DATOS'!D191&amp;"")&lt;&gt;"Por decidir",TRIM('DATOS'!D191&amp;"")&lt;&gt;"Por comprobar")),NOT(AND(LEN(TRIM('DATOS'!E191&amp;""))&gt;0,TRIM('DATOS'!E191&amp;"")&lt;&gt;"Pendiente",TRIM('DATOS'!E191&amp;"")&lt;&gt;"Por confirmar",TRIM('DATOS'!E191&amp;"")&lt;&gt;"No consta",TRIM('DATOS'!E191&amp;"")&lt;&gt;"Desconocido",TRIM('DATOS'!E191&amp;"")&lt;&gt;"Sin confirmar",TRIM('DATOS'!E191&amp;"")&lt;&gt;"Por decidir",TRIM('DATOS'!E191&amp;"")&lt;&gt;"Por comprobar")),NOT(AND(LEN(TRIM('DATOS'!F191&amp;""))&gt;0,TRIM('DATOS'!F191&amp;"")&lt;&gt;"Pendiente",TRIM('DATOS'!F191&amp;"")&lt;&gt;"Por confirmar",TRIM('DATOS'!F191&amp;"")&lt;&gt;"No consta",TRIM('DATOS'!F191&amp;"")&lt;&gt;"Desconocido",TRIM('DATOS'!F191&amp;"")&lt;&gt;"Sin confirmar",TRIM('DATOS'!F191&amp;"")&lt;&gt;"Por decidir",TRIM('DATOS'!F191&amp;"")&lt;&gt;"Por comprobar")),NOT(AND(LEN(TRIM('DATOS'!N191&amp;""))&gt;0,TRIM('DATOS'!N191&amp;"")&lt;&gt;"Pendiente",TRIM('DATOS'!N191&amp;"")&lt;&gt;"Por confirmar",TRIM('DATOS'!N191&amp;"")&lt;&gt;"No consta",TRIM('DATOS'!N191&amp;"")&lt;&gt;"Desconocido",TRIM('DATOS'!N191&amp;"")&lt;&gt;"Sin confirmar",TRIM('DATOS'!N191&amp;"")&lt;&gt;"Por decidir",TRIM('DATOS'!N191&amp;"")&lt;&gt;"Por comprobar")),NOT(Y191=1),W191&lt;&gt;1,X191&gt;1,NOT(OR(LEN(TRIM('DATOS'!K191&amp;""))=0,'DATOS'!K191="Sin valorar",'DATOS'!K191="Sin coste documentado",'DATOS'!K191="Incluido en otra partida",'DATOS'!K191="Por confirmar")),NOT(OR(LEN(TRIM('DATOS'!M191&amp;""))=0,'DATOS'!M191="Sí",'DATOS'!M191="No",'DATOS'!M191="Por confirmar")),NOT(OR(LEN(TRIM('DATOS'!O191&amp;""))=0,'DATOS'!O191="Comparamos",'DATOS'!O191="No existe",'DATOS'!O191="Por confirmar"))),2,IF(AND(OR('DATOS'!G191&lt;0,'DATOS'!H191&lt;0,'DATOS'!J191&lt;0),NOT(AND(LEN(TRIM('DATOS'!L191&amp;""))&gt;0,TRIM('DATOS'!L191&amp;"")&lt;&gt;"Pendiente",TRIM('DATOS'!L191&amp;"")&lt;&gt;"Por confirmar",TRIM('DATOS'!L191&amp;"")&lt;&gt;"No consta",TRIM('DATOS'!L191&amp;"")&lt;&gt;"Desconocido",TRIM('DATOS'!L191&amp;"")&lt;&gt;"Sin confirmar",TRIM('DATOS'!L191&amp;"")&lt;&gt;"Por decidir",TRIM('DATOS'!L191&amp;"")&lt;&gt;"Por comprobar"))),1,0))),2)</f>
      </c>
      <c r="P191" s="29">
        <f>IFERROR(IF(N191=0,"",IF(NOT(Y191=1),1,IF('REFERENCIAS'!$Q$8&lt;&gt;1,2,IF(ABS('DATOS'!J191-ROUND('DATOS'!G191*'DATOS'!H191,'REFERENCIAS'!$K$8))&gt;0.00000001,2,IF('DATOS'!O191="No existe",IF(LEN(TRIM('DATOS'!I191&amp;""))=0,0,2),IF('DATOS'!O191="Comparamos",IF(LEN(TRIM('DATOS'!I191&amp;""))=0,1,IF(ISNUMBER('DATOS'!I191),IF(ABS('DATOS'!H191-'DATOS'!I191)&gt;0.00000001,2,0),2)),1)))))),2)</f>
      </c>
      <c r="Q191" s="29">
        <f>IFERROR(IF(N191=0,"",IF(NOT(Y191=1),1,IF('DATOS'!K191="Sin valorar",2,IF('DATOS'!G191=0,1,IF(OR('DATOS'!H191=0,'DATOS'!J191=0),IF(AND(OR('DATOS'!K191="Sin coste documentado",'DATOS'!K191="Incluido en otra partida"),AND(LEN(TRIM('DATOS'!L191&amp;""))&gt;0,TRIM('DATOS'!L191&amp;"")&lt;&gt;"Pendiente",TRIM('DATOS'!L191&amp;"")&lt;&gt;"Por confirmar",TRIM('DATOS'!L191&amp;"")&lt;&gt;"No consta",TRIM('DATOS'!L191&amp;"")&lt;&gt;"Desconocido",TRIM('DATOS'!L191&amp;"")&lt;&gt;"Sin confirmar",TRIM('DATOS'!L191&amp;"")&lt;&gt;"Por decidir",TRIM('DATOS'!L191&amp;"")&lt;&gt;"Por comprobar")),0,1),0))))),2)</f>
      </c>
      <c r="R191" s="29">
        <f>IFERROR(IF(N191=0,"",IF(OR(NOT(AND(LEN(TRIM('DATOS'!D191&amp;""))&gt;0,TRIM('DATOS'!D191&amp;"")&lt;&gt;"Pendiente",TRIM('DATOS'!D191&amp;"")&lt;&gt;"Por confirmar",TRIM('DATOS'!D191&amp;"")&lt;&gt;"No consta",TRIM('DATOS'!D191&amp;"")&lt;&gt;"Desconocido",TRIM('DATOS'!D191&amp;"")&lt;&gt;"Sin confirmar",TRIM('DATOS'!D191&amp;"")&lt;&gt;"Por decidir",TRIM('DATOS'!D191&amp;"")&lt;&gt;"Por comprobar")),NOT(AND(LEN(TRIM('DATOS'!E191&amp;""))&gt;0,TRIM('DATOS'!E191&amp;"")&lt;&gt;"Pendiente",TRIM('DATOS'!E191&amp;"")&lt;&gt;"Por confirmar",TRIM('DATOS'!E191&amp;"")&lt;&gt;"No consta",TRIM('DATOS'!E191&amp;"")&lt;&gt;"Desconocido",TRIM('DATOS'!E191&amp;"")&lt;&gt;"Sin confirmar",TRIM('DATOS'!E191&amp;"")&lt;&gt;"Por decidir",TRIM('DATOS'!E191&amp;"")&lt;&gt;"Por comprobar"))),2,IF('DATOS'!M191="No",2,IF('DATOS'!M191="Sí",0,IF(OR('DATOS'!D191&lt;&gt;'DATOS'!E191,LEN('DATOS'!E191)&gt;300,RIGHT(TRIM('DATOS'!E191),3)="...",RIGHT(TRIM('DATOS'!E191),1)="…"),1,0))))),2)</f>
      </c>
      <c r="S191" s="29">
        <f>IFERROR(IF(N191=0,"",IF('REFERENCIAS'!$Q$8&lt;&gt;1,2,IF(NOT(Y191=1),1,IF(OR(ABS('DATOS'!G191-ROUND('DATOS'!G191,'REFERENCIAS'!$E$8))&gt;0.00000001,ABS('DATOS'!H191-ROUND('DATOS'!H191,'REFERENCIAS'!$H$8))&gt;0.00000001,ABS('DATOS'!J191-ROUND('DATOS'!J191,'REFERENCIAS'!$K$8))&gt;0.00000001,IF(ISNUMBER('DATOS'!I191),ABS('DATOS'!I191-ROUND('DATOS'!I191,'REFERENCIAS'!$H$8))&gt;0.00000001,FALSE)),1,0)))),2)</f>
      </c>
      <c r="T191" s="29">
        <f>IFERROR(IF(N191=0,"",IF(NOT(AND(LEN(TRIM('DATOS'!F191&amp;""))&gt;0,TRIM('DATOS'!F191&amp;"")&lt;&gt;"Pendiente",TRIM('DATOS'!F191&amp;"")&lt;&gt;"Por confirmar",TRIM('DATOS'!F191&amp;"")&lt;&gt;"No consta",TRIM('DATOS'!F191&amp;"")&lt;&gt;"Desconocido",TRIM('DATOS'!F191&amp;"")&lt;&gt;"Sin confirmar",TRIM('DATOS'!F191&amp;"")&lt;&gt;"Por decidir",TRIM('DATOS'!F191&amp;"")&lt;&gt;"Por comprobar")),2,IF(COUNTIFS('REFERENCIAS'!$T$15:$T$34,"ID:"&amp;SUBSTITUTE(SUBSTITUTE(SUBSTITUTE(SUBSTITUTE(UPPER(TRIM('DATOS'!F191&amp;"")),"!","!E"),"*","!A"),"?","!B"),"~","!C"),'REFERENCIAS'!$H$15:$H$34,"&lt;&gt;")&gt;0,0,1))),2)</f>
      </c>
      <c r="U191" s="29" t="str">
        <f>'DATOS'!R191</f>
        <v>ID:</v>
      </c>
      <c r="V191" s="29" t="str">
        <f>'DATOS'!S191</f>
        <v>ID:</v>
      </c>
      <c r="W191" s="29" t="n">
        <f>IF(N191=0,0,COUNTIFS('REFERENCIAS'!$R$15:$R$64,U191))</f>
        <v>0</v>
      </c>
      <c r="X191" s="29" t="n">
        <f>IF(N191=0,0,COUNTIFS('DATOS'!$R$10:$R$509,U191,'DATOS'!$S$10:$S$509,V191))</f>
        <v>0</v>
      </c>
      <c r="Y191" s="29" t="n">
        <f>IF(AND(ISNUMBER('DATOS'!G191),ISNUMBER('DATOS'!H191),ISNUMBER('DATOS'!J191)),1,0)</f>
        <v>0</v>
      </c>
    </row>
    <row r="192" ht="64" customHeight="1">
      <c r="B192" s="26">
        <f>IF(N192=1,183,"")</f>
      </c>
      <c r="C192" s="26">
        <f>IF(AND(N192=1,LEN(TRIM('DATOS'!B192&amp;""))&gt;0),'DATOS'!B192,"")</f>
      </c>
      <c r="D192" s="26">
        <f>IF(AND(N192=1,LEN(TRIM('DATOS'!C192&amp;""))&gt;0),'DATOS'!C192,"")</f>
      </c>
      <c r="E192" s="26">
        <f>IF(NOT(ISNUMBER(P192)),"",IF(P192=2,"ROJO",IF(P192=1,"ÁMBAR","VERDE")))</f>
      </c>
      <c r="F192" s="26">
        <f>IF(NOT(ISNUMBER(Q192)),"",IF(Q192=2,"ROJO",IF(Q192=1,"ÁMBAR","VERDE")))</f>
      </c>
      <c r="G192" s="26">
        <f>IF(NOT(ISNUMBER(R192)),"",IF(R192=2,"ROJO",IF(R192=1,"ÁMBAR","VERDE")))</f>
      </c>
      <c r="H192" s="26">
        <f>IF(NOT(ISNUMBER(S192)),"",IF(S192=2,"ROJO",IF(S192=1,"ÁMBAR","VERDE")))</f>
      </c>
      <c r="I192" s="26">
        <f>IF(NOT(ISNUMBER(T192)),"",IF(T192=2,"ROJO",IF(T192=1,"ÁMBAR","VERDE")))</f>
      </c>
      <c r="J192" s="26">
        <f>IF(NOT(ISNUMBER(O192)),"",IF(O192=2,"ROJO",IF(O192=1,"ÁMBAR","VERDE")))</f>
      </c>
      <c r="K192" s="26">
        <f>IFERROR(IF(AND(N192=1,LEN(TRIM('DATOS'!N192&amp;""))&gt;0),'DATOS'!N192,""),"Hay una entrada con error. Corregimos el dato antes de cerrar la comprobación.")</f>
      </c>
      <c r="L192" s="26">
        <f>IFERROR(IF(N192=0,"",IF(O192&gt;0,"Completamos datos, claves o motivo. ","")&amp;IF(P192&gt;0,"Cotejamos precios e importe. ","")&amp;IF(Q192&gt;0,"Aclaramos el cero. ","")&amp;IF(R192&gt;0,"Comprobamos el texto. ","")&amp;IF(S192&gt;0,"Revisamos decimales visibles. ","")&amp;IF(T192&gt;0,"Confirmamos la unidad.","")),"Hay una entrada con error. Corregimos el dato antes de cerrar la comprobación.")</f>
      </c>
      <c r="N192" s="29" t="n">
        <f>IF(COUNTA('DATOS'!B192:O192)&gt;0,1,0)</f>
        <v>0</v>
      </c>
      <c r="O192" s="29">
        <f>IFERROR(IF(N192=0,"",IF(OR(NOT(AND(LEN(TRIM('DATOS'!B192&amp;""))&gt;0,TRIM('DATOS'!B192&amp;"")&lt;&gt;"Pendiente",TRIM('DATOS'!B192&amp;"")&lt;&gt;"Por confirmar",TRIM('DATOS'!B192&amp;"")&lt;&gt;"No consta",TRIM('DATOS'!B192&amp;"")&lt;&gt;"Desconocido",TRIM('DATOS'!B192&amp;"")&lt;&gt;"Sin confirmar",TRIM('DATOS'!B192&amp;"")&lt;&gt;"Por decidir",TRIM('DATOS'!B192&amp;"")&lt;&gt;"Por comprobar")),NOT(AND(LEN(TRIM('DATOS'!C192&amp;""))&gt;0,TRIM('DATOS'!C192&amp;"")&lt;&gt;"Pendiente",TRIM('DATOS'!C192&amp;"")&lt;&gt;"Por confirmar",TRIM('DATOS'!C192&amp;"")&lt;&gt;"No consta",TRIM('DATOS'!C192&amp;"")&lt;&gt;"Desconocido",TRIM('DATOS'!C192&amp;"")&lt;&gt;"Sin confirmar",TRIM('DATOS'!C192&amp;"")&lt;&gt;"Por decidir",TRIM('DATOS'!C192&amp;"")&lt;&gt;"Por comprobar")),NOT(AND(LEN(TRIM('DATOS'!D192&amp;""))&gt;0,TRIM('DATOS'!D192&amp;"")&lt;&gt;"Pendiente",TRIM('DATOS'!D192&amp;"")&lt;&gt;"Por confirmar",TRIM('DATOS'!D192&amp;"")&lt;&gt;"No consta",TRIM('DATOS'!D192&amp;"")&lt;&gt;"Desconocido",TRIM('DATOS'!D192&amp;"")&lt;&gt;"Sin confirmar",TRIM('DATOS'!D192&amp;"")&lt;&gt;"Por decidir",TRIM('DATOS'!D192&amp;"")&lt;&gt;"Por comprobar")),NOT(AND(LEN(TRIM('DATOS'!E192&amp;""))&gt;0,TRIM('DATOS'!E192&amp;"")&lt;&gt;"Pendiente",TRIM('DATOS'!E192&amp;"")&lt;&gt;"Por confirmar",TRIM('DATOS'!E192&amp;"")&lt;&gt;"No consta",TRIM('DATOS'!E192&amp;"")&lt;&gt;"Desconocido",TRIM('DATOS'!E192&amp;"")&lt;&gt;"Sin confirmar",TRIM('DATOS'!E192&amp;"")&lt;&gt;"Por decidir",TRIM('DATOS'!E192&amp;"")&lt;&gt;"Por comprobar")),NOT(AND(LEN(TRIM('DATOS'!F192&amp;""))&gt;0,TRIM('DATOS'!F192&amp;"")&lt;&gt;"Pendiente",TRIM('DATOS'!F192&amp;"")&lt;&gt;"Por confirmar",TRIM('DATOS'!F192&amp;"")&lt;&gt;"No consta",TRIM('DATOS'!F192&amp;"")&lt;&gt;"Desconocido",TRIM('DATOS'!F192&amp;"")&lt;&gt;"Sin confirmar",TRIM('DATOS'!F192&amp;"")&lt;&gt;"Por decidir",TRIM('DATOS'!F192&amp;"")&lt;&gt;"Por comprobar")),NOT(AND(LEN(TRIM('DATOS'!N192&amp;""))&gt;0,TRIM('DATOS'!N192&amp;"")&lt;&gt;"Pendiente",TRIM('DATOS'!N192&amp;"")&lt;&gt;"Por confirmar",TRIM('DATOS'!N192&amp;"")&lt;&gt;"No consta",TRIM('DATOS'!N192&amp;"")&lt;&gt;"Desconocido",TRIM('DATOS'!N192&amp;"")&lt;&gt;"Sin confirmar",TRIM('DATOS'!N192&amp;"")&lt;&gt;"Por decidir",TRIM('DATOS'!N192&amp;"")&lt;&gt;"Por comprobar")),NOT(Y192=1),W192&lt;&gt;1,X192&gt;1,NOT(OR(LEN(TRIM('DATOS'!K192&amp;""))=0,'DATOS'!K192="Sin valorar",'DATOS'!K192="Sin coste documentado",'DATOS'!K192="Incluido en otra partida",'DATOS'!K192="Por confirmar")),NOT(OR(LEN(TRIM('DATOS'!M192&amp;""))=0,'DATOS'!M192="Sí",'DATOS'!M192="No",'DATOS'!M192="Por confirmar")),NOT(OR(LEN(TRIM('DATOS'!O192&amp;""))=0,'DATOS'!O192="Comparamos",'DATOS'!O192="No existe",'DATOS'!O192="Por confirmar"))),2,IF(AND(OR('DATOS'!G192&lt;0,'DATOS'!H192&lt;0,'DATOS'!J192&lt;0),NOT(AND(LEN(TRIM('DATOS'!L192&amp;""))&gt;0,TRIM('DATOS'!L192&amp;"")&lt;&gt;"Pendiente",TRIM('DATOS'!L192&amp;"")&lt;&gt;"Por confirmar",TRIM('DATOS'!L192&amp;"")&lt;&gt;"No consta",TRIM('DATOS'!L192&amp;"")&lt;&gt;"Desconocido",TRIM('DATOS'!L192&amp;"")&lt;&gt;"Sin confirmar",TRIM('DATOS'!L192&amp;"")&lt;&gt;"Por decidir",TRIM('DATOS'!L192&amp;"")&lt;&gt;"Por comprobar"))),1,0))),2)</f>
      </c>
      <c r="P192" s="29">
        <f>IFERROR(IF(N192=0,"",IF(NOT(Y192=1),1,IF('REFERENCIAS'!$Q$8&lt;&gt;1,2,IF(ABS('DATOS'!J192-ROUND('DATOS'!G192*'DATOS'!H192,'REFERENCIAS'!$K$8))&gt;0.00000001,2,IF('DATOS'!O192="No existe",IF(LEN(TRIM('DATOS'!I192&amp;""))=0,0,2),IF('DATOS'!O192="Comparamos",IF(LEN(TRIM('DATOS'!I192&amp;""))=0,1,IF(ISNUMBER('DATOS'!I192),IF(ABS('DATOS'!H192-'DATOS'!I192)&gt;0.00000001,2,0),2)),1)))))),2)</f>
      </c>
      <c r="Q192" s="29">
        <f>IFERROR(IF(N192=0,"",IF(NOT(Y192=1),1,IF('DATOS'!K192="Sin valorar",2,IF('DATOS'!G192=0,1,IF(OR('DATOS'!H192=0,'DATOS'!J192=0),IF(AND(OR('DATOS'!K192="Sin coste documentado",'DATOS'!K192="Incluido en otra partida"),AND(LEN(TRIM('DATOS'!L192&amp;""))&gt;0,TRIM('DATOS'!L192&amp;"")&lt;&gt;"Pendiente",TRIM('DATOS'!L192&amp;"")&lt;&gt;"Por confirmar",TRIM('DATOS'!L192&amp;"")&lt;&gt;"No consta",TRIM('DATOS'!L192&amp;"")&lt;&gt;"Desconocido",TRIM('DATOS'!L192&amp;"")&lt;&gt;"Sin confirmar",TRIM('DATOS'!L192&amp;"")&lt;&gt;"Por decidir",TRIM('DATOS'!L192&amp;"")&lt;&gt;"Por comprobar")),0,1),0))))),2)</f>
      </c>
      <c r="R192" s="29">
        <f>IFERROR(IF(N192=0,"",IF(OR(NOT(AND(LEN(TRIM('DATOS'!D192&amp;""))&gt;0,TRIM('DATOS'!D192&amp;"")&lt;&gt;"Pendiente",TRIM('DATOS'!D192&amp;"")&lt;&gt;"Por confirmar",TRIM('DATOS'!D192&amp;"")&lt;&gt;"No consta",TRIM('DATOS'!D192&amp;"")&lt;&gt;"Desconocido",TRIM('DATOS'!D192&amp;"")&lt;&gt;"Sin confirmar",TRIM('DATOS'!D192&amp;"")&lt;&gt;"Por decidir",TRIM('DATOS'!D192&amp;"")&lt;&gt;"Por comprobar")),NOT(AND(LEN(TRIM('DATOS'!E192&amp;""))&gt;0,TRIM('DATOS'!E192&amp;"")&lt;&gt;"Pendiente",TRIM('DATOS'!E192&amp;"")&lt;&gt;"Por confirmar",TRIM('DATOS'!E192&amp;"")&lt;&gt;"No consta",TRIM('DATOS'!E192&amp;"")&lt;&gt;"Desconocido",TRIM('DATOS'!E192&amp;"")&lt;&gt;"Sin confirmar",TRIM('DATOS'!E192&amp;"")&lt;&gt;"Por decidir",TRIM('DATOS'!E192&amp;"")&lt;&gt;"Por comprobar"))),2,IF('DATOS'!M192="No",2,IF('DATOS'!M192="Sí",0,IF(OR('DATOS'!D192&lt;&gt;'DATOS'!E192,LEN('DATOS'!E192)&gt;300,RIGHT(TRIM('DATOS'!E192),3)="...",RIGHT(TRIM('DATOS'!E192),1)="…"),1,0))))),2)</f>
      </c>
      <c r="S192" s="29">
        <f>IFERROR(IF(N192=0,"",IF('REFERENCIAS'!$Q$8&lt;&gt;1,2,IF(NOT(Y192=1),1,IF(OR(ABS('DATOS'!G192-ROUND('DATOS'!G192,'REFERENCIAS'!$E$8))&gt;0.00000001,ABS('DATOS'!H192-ROUND('DATOS'!H192,'REFERENCIAS'!$H$8))&gt;0.00000001,ABS('DATOS'!J192-ROUND('DATOS'!J192,'REFERENCIAS'!$K$8))&gt;0.00000001,IF(ISNUMBER('DATOS'!I192),ABS('DATOS'!I192-ROUND('DATOS'!I192,'REFERENCIAS'!$H$8))&gt;0.00000001,FALSE)),1,0)))),2)</f>
      </c>
      <c r="T192" s="29">
        <f>IFERROR(IF(N192=0,"",IF(NOT(AND(LEN(TRIM('DATOS'!F192&amp;""))&gt;0,TRIM('DATOS'!F192&amp;"")&lt;&gt;"Pendiente",TRIM('DATOS'!F192&amp;"")&lt;&gt;"Por confirmar",TRIM('DATOS'!F192&amp;"")&lt;&gt;"No consta",TRIM('DATOS'!F192&amp;"")&lt;&gt;"Desconocido",TRIM('DATOS'!F192&amp;"")&lt;&gt;"Sin confirmar",TRIM('DATOS'!F192&amp;"")&lt;&gt;"Por decidir",TRIM('DATOS'!F192&amp;"")&lt;&gt;"Por comprobar")),2,IF(COUNTIFS('REFERENCIAS'!$T$15:$T$34,"ID:"&amp;SUBSTITUTE(SUBSTITUTE(SUBSTITUTE(SUBSTITUTE(UPPER(TRIM('DATOS'!F192&amp;"")),"!","!E"),"*","!A"),"?","!B"),"~","!C"),'REFERENCIAS'!$H$15:$H$34,"&lt;&gt;")&gt;0,0,1))),2)</f>
      </c>
      <c r="U192" s="29" t="str">
        <f>'DATOS'!R192</f>
        <v>ID:</v>
      </c>
      <c r="V192" s="29" t="str">
        <f>'DATOS'!S192</f>
        <v>ID:</v>
      </c>
      <c r="W192" s="29" t="n">
        <f>IF(N192=0,0,COUNTIFS('REFERENCIAS'!$R$15:$R$64,U192))</f>
        <v>0</v>
      </c>
      <c r="X192" s="29" t="n">
        <f>IF(N192=0,0,COUNTIFS('DATOS'!$R$10:$R$509,U192,'DATOS'!$S$10:$S$509,V192))</f>
        <v>0</v>
      </c>
      <c r="Y192" s="29" t="n">
        <f>IF(AND(ISNUMBER('DATOS'!G192),ISNUMBER('DATOS'!H192),ISNUMBER('DATOS'!J192)),1,0)</f>
        <v>0</v>
      </c>
    </row>
    <row r="193" ht="64" customHeight="1">
      <c r="B193" s="26">
        <f>IF(N193=1,184,"")</f>
      </c>
      <c r="C193" s="26">
        <f>IF(AND(N193=1,LEN(TRIM('DATOS'!B193&amp;""))&gt;0),'DATOS'!B193,"")</f>
      </c>
      <c r="D193" s="26">
        <f>IF(AND(N193=1,LEN(TRIM('DATOS'!C193&amp;""))&gt;0),'DATOS'!C193,"")</f>
      </c>
      <c r="E193" s="26">
        <f>IF(NOT(ISNUMBER(P193)),"",IF(P193=2,"ROJO",IF(P193=1,"ÁMBAR","VERDE")))</f>
      </c>
      <c r="F193" s="26">
        <f>IF(NOT(ISNUMBER(Q193)),"",IF(Q193=2,"ROJO",IF(Q193=1,"ÁMBAR","VERDE")))</f>
      </c>
      <c r="G193" s="26">
        <f>IF(NOT(ISNUMBER(R193)),"",IF(R193=2,"ROJO",IF(R193=1,"ÁMBAR","VERDE")))</f>
      </c>
      <c r="H193" s="26">
        <f>IF(NOT(ISNUMBER(S193)),"",IF(S193=2,"ROJO",IF(S193=1,"ÁMBAR","VERDE")))</f>
      </c>
      <c r="I193" s="26">
        <f>IF(NOT(ISNUMBER(T193)),"",IF(T193=2,"ROJO",IF(T193=1,"ÁMBAR","VERDE")))</f>
      </c>
      <c r="J193" s="26">
        <f>IF(NOT(ISNUMBER(O193)),"",IF(O193=2,"ROJO",IF(O193=1,"ÁMBAR","VERDE")))</f>
      </c>
      <c r="K193" s="26">
        <f>IFERROR(IF(AND(N193=1,LEN(TRIM('DATOS'!N193&amp;""))&gt;0),'DATOS'!N193,""),"Hay una entrada con error. Corregimos el dato antes de cerrar la comprobación.")</f>
      </c>
      <c r="L193" s="26">
        <f>IFERROR(IF(N193=0,"",IF(O193&gt;0,"Completamos datos, claves o motivo. ","")&amp;IF(P193&gt;0,"Cotejamos precios e importe. ","")&amp;IF(Q193&gt;0,"Aclaramos el cero. ","")&amp;IF(R193&gt;0,"Comprobamos el texto. ","")&amp;IF(S193&gt;0,"Revisamos decimales visibles. ","")&amp;IF(T193&gt;0,"Confirmamos la unidad.","")),"Hay una entrada con error. Corregimos el dato antes de cerrar la comprobación.")</f>
      </c>
      <c r="N193" s="29" t="n">
        <f>IF(COUNTA('DATOS'!B193:O193)&gt;0,1,0)</f>
        <v>0</v>
      </c>
      <c r="O193" s="29">
        <f>IFERROR(IF(N193=0,"",IF(OR(NOT(AND(LEN(TRIM('DATOS'!B193&amp;""))&gt;0,TRIM('DATOS'!B193&amp;"")&lt;&gt;"Pendiente",TRIM('DATOS'!B193&amp;"")&lt;&gt;"Por confirmar",TRIM('DATOS'!B193&amp;"")&lt;&gt;"No consta",TRIM('DATOS'!B193&amp;"")&lt;&gt;"Desconocido",TRIM('DATOS'!B193&amp;"")&lt;&gt;"Sin confirmar",TRIM('DATOS'!B193&amp;"")&lt;&gt;"Por decidir",TRIM('DATOS'!B193&amp;"")&lt;&gt;"Por comprobar")),NOT(AND(LEN(TRIM('DATOS'!C193&amp;""))&gt;0,TRIM('DATOS'!C193&amp;"")&lt;&gt;"Pendiente",TRIM('DATOS'!C193&amp;"")&lt;&gt;"Por confirmar",TRIM('DATOS'!C193&amp;"")&lt;&gt;"No consta",TRIM('DATOS'!C193&amp;"")&lt;&gt;"Desconocido",TRIM('DATOS'!C193&amp;"")&lt;&gt;"Sin confirmar",TRIM('DATOS'!C193&amp;"")&lt;&gt;"Por decidir",TRIM('DATOS'!C193&amp;"")&lt;&gt;"Por comprobar")),NOT(AND(LEN(TRIM('DATOS'!D193&amp;""))&gt;0,TRIM('DATOS'!D193&amp;"")&lt;&gt;"Pendiente",TRIM('DATOS'!D193&amp;"")&lt;&gt;"Por confirmar",TRIM('DATOS'!D193&amp;"")&lt;&gt;"No consta",TRIM('DATOS'!D193&amp;"")&lt;&gt;"Desconocido",TRIM('DATOS'!D193&amp;"")&lt;&gt;"Sin confirmar",TRIM('DATOS'!D193&amp;"")&lt;&gt;"Por decidir",TRIM('DATOS'!D193&amp;"")&lt;&gt;"Por comprobar")),NOT(AND(LEN(TRIM('DATOS'!E193&amp;""))&gt;0,TRIM('DATOS'!E193&amp;"")&lt;&gt;"Pendiente",TRIM('DATOS'!E193&amp;"")&lt;&gt;"Por confirmar",TRIM('DATOS'!E193&amp;"")&lt;&gt;"No consta",TRIM('DATOS'!E193&amp;"")&lt;&gt;"Desconocido",TRIM('DATOS'!E193&amp;"")&lt;&gt;"Sin confirmar",TRIM('DATOS'!E193&amp;"")&lt;&gt;"Por decidir",TRIM('DATOS'!E193&amp;"")&lt;&gt;"Por comprobar")),NOT(AND(LEN(TRIM('DATOS'!F193&amp;""))&gt;0,TRIM('DATOS'!F193&amp;"")&lt;&gt;"Pendiente",TRIM('DATOS'!F193&amp;"")&lt;&gt;"Por confirmar",TRIM('DATOS'!F193&amp;"")&lt;&gt;"No consta",TRIM('DATOS'!F193&amp;"")&lt;&gt;"Desconocido",TRIM('DATOS'!F193&amp;"")&lt;&gt;"Sin confirmar",TRIM('DATOS'!F193&amp;"")&lt;&gt;"Por decidir",TRIM('DATOS'!F193&amp;"")&lt;&gt;"Por comprobar")),NOT(AND(LEN(TRIM('DATOS'!N193&amp;""))&gt;0,TRIM('DATOS'!N193&amp;"")&lt;&gt;"Pendiente",TRIM('DATOS'!N193&amp;"")&lt;&gt;"Por confirmar",TRIM('DATOS'!N193&amp;"")&lt;&gt;"No consta",TRIM('DATOS'!N193&amp;"")&lt;&gt;"Desconocido",TRIM('DATOS'!N193&amp;"")&lt;&gt;"Sin confirmar",TRIM('DATOS'!N193&amp;"")&lt;&gt;"Por decidir",TRIM('DATOS'!N193&amp;"")&lt;&gt;"Por comprobar")),NOT(Y193=1),W193&lt;&gt;1,X193&gt;1,NOT(OR(LEN(TRIM('DATOS'!K193&amp;""))=0,'DATOS'!K193="Sin valorar",'DATOS'!K193="Sin coste documentado",'DATOS'!K193="Incluido en otra partida",'DATOS'!K193="Por confirmar")),NOT(OR(LEN(TRIM('DATOS'!M193&amp;""))=0,'DATOS'!M193="Sí",'DATOS'!M193="No",'DATOS'!M193="Por confirmar")),NOT(OR(LEN(TRIM('DATOS'!O193&amp;""))=0,'DATOS'!O193="Comparamos",'DATOS'!O193="No existe",'DATOS'!O193="Por confirmar"))),2,IF(AND(OR('DATOS'!G193&lt;0,'DATOS'!H193&lt;0,'DATOS'!J193&lt;0),NOT(AND(LEN(TRIM('DATOS'!L193&amp;""))&gt;0,TRIM('DATOS'!L193&amp;"")&lt;&gt;"Pendiente",TRIM('DATOS'!L193&amp;"")&lt;&gt;"Por confirmar",TRIM('DATOS'!L193&amp;"")&lt;&gt;"No consta",TRIM('DATOS'!L193&amp;"")&lt;&gt;"Desconocido",TRIM('DATOS'!L193&amp;"")&lt;&gt;"Sin confirmar",TRIM('DATOS'!L193&amp;"")&lt;&gt;"Por decidir",TRIM('DATOS'!L193&amp;"")&lt;&gt;"Por comprobar"))),1,0))),2)</f>
      </c>
      <c r="P193" s="29">
        <f>IFERROR(IF(N193=0,"",IF(NOT(Y193=1),1,IF('REFERENCIAS'!$Q$8&lt;&gt;1,2,IF(ABS('DATOS'!J193-ROUND('DATOS'!G193*'DATOS'!H193,'REFERENCIAS'!$K$8))&gt;0.00000001,2,IF('DATOS'!O193="No existe",IF(LEN(TRIM('DATOS'!I193&amp;""))=0,0,2),IF('DATOS'!O193="Comparamos",IF(LEN(TRIM('DATOS'!I193&amp;""))=0,1,IF(ISNUMBER('DATOS'!I193),IF(ABS('DATOS'!H193-'DATOS'!I193)&gt;0.00000001,2,0),2)),1)))))),2)</f>
      </c>
      <c r="Q193" s="29">
        <f>IFERROR(IF(N193=0,"",IF(NOT(Y193=1),1,IF('DATOS'!K193="Sin valorar",2,IF('DATOS'!G193=0,1,IF(OR('DATOS'!H193=0,'DATOS'!J193=0),IF(AND(OR('DATOS'!K193="Sin coste documentado",'DATOS'!K193="Incluido en otra partida"),AND(LEN(TRIM('DATOS'!L193&amp;""))&gt;0,TRIM('DATOS'!L193&amp;"")&lt;&gt;"Pendiente",TRIM('DATOS'!L193&amp;"")&lt;&gt;"Por confirmar",TRIM('DATOS'!L193&amp;"")&lt;&gt;"No consta",TRIM('DATOS'!L193&amp;"")&lt;&gt;"Desconocido",TRIM('DATOS'!L193&amp;"")&lt;&gt;"Sin confirmar",TRIM('DATOS'!L193&amp;"")&lt;&gt;"Por decidir",TRIM('DATOS'!L193&amp;"")&lt;&gt;"Por comprobar")),0,1),0))))),2)</f>
      </c>
      <c r="R193" s="29">
        <f>IFERROR(IF(N193=0,"",IF(OR(NOT(AND(LEN(TRIM('DATOS'!D193&amp;""))&gt;0,TRIM('DATOS'!D193&amp;"")&lt;&gt;"Pendiente",TRIM('DATOS'!D193&amp;"")&lt;&gt;"Por confirmar",TRIM('DATOS'!D193&amp;"")&lt;&gt;"No consta",TRIM('DATOS'!D193&amp;"")&lt;&gt;"Desconocido",TRIM('DATOS'!D193&amp;"")&lt;&gt;"Sin confirmar",TRIM('DATOS'!D193&amp;"")&lt;&gt;"Por decidir",TRIM('DATOS'!D193&amp;"")&lt;&gt;"Por comprobar")),NOT(AND(LEN(TRIM('DATOS'!E193&amp;""))&gt;0,TRIM('DATOS'!E193&amp;"")&lt;&gt;"Pendiente",TRIM('DATOS'!E193&amp;"")&lt;&gt;"Por confirmar",TRIM('DATOS'!E193&amp;"")&lt;&gt;"No consta",TRIM('DATOS'!E193&amp;"")&lt;&gt;"Desconocido",TRIM('DATOS'!E193&amp;"")&lt;&gt;"Sin confirmar",TRIM('DATOS'!E193&amp;"")&lt;&gt;"Por decidir",TRIM('DATOS'!E193&amp;"")&lt;&gt;"Por comprobar"))),2,IF('DATOS'!M193="No",2,IF('DATOS'!M193="Sí",0,IF(OR('DATOS'!D193&lt;&gt;'DATOS'!E193,LEN('DATOS'!E193)&gt;300,RIGHT(TRIM('DATOS'!E193),3)="...",RIGHT(TRIM('DATOS'!E193),1)="…"),1,0))))),2)</f>
      </c>
      <c r="S193" s="29">
        <f>IFERROR(IF(N193=0,"",IF('REFERENCIAS'!$Q$8&lt;&gt;1,2,IF(NOT(Y193=1),1,IF(OR(ABS('DATOS'!G193-ROUND('DATOS'!G193,'REFERENCIAS'!$E$8))&gt;0.00000001,ABS('DATOS'!H193-ROUND('DATOS'!H193,'REFERENCIAS'!$H$8))&gt;0.00000001,ABS('DATOS'!J193-ROUND('DATOS'!J193,'REFERENCIAS'!$K$8))&gt;0.00000001,IF(ISNUMBER('DATOS'!I193),ABS('DATOS'!I193-ROUND('DATOS'!I193,'REFERENCIAS'!$H$8))&gt;0.00000001,FALSE)),1,0)))),2)</f>
      </c>
      <c r="T193" s="29">
        <f>IFERROR(IF(N193=0,"",IF(NOT(AND(LEN(TRIM('DATOS'!F193&amp;""))&gt;0,TRIM('DATOS'!F193&amp;"")&lt;&gt;"Pendiente",TRIM('DATOS'!F193&amp;"")&lt;&gt;"Por confirmar",TRIM('DATOS'!F193&amp;"")&lt;&gt;"No consta",TRIM('DATOS'!F193&amp;"")&lt;&gt;"Desconocido",TRIM('DATOS'!F193&amp;"")&lt;&gt;"Sin confirmar",TRIM('DATOS'!F193&amp;"")&lt;&gt;"Por decidir",TRIM('DATOS'!F193&amp;"")&lt;&gt;"Por comprobar")),2,IF(COUNTIFS('REFERENCIAS'!$T$15:$T$34,"ID:"&amp;SUBSTITUTE(SUBSTITUTE(SUBSTITUTE(SUBSTITUTE(UPPER(TRIM('DATOS'!F193&amp;"")),"!","!E"),"*","!A"),"?","!B"),"~","!C"),'REFERENCIAS'!$H$15:$H$34,"&lt;&gt;")&gt;0,0,1))),2)</f>
      </c>
      <c r="U193" s="29" t="str">
        <f>'DATOS'!R193</f>
        <v>ID:</v>
      </c>
      <c r="V193" s="29" t="str">
        <f>'DATOS'!S193</f>
        <v>ID:</v>
      </c>
      <c r="W193" s="29" t="n">
        <f>IF(N193=0,0,COUNTIFS('REFERENCIAS'!$R$15:$R$64,U193))</f>
        <v>0</v>
      </c>
      <c r="X193" s="29" t="n">
        <f>IF(N193=0,0,COUNTIFS('DATOS'!$R$10:$R$509,U193,'DATOS'!$S$10:$S$509,V193))</f>
        <v>0</v>
      </c>
      <c r="Y193" s="29" t="n">
        <f>IF(AND(ISNUMBER('DATOS'!G193),ISNUMBER('DATOS'!H193),ISNUMBER('DATOS'!J193)),1,0)</f>
        <v>0</v>
      </c>
    </row>
    <row r="194" ht="64" customHeight="1">
      <c r="B194" s="26">
        <f>IF(N194=1,185,"")</f>
      </c>
      <c r="C194" s="26">
        <f>IF(AND(N194=1,LEN(TRIM('DATOS'!B194&amp;""))&gt;0),'DATOS'!B194,"")</f>
      </c>
      <c r="D194" s="26">
        <f>IF(AND(N194=1,LEN(TRIM('DATOS'!C194&amp;""))&gt;0),'DATOS'!C194,"")</f>
      </c>
      <c r="E194" s="26">
        <f>IF(NOT(ISNUMBER(P194)),"",IF(P194=2,"ROJO",IF(P194=1,"ÁMBAR","VERDE")))</f>
      </c>
      <c r="F194" s="26">
        <f>IF(NOT(ISNUMBER(Q194)),"",IF(Q194=2,"ROJO",IF(Q194=1,"ÁMBAR","VERDE")))</f>
      </c>
      <c r="G194" s="26">
        <f>IF(NOT(ISNUMBER(R194)),"",IF(R194=2,"ROJO",IF(R194=1,"ÁMBAR","VERDE")))</f>
      </c>
      <c r="H194" s="26">
        <f>IF(NOT(ISNUMBER(S194)),"",IF(S194=2,"ROJO",IF(S194=1,"ÁMBAR","VERDE")))</f>
      </c>
      <c r="I194" s="26">
        <f>IF(NOT(ISNUMBER(T194)),"",IF(T194=2,"ROJO",IF(T194=1,"ÁMBAR","VERDE")))</f>
      </c>
      <c r="J194" s="26">
        <f>IF(NOT(ISNUMBER(O194)),"",IF(O194=2,"ROJO",IF(O194=1,"ÁMBAR","VERDE")))</f>
      </c>
      <c r="K194" s="26">
        <f>IFERROR(IF(AND(N194=1,LEN(TRIM('DATOS'!N194&amp;""))&gt;0),'DATOS'!N194,""),"Hay una entrada con error. Corregimos el dato antes de cerrar la comprobación.")</f>
      </c>
      <c r="L194" s="26">
        <f>IFERROR(IF(N194=0,"",IF(O194&gt;0,"Completamos datos, claves o motivo. ","")&amp;IF(P194&gt;0,"Cotejamos precios e importe. ","")&amp;IF(Q194&gt;0,"Aclaramos el cero. ","")&amp;IF(R194&gt;0,"Comprobamos el texto. ","")&amp;IF(S194&gt;0,"Revisamos decimales visibles. ","")&amp;IF(T194&gt;0,"Confirmamos la unidad.","")),"Hay una entrada con error. Corregimos el dato antes de cerrar la comprobación.")</f>
      </c>
      <c r="N194" s="29" t="n">
        <f>IF(COUNTA('DATOS'!B194:O194)&gt;0,1,0)</f>
        <v>0</v>
      </c>
      <c r="O194" s="29">
        <f>IFERROR(IF(N194=0,"",IF(OR(NOT(AND(LEN(TRIM('DATOS'!B194&amp;""))&gt;0,TRIM('DATOS'!B194&amp;"")&lt;&gt;"Pendiente",TRIM('DATOS'!B194&amp;"")&lt;&gt;"Por confirmar",TRIM('DATOS'!B194&amp;"")&lt;&gt;"No consta",TRIM('DATOS'!B194&amp;"")&lt;&gt;"Desconocido",TRIM('DATOS'!B194&amp;"")&lt;&gt;"Sin confirmar",TRIM('DATOS'!B194&amp;"")&lt;&gt;"Por decidir",TRIM('DATOS'!B194&amp;"")&lt;&gt;"Por comprobar")),NOT(AND(LEN(TRIM('DATOS'!C194&amp;""))&gt;0,TRIM('DATOS'!C194&amp;"")&lt;&gt;"Pendiente",TRIM('DATOS'!C194&amp;"")&lt;&gt;"Por confirmar",TRIM('DATOS'!C194&amp;"")&lt;&gt;"No consta",TRIM('DATOS'!C194&amp;"")&lt;&gt;"Desconocido",TRIM('DATOS'!C194&amp;"")&lt;&gt;"Sin confirmar",TRIM('DATOS'!C194&amp;"")&lt;&gt;"Por decidir",TRIM('DATOS'!C194&amp;"")&lt;&gt;"Por comprobar")),NOT(AND(LEN(TRIM('DATOS'!D194&amp;""))&gt;0,TRIM('DATOS'!D194&amp;"")&lt;&gt;"Pendiente",TRIM('DATOS'!D194&amp;"")&lt;&gt;"Por confirmar",TRIM('DATOS'!D194&amp;"")&lt;&gt;"No consta",TRIM('DATOS'!D194&amp;"")&lt;&gt;"Desconocido",TRIM('DATOS'!D194&amp;"")&lt;&gt;"Sin confirmar",TRIM('DATOS'!D194&amp;"")&lt;&gt;"Por decidir",TRIM('DATOS'!D194&amp;"")&lt;&gt;"Por comprobar")),NOT(AND(LEN(TRIM('DATOS'!E194&amp;""))&gt;0,TRIM('DATOS'!E194&amp;"")&lt;&gt;"Pendiente",TRIM('DATOS'!E194&amp;"")&lt;&gt;"Por confirmar",TRIM('DATOS'!E194&amp;"")&lt;&gt;"No consta",TRIM('DATOS'!E194&amp;"")&lt;&gt;"Desconocido",TRIM('DATOS'!E194&amp;"")&lt;&gt;"Sin confirmar",TRIM('DATOS'!E194&amp;"")&lt;&gt;"Por decidir",TRIM('DATOS'!E194&amp;"")&lt;&gt;"Por comprobar")),NOT(AND(LEN(TRIM('DATOS'!F194&amp;""))&gt;0,TRIM('DATOS'!F194&amp;"")&lt;&gt;"Pendiente",TRIM('DATOS'!F194&amp;"")&lt;&gt;"Por confirmar",TRIM('DATOS'!F194&amp;"")&lt;&gt;"No consta",TRIM('DATOS'!F194&amp;"")&lt;&gt;"Desconocido",TRIM('DATOS'!F194&amp;"")&lt;&gt;"Sin confirmar",TRIM('DATOS'!F194&amp;"")&lt;&gt;"Por decidir",TRIM('DATOS'!F194&amp;"")&lt;&gt;"Por comprobar")),NOT(AND(LEN(TRIM('DATOS'!N194&amp;""))&gt;0,TRIM('DATOS'!N194&amp;"")&lt;&gt;"Pendiente",TRIM('DATOS'!N194&amp;"")&lt;&gt;"Por confirmar",TRIM('DATOS'!N194&amp;"")&lt;&gt;"No consta",TRIM('DATOS'!N194&amp;"")&lt;&gt;"Desconocido",TRIM('DATOS'!N194&amp;"")&lt;&gt;"Sin confirmar",TRIM('DATOS'!N194&amp;"")&lt;&gt;"Por decidir",TRIM('DATOS'!N194&amp;"")&lt;&gt;"Por comprobar")),NOT(Y194=1),W194&lt;&gt;1,X194&gt;1,NOT(OR(LEN(TRIM('DATOS'!K194&amp;""))=0,'DATOS'!K194="Sin valorar",'DATOS'!K194="Sin coste documentado",'DATOS'!K194="Incluido en otra partida",'DATOS'!K194="Por confirmar")),NOT(OR(LEN(TRIM('DATOS'!M194&amp;""))=0,'DATOS'!M194="Sí",'DATOS'!M194="No",'DATOS'!M194="Por confirmar")),NOT(OR(LEN(TRIM('DATOS'!O194&amp;""))=0,'DATOS'!O194="Comparamos",'DATOS'!O194="No existe",'DATOS'!O194="Por confirmar"))),2,IF(AND(OR('DATOS'!G194&lt;0,'DATOS'!H194&lt;0,'DATOS'!J194&lt;0),NOT(AND(LEN(TRIM('DATOS'!L194&amp;""))&gt;0,TRIM('DATOS'!L194&amp;"")&lt;&gt;"Pendiente",TRIM('DATOS'!L194&amp;"")&lt;&gt;"Por confirmar",TRIM('DATOS'!L194&amp;"")&lt;&gt;"No consta",TRIM('DATOS'!L194&amp;"")&lt;&gt;"Desconocido",TRIM('DATOS'!L194&amp;"")&lt;&gt;"Sin confirmar",TRIM('DATOS'!L194&amp;"")&lt;&gt;"Por decidir",TRIM('DATOS'!L194&amp;"")&lt;&gt;"Por comprobar"))),1,0))),2)</f>
      </c>
      <c r="P194" s="29">
        <f>IFERROR(IF(N194=0,"",IF(NOT(Y194=1),1,IF('REFERENCIAS'!$Q$8&lt;&gt;1,2,IF(ABS('DATOS'!J194-ROUND('DATOS'!G194*'DATOS'!H194,'REFERENCIAS'!$K$8))&gt;0.00000001,2,IF('DATOS'!O194="No existe",IF(LEN(TRIM('DATOS'!I194&amp;""))=0,0,2),IF('DATOS'!O194="Comparamos",IF(LEN(TRIM('DATOS'!I194&amp;""))=0,1,IF(ISNUMBER('DATOS'!I194),IF(ABS('DATOS'!H194-'DATOS'!I194)&gt;0.00000001,2,0),2)),1)))))),2)</f>
      </c>
      <c r="Q194" s="29">
        <f>IFERROR(IF(N194=0,"",IF(NOT(Y194=1),1,IF('DATOS'!K194="Sin valorar",2,IF('DATOS'!G194=0,1,IF(OR('DATOS'!H194=0,'DATOS'!J194=0),IF(AND(OR('DATOS'!K194="Sin coste documentado",'DATOS'!K194="Incluido en otra partida"),AND(LEN(TRIM('DATOS'!L194&amp;""))&gt;0,TRIM('DATOS'!L194&amp;"")&lt;&gt;"Pendiente",TRIM('DATOS'!L194&amp;"")&lt;&gt;"Por confirmar",TRIM('DATOS'!L194&amp;"")&lt;&gt;"No consta",TRIM('DATOS'!L194&amp;"")&lt;&gt;"Desconocido",TRIM('DATOS'!L194&amp;"")&lt;&gt;"Sin confirmar",TRIM('DATOS'!L194&amp;"")&lt;&gt;"Por decidir",TRIM('DATOS'!L194&amp;"")&lt;&gt;"Por comprobar")),0,1),0))))),2)</f>
      </c>
      <c r="R194" s="29">
        <f>IFERROR(IF(N194=0,"",IF(OR(NOT(AND(LEN(TRIM('DATOS'!D194&amp;""))&gt;0,TRIM('DATOS'!D194&amp;"")&lt;&gt;"Pendiente",TRIM('DATOS'!D194&amp;"")&lt;&gt;"Por confirmar",TRIM('DATOS'!D194&amp;"")&lt;&gt;"No consta",TRIM('DATOS'!D194&amp;"")&lt;&gt;"Desconocido",TRIM('DATOS'!D194&amp;"")&lt;&gt;"Sin confirmar",TRIM('DATOS'!D194&amp;"")&lt;&gt;"Por decidir",TRIM('DATOS'!D194&amp;"")&lt;&gt;"Por comprobar")),NOT(AND(LEN(TRIM('DATOS'!E194&amp;""))&gt;0,TRIM('DATOS'!E194&amp;"")&lt;&gt;"Pendiente",TRIM('DATOS'!E194&amp;"")&lt;&gt;"Por confirmar",TRIM('DATOS'!E194&amp;"")&lt;&gt;"No consta",TRIM('DATOS'!E194&amp;"")&lt;&gt;"Desconocido",TRIM('DATOS'!E194&amp;"")&lt;&gt;"Sin confirmar",TRIM('DATOS'!E194&amp;"")&lt;&gt;"Por decidir",TRIM('DATOS'!E194&amp;"")&lt;&gt;"Por comprobar"))),2,IF('DATOS'!M194="No",2,IF('DATOS'!M194="Sí",0,IF(OR('DATOS'!D194&lt;&gt;'DATOS'!E194,LEN('DATOS'!E194)&gt;300,RIGHT(TRIM('DATOS'!E194),3)="...",RIGHT(TRIM('DATOS'!E194),1)="…"),1,0))))),2)</f>
      </c>
      <c r="S194" s="29">
        <f>IFERROR(IF(N194=0,"",IF('REFERENCIAS'!$Q$8&lt;&gt;1,2,IF(NOT(Y194=1),1,IF(OR(ABS('DATOS'!G194-ROUND('DATOS'!G194,'REFERENCIAS'!$E$8))&gt;0.00000001,ABS('DATOS'!H194-ROUND('DATOS'!H194,'REFERENCIAS'!$H$8))&gt;0.00000001,ABS('DATOS'!J194-ROUND('DATOS'!J194,'REFERENCIAS'!$K$8))&gt;0.00000001,IF(ISNUMBER('DATOS'!I194),ABS('DATOS'!I194-ROUND('DATOS'!I194,'REFERENCIAS'!$H$8))&gt;0.00000001,FALSE)),1,0)))),2)</f>
      </c>
      <c r="T194" s="29">
        <f>IFERROR(IF(N194=0,"",IF(NOT(AND(LEN(TRIM('DATOS'!F194&amp;""))&gt;0,TRIM('DATOS'!F194&amp;"")&lt;&gt;"Pendiente",TRIM('DATOS'!F194&amp;"")&lt;&gt;"Por confirmar",TRIM('DATOS'!F194&amp;"")&lt;&gt;"No consta",TRIM('DATOS'!F194&amp;"")&lt;&gt;"Desconocido",TRIM('DATOS'!F194&amp;"")&lt;&gt;"Sin confirmar",TRIM('DATOS'!F194&amp;"")&lt;&gt;"Por decidir",TRIM('DATOS'!F194&amp;"")&lt;&gt;"Por comprobar")),2,IF(COUNTIFS('REFERENCIAS'!$T$15:$T$34,"ID:"&amp;SUBSTITUTE(SUBSTITUTE(SUBSTITUTE(SUBSTITUTE(UPPER(TRIM('DATOS'!F194&amp;"")),"!","!E"),"*","!A"),"?","!B"),"~","!C"),'REFERENCIAS'!$H$15:$H$34,"&lt;&gt;")&gt;0,0,1))),2)</f>
      </c>
      <c r="U194" s="29" t="str">
        <f>'DATOS'!R194</f>
        <v>ID:</v>
      </c>
      <c r="V194" s="29" t="str">
        <f>'DATOS'!S194</f>
        <v>ID:</v>
      </c>
      <c r="W194" s="29" t="n">
        <f>IF(N194=0,0,COUNTIFS('REFERENCIAS'!$R$15:$R$64,U194))</f>
        <v>0</v>
      </c>
      <c r="X194" s="29" t="n">
        <f>IF(N194=0,0,COUNTIFS('DATOS'!$R$10:$R$509,U194,'DATOS'!$S$10:$S$509,V194))</f>
        <v>0</v>
      </c>
      <c r="Y194" s="29" t="n">
        <f>IF(AND(ISNUMBER('DATOS'!G194),ISNUMBER('DATOS'!H194),ISNUMBER('DATOS'!J194)),1,0)</f>
        <v>0</v>
      </c>
    </row>
    <row r="195" ht="64" customHeight="1">
      <c r="B195" s="26">
        <f>IF(N195=1,186,"")</f>
      </c>
      <c r="C195" s="26">
        <f>IF(AND(N195=1,LEN(TRIM('DATOS'!B195&amp;""))&gt;0),'DATOS'!B195,"")</f>
      </c>
      <c r="D195" s="26">
        <f>IF(AND(N195=1,LEN(TRIM('DATOS'!C195&amp;""))&gt;0),'DATOS'!C195,"")</f>
      </c>
      <c r="E195" s="26">
        <f>IF(NOT(ISNUMBER(P195)),"",IF(P195=2,"ROJO",IF(P195=1,"ÁMBAR","VERDE")))</f>
      </c>
      <c r="F195" s="26">
        <f>IF(NOT(ISNUMBER(Q195)),"",IF(Q195=2,"ROJO",IF(Q195=1,"ÁMBAR","VERDE")))</f>
      </c>
      <c r="G195" s="26">
        <f>IF(NOT(ISNUMBER(R195)),"",IF(R195=2,"ROJO",IF(R195=1,"ÁMBAR","VERDE")))</f>
      </c>
      <c r="H195" s="26">
        <f>IF(NOT(ISNUMBER(S195)),"",IF(S195=2,"ROJO",IF(S195=1,"ÁMBAR","VERDE")))</f>
      </c>
      <c r="I195" s="26">
        <f>IF(NOT(ISNUMBER(T195)),"",IF(T195=2,"ROJO",IF(T195=1,"ÁMBAR","VERDE")))</f>
      </c>
      <c r="J195" s="26">
        <f>IF(NOT(ISNUMBER(O195)),"",IF(O195=2,"ROJO",IF(O195=1,"ÁMBAR","VERDE")))</f>
      </c>
      <c r="K195" s="26">
        <f>IFERROR(IF(AND(N195=1,LEN(TRIM('DATOS'!N195&amp;""))&gt;0),'DATOS'!N195,""),"Hay una entrada con error. Corregimos el dato antes de cerrar la comprobación.")</f>
      </c>
      <c r="L195" s="26">
        <f>IFERROR(IF(N195=0,"",IF(O195&gt;0,"Completamos datos, claves o motivo. ","")&amp;IF(P195&gt;0,"Cotejamos precios e importe. ","")&amp;IF(Q195&gt;0,"Aclaramos el cero. ","")&amp;IF(R195&gt;0,"Comprobamos el texto. ","")&amp;IF(S195&gt;0,"Revisamos decimales visibles. ","")&amp;IF(T195&gt;0,"Confirmamos la unidad.","")),"Hay una entrada con error. Corregimos el dato antes de cerrar la comprobación.")</f>
      </c>
      <c r="N195" s="29" t="n">
        <f>IF(COUNTA('DATOS'!B195:O195)&gt;0,1,0)</f>
        <v>0</v>
      </c>
      <c r="O195" s="29">
        <f>IFERROR(IF(N195=0,"",IF(OR(NOT(AND(LEN(TRIM('DATOS'!B195&amp;""))&gt;0,TRIM('DATOS'!B195&amp;"")&lt;&gt;"Pendiente",TRIM('DATOS'!B195&amp;"")&lt;&gt;"Por confirmar",TRIM('DATOS'!B195&amp;"")&lt;&gt;"No consta",TRIM('DATOS'!B195&amp;"")&lt;&gt;"Desconocido",TRIM('DATOS'!B195&amp;"")&lt;&gt;"Sin confirmar",TRIM('DATOS'!B195&amp;"")&lt;&gt;"Por decidir",TRIM('DATOS'!B195&amp;"")&lt;&gt;"Por comprobar")),NOT(AND(LEN(TRIM('DATOS'!C195&amp;""))&gt;0,TRIM('DATOS'!C195&amp;"")&lt;&gt;"Pendiente",TRIM('DATOS'!C195&amp;"")&lt;&gt;"Por confirmar",TRIM('DATOS'!C195&amp;"")&lt;&gt;"No consta",TRIM('DATOS'!C195&amp;"")&lt;&gt;"Desconocido",TRIM('DATOS'!C195&amp;"")&lt;&gt;"Sin confirmar",TRIM('DATOS'!C195&amp;"")&lt;&gt;"Por decidir",TRIM('DATOS'!C195&amp;"")&lt;&gt;"Por comprobar")),NOT(AND(LEN(TRIM('DATOS'!D195&amp;""))&gt;0,TRIM('DATOS'!D195&amp;"")&lt;&gt;"Pendiente",TRIM('DATOS'!D195&amp;"")&lt;&gt;"Por confirmar",TRIM('DATOS'!D195&amp;"")&lt;&gt;"No consta",TRIM('DATOS'!D195&amp;"")&lt;&gt;"Desconocido",TRIM('DATOS'!D195&amp;"")&lt;&gt;"Sin confirmar",TRIM('DATOS'!D195&amp;"")&lt;&gt;"Por decidir",TRIM('DATOS'!D195&amp;"")&lt;&gt;"Por comprobar")),NOT(AND(LEN(TRIM('DATOS'!E195&amp;""))&gt;0,TRIM('DATOS'!E195&amp;"")&lt;&gt;"Pendiente",TRIM('DATOS'!E195&amp;"")&lt;&gt;"Por confirmar",TRIM('DATOS'!E195&amp;"")&lt;&gt;"No consta",TRIM('DATOS'!E195&amp;"")&lt;&gt;"Desconocido",TRIM('DATOS'!E195&amp;"")&lt;&gt;"Sin confirmar",TRIM('DATOS'!E195&amp;"")&lt;&gt;"Por decidir",TRIM('DATOS'!E195&amp;"")&lt;&gt;"Por comprobar")),NOT(AND(LEN(TRIM('DATOS'!F195&amp;""))&gt;0,TRIM('DATOS'!F195&amp;"")&lt;&gt;"Pendiente",TRIM('DATOS'!F195&amp;"")&lt;&gt;"Por confirmar",TRIM('DATOS'!F195&amp;"")&lt;&gt;"No consta",TRIM('DATOS'!F195&amp;"")&lt;&gt;"Desconocido",TRIM('DATOS'!F195&amp;"")&lt;&gt;"Sin confirmar",TRIM('DATOS'!F195&amp;"")&lt;&gt;"Por decidir",TRIM('DATOS'!F195&amp;"")&lt;&gt;"Por comprobar")),NOT(AND(LEN(TRIM('DATOS'!N195&amp;""))&gt;0,TRIM('DATOS'!N195&amp;"")&lt;&gt;"Pendiente",TRIM('DATOS'!N195&amp;"")&lt;&gt;"Por confirmar",TRIM('DATOS'!N195&amp;"")&lt;&gt;"No consta",TRIM('DATOS'!N195&amp;"")&lt;&gt;"Desconocido",TRIM('DATOS'!N195&amp;"")&lt;&gt;"Sin confirmar",TRIM('DATOS'!N195&amp;"")&lt;&gt;"Por decidir",TRIM('DATOS'!N195&amp;"")&lt;&gt;"Por comprobar")),NOT(Y195=1),W195&lt;&gt;1,X195&gt;1,NOT(OR(LEN(TRIM('DATOS'!K195&amp;""))=0,'DATOS'!K195="Sin valorar",'DATOS'!K195="Sin coste documentado",'DATOS'!K195="Incluido en otra partida",'DATOS'!K195="Por confirmar")),NOT(OR(LEN(TRIM('DATOS'!M195&amp;""))=0,'DATOS'!M195="Sí",'DATOS'!M195="No",'DATOS'!M195="Por confirmar")),NOT(OR(LEN(TRIM('DATOS'!O195&amp;""))=0,'DATOS'!O195="Comparamos",'DATOS'!O195="No existe",'DATOS'!O195="Por confirmar"))),2,IF(AND(OR('DATOS'!G195&lt;0,'DATOS'!H195&lt;0,'DATOS'!J195&lt;0),NOT(AND(LEN(TRIM('DATOS'!L195&amp;""))&gt;0,TRIM('DATOS'!L195&amp;"")&lt;&gt;"Pendiente",TRIM('DATOS'!L195&amp;"")&lt;&gt;"Por confirmar",TRIM('DATOS'!L195&amp;"")&lt;&gt;"No consta",TRIM('DATOS'!L195&amp;"")&lt;&gt;"Desconocido",TRIM('DATOS'!L195&amp;"")&lt;&gt;"Sin confirmar",TRIM('DATOS'!L195&amp;"")&lt;&gt;"Por decidir",TRIM('DATOS'!L195&amp;"")&lt;&gt;"Por comprobar"))),1,0))),2)</f>
      </c>
      <c r="P195" s="29">
        <f>IFERROR(IF(N195=0,"",IF(NOT(Y195=1),1,IF('REFERENCIAS'!$Q$8&lt;&gt;1,2,IF(ABS('DATOS'!J195-ROUND('DATOS'!G195*'DATOS'!H195,'REFERENCIAS'!$K$8))&gt;0.00000001,2,IF('DATOS'!O195="No existe",IF(LEN(TRIM('DATOS'!I195&amp;""))=0,0,2),IF('DATOS'!O195="Comparamos",IF(LEN(TRIM('DATOS'!I195&amp;""))=0,1,IF(ISNUMBER('DATOS'!I195),IF(ABS('DATOS'!H195-'DATOS'!I195)&gt;0.00000001,2,0),2)),1)))))),2)</f>
      </c>
      <c r="Q195" s="29">
        <f>IFERROR(IF(N195=0,"",IF(NOT(Y195=1),1,IF('DATOS'!K195="Sin valorar",2,IF('DATOS'!G195=0,1,IF(OR('DATOS'!H195=0,'DATOS'!J195=0),IF(AND(OR('DATOS'!K195="Sin coste documentado",'DATOS'!K195="Incluido en otra partida"),AND(LEN(TRIM('DATOS'!L195&amp;""))&gt;0,TRIM('DATOS'!L195&amp;"")&lt;&gt;"Pendiente",TRIM('DATOS'!L195&amp;"")&lt;&gt;"Por confirmar",TRIM('DATOS'!L195&amp;"")&lt;&gt;"No consta",TRIM('DATOS'!L195&amp;"")&lt;&gt;"Desconocido",TRIM('DATOS'!L195&amp;"")&lt;&gt;"Sin confirmar",TRIM('DATOS'!L195&amp;"")&lt;&gt;"Por decidir",TRIM('DATOS'!L195&amp;"")&lt;&gt;"Por comprobar")),0,1),0))))),2)</f>
      </c>
      <c r="R195" s="29">
        <f>IFERROR(IF(N195=0,"",IF(OR(NOT(AND(LEN(TRIM('DATOS'!D195&amp;""))&gt;0,TRIM('DATOS'!D195&amp;"")&lt;&gt;"Pendiente",TRIM('DATOS'!D195&amp;"")&lt;&gt;"Por confirmar",TRIM('DATOS'!D195&amp;"")&lt;&gt;"No consta",TRIM('DATOS'!D195&amp;"")&lt;&gt;"Desconocido",TRIM('DATOS'!D195&amp;"")&lt;&gt;"Sin confirmar",TRIM('DATOS'!D195&amp;"")&lt;&gt;"Por decidir",TRIM('DATOS'!D195&amp;"")&lt;&gt;"Por comprobar")),NOT(AND(LEN(TRIM('DATOS'!E195&amp;""))&gt;0,TRIM('DATOS'!E195&amp;"")&lt;&gt;"Pendiente",TRIM('DATOS'!E195&amp;"")&lt;&gt;"Por confirmar",TRIM('DATOS'!E195&amp;"")&lt;&gt;"No consta",TRIM('DATOS'!E195&amp;"")&lt;&gt;"Desconocido",TRIM('DATOS'!E195&amp;"")&lt;&gt;"Sin confirmar",TRIM('DATOS'!E195&amp;"")&lt;&gt;"Por decidir",TRIM('DATOS'!E195&amp;"")&lt;&gt;"Por comprobar"))),2,IF('DATOS'!M195="No",2,IF('DATOS'!M195="Sí",0,IF(OR('DATOS'!D195&lt;&gt;'DATOS'!E195,LEN('DATOS'!E195)&gt;300,RIGHT(TRIM('DATOS'!E195),3)="...",RIGHT(TRIM('DATOS'!E195),1)="…"),1,0))))),2)</f>
      </c>
      <c r="S195" s="29">
        <f>IFERROR(IF(N195=0,"",IF('REFERENCIAS'!$Q$8&lt;&gt;1,2,IF(NOT(Y195=1),1,IF(OR(ABS('DATOS'!G195-ROUND('DATOS'!G195,'REFERENCIAS'!$E$8))&gt;0.00000001,ABS('DATOS'!H195-ROUND('DATOS'!H195,'REFERENCIAS'!$H$8))&gt;0.00000001,ABS('DATOS'!J195-ROUND('DATOS'!J195,'REFERENCIAS'!$K$8))&gt;0.00000001,IF(ISNUMBER('DATOS'!I195),ABS('DATOS'!I195-ROUND('DATOS'!I195,'REFERENCIAS'!$H$8))&gt;0.00000001,FALSE)),1,0)))),2)</f>
      </c>
      <c r="T195" s="29">
        <f>IFERROR(IF(N195=0,"",IF(NOT(AND(LEN(TRIM('DATOS'!F195&amp;""))&gt;0,TRIM('DATOS'!F195&amp;"")&lt;&gt;"Pendiente",TRIM('DATOS'!F195&amp;"")&lt;&gt;"Por confirmar",TRIM('DATOS'!F195&amp;"")&lt;&gt;"No consta",TRIM('DATOS'!F195&amp;"")&lt;&gt;"Desconocido",TRIM('DATOS'!F195&amp;"")&lt;&gt;"Sin confirmar",TRIM('DATOS'!F195&amp;"")&lt;&gt;"Por decidir",TRIM('DATOS'!F195&amp;"")&lt;&gt;"Por comprobar")),2,IF(COUNTIFS('REFERENCIAS'!$T$15:$T$34,"ID:"&amp;SUBSTITUTE(SUBSTITUTE(SUBSTITUTE(SUBSTITUTE(UPPER(TRIM('DATOS'!F195&amp;"")),"!","!E"),"*","!A"),"?","!B"),"~","!C"),'REFERENCIAS'!$H$15:$H$34,"&lt;&gt;")&gt;0,0,1))),2)</f>
      </c>
      <c r="U195" s="29" t="str">
        <f>'DATOS'!R195</f>
        <v>ID:</v>
      </c>
      <c r="V195" s="29" t="str">
        <f>'DATOS'!S195</f>
        <v>ID:</v>
      </c>
      <c r="W195" s="29" t="n">
        <f>IF(N195=0,0,COUNTIFS('REFERENCIAS'!$R$15:$R$64,U195))</f>
        <v>0</v>
      </c>
      <c r="X195" s="29" t="n">
        <f>IF(N195=0,0,COUNTIFS('DATOS'!$R$10:$R$509,U195,'DATOS'!$S$10:$S$509,V195))</f>
        <v>0</v>
      </c>
      <c r="Y195" s="29" t="n">
        <f>IF(AND(ISNUMBER('DATOS'!G195),ISNUMBER('DATOS'!H195),ISNUMBER('DATOS'!J195)),1,0)</f>
        <v>0</v>
      </c>
    </row>
    <row r="196" ht="64" customHeight="1">
      <c r="B196" s="26">
        <f>IF(N196=1,187,"")</f>
      </c>
      <c r="C196" s="26">
        <f>IF(AND(N196=1,LEN(TRIM('DATOS'!B196&amp;""))&gt;0),'DATOS'!B196,"")</f>
      </c>
      <c r="D196" s="26">
        <f>IF(AND(N196=1,LEN(TRIM('DATOS'!C196&amp;""))&gt;0),'DATOS'!C196,"")</f>
      </c>
      <c r="E196" s="26">
        <f>IF(NOT(ISNUMBER(P196)),"",IF(P196=2,"ROJO",IF(P196=1,"ÁMBAR","VERDE")))</f>
      </c>
      <c r="F196" s="26">
        <f>IF(NOT(ISNUMBER(Q196)),"",IF(Q196=2,"ROJO",IF(Q196=1,"ÁMBAR","VERDE")))</f>
      </c>
      <c r="G196" s="26">
        <f>IF(NOT(ISNUMBER(R196)),"",IF(R196=2,"ROJO",IF(R196=1,"ÁMBAR","VERDE")))</f>
      </c>
      <c r="H196" s="26">
        <f>IF(NOT(ISNUMBER(S196)),"",IF(S196=2,"ROJO",IF(S196=1,"ÁMBAR","VERDE")))</f>
      </c>
      <c r="I196" s="26">
        <f>IF(NOT(ISNUMBER(T196)),"",IF(T196=2,"ROJO",IF(T196=1,"ÁMBAR","VERDE")))</f>
      </c>
      <c r="J196" s="26">
        <f>IF(NOT(ISNUMBER(O196)),"",IF(O196=2,"ROJO",IF(O196=1,"ÁMBAR","VERDE")))</f>
      </c>
      <c r="K196" s="26">
        <f>IFERROR(IF(AND(N196=1,LEN(TRIM('DATOS'!N196&amp;""))&gt;0),'DATOS'!N196,""),"Hay una entrada con error. Corregimos el dato antes de cerrar la comprobación.")</f>
      </c>
      <c r="L196" s="26">
        <f>IFERROR(IF(N196=0,"",IF(O196&gt;0,"Completamos datos, claves o motivo. ","")&amp;IF(P196&gt;0,"Cotejamos precios e importe. ","")&amp;IF(Q196&gt;0,"Aclaramos el cero. ","")&amp;IF(R196&gt;0,"Comprobamos el texto. ","")&amp;IF(S196&gt;0,"Revisamos decimales visibles. ","")&amp;IF(T196&gt;0,"Confirmamos la unidad.","")),"Hay una entrada con error. Corregimos el dato antes de cerrar la comprobación.")</f>
      </c>
      <c r="N196" s="29" t="n">
        <f>IF(COUNTA('DATOS'!B196:O196)&gt;0,1,0)</f>
        <v>0</v>
      </c>
      <c r="O196" s="29">
        <f>IFERROR(IF(N196=0,"",IF(OR(NOT(AND(LEN(TRIM('DATOS'!B196&amp;""))&gt;0,TRIM('DATOS'!B196&amp;"")&lt;&gt;"Pendiente",TRIM('DATOS'!B196&amp;"")&lt;&gt;"Por confirmar",TRIM('DATOS'!B196&amp;"")&lt;&gt;"No consta",TRIM('DATOS'!B196&amp;"")&lt;&gt;"Desconocido",TRIM('DATOS'!B196&amp;"")&lt;&gt;"Sin confirmar",TRIM('DATOS'!B196&amp;"")&lt;&gt;"Por decidir",TRIM('DATOS'!B196&amp;"")&lt;&gt;"Por comprobar")),NOT(AND(LEN(TRIM('DATOS'!C196&amp;""))&gt;0,TRIM('DATOS'!C196&amp;"")&lt;&gt;"Pendiente",TRIM('DATOS'!C196&amp;"")&lt;&gt;"Por confirmar",TRIM('DATOS'!C196&amp;"")&lt;&gt;"No consta",TRIM('DATOS'!C196&amp;"")&lt;&gt;"Desconocido",TRIM('DATOS'!C196&amp;"")&lt;&gt;"Sin confirmar",TRIM('DATOS'!C196&amp;"")&lt;&gt;"Por decidir",TRIM('DATOS'!C196&amp;"")&lt;&gt;"Por comprobar")),NOT(AND(LEN(TRIM('DATOS'!D196&amp;""))&gt;0,TRIM('DATOS'!D196&amp;"")&lt;&gt;"Pendiente",TRIM('DATOS'!D196&amp;"")&lt;&gt;"Por confirmar",TRIM('DATOS'!D196&amp;"")&lt;&gt;"No consta",TRIM('DATOS'!D196&amp;"")&lt;&gt;"Desconocido",TRIM('DATOS'!D196&amp;"")&lt;&gt;"Sin confirmar",TRIM('DATOS'!D196&amp;"")&lt;&gt;"Por decidir",TRIM('DATOS'!D196&amp;"")&lt;&gt;"Por comprobar")),NOT(AND(LEN(TRIM('DATOS'!E196&amp;""))&gt;0,TRIM('DATOS'!E196&amp;"")&lt;&gt;"Pendiente",TRIM('DATOS'!E196&amp;"")&lt;&gt;"Por confirmar",TRIM('DATOS'!E196&amp;"")&lt;&gt;"No consta",TRIM('DATOS'!E196&amp;"")&lt;&gt;"Desconocido",TRIM('DATOS'!E196&amp;"")&lt;&gt;"Sin confirmar",TRIM('DATOS'!E196&amp;"")&lt;&gt;"Por decidir",TRIM('DATOS'!E196&amp;"")&lt;&gt;"Por comprobar")),NOT(AND(LEN(TRIM('DATOS'!F196&amp;""))&gt;0,TRIM('DATOS'!F196&amp;"")&lt;&gt;"Pendiente",TRIM('DATOS'!F196&amp;"")&lt;&gt;"Por confirmar",TRIM('DATOS'!F196&amp;"")&lt;&gt;"No consta",TRIM('DATOS'!F196&amp;"")&lt;&gt;"Desconocido",TRIM('DATOS'!F196&amp;"")&lt;&gt;"Sin confirmar",TRIM('DATOS'!F196&amp;"")&lt;&gt;"Por decidir",TRIM('DATOS'!F196&amp;"")&lt;&gt;"Por comprobar")),NOT(AND(LEN(TRIM('DATOS'!N196&amp;""))&gt;0,TRIM('DATOS'!N196&amp;"")&lt;&gt;"Pendiente",TRIM('DATOS'!N196&amp;"")&lt;&gt;"Por confirmar",TRIM('DATOS'!N196&amp;"")&lt;&gt;"No consta",TRIM('DATOS'!N196&amp;"")&lt;&gt;"Desconocido",TRIM('DATOS'!N196&amp;"")&lt;&gt;"Sin confirmar",TRIM('DATOS'!N196&amp;"")&lt;&gt;"Por decidir",TRIM('DATOS'!N196&amp;"")&lt;&gt;"Por comprobar")),NOT(Y196=1),W196&lt;&gt;1,X196&gt;1,NOT(OR(LEN(TRIM('DATOS'!K196&amp;""))=0,'DATOS'!K196="Sin valorar",'DATOS'!K196="Sin coste documentado",'DATOS'!K196="Incluido en otra partida",'DATOS'!K196="Por confirmar")),NOT(OR(LEN(TRIM('DATOS'!M196&amp;""))=0,'DATOS'!M196="Sí",'DATOS'!M196="No",'DATOS'!M196="Por confirmar")),NOT(OR(LEN(TRIM('DATOS'!O196&amp;""))=0,'DATOS'!O196="Comparamos",'DATOS'!O196="No existe",'DATOS'!O196="Por confirmar"))),2,IF(AND(OR('DATOS'!G196&lt;0,'DATOS'!H196&lt;0,'DATOS'!J196&lt;0),NOT(AND(LEN(TRIM('DATOS'!L196&amp;""))&gt;0,TRIM('DATOS'!L196&amp;"")&lt;&gt;"Pendiente",TRIM('DATOS'!L196&amp;"")&lt;&gt;"Por confirmar",TRIM('DATOS'!L196&amp;"")&lt;&gt;"No consta",TRIM('DATOS'!L196&amp;"")&lt;&gt;"Desconocido",TRIM('DATOS'!L196&amp;"")&lt;&gt;"Sin confirmar",TRIM('DATOS'!L196&amp;"")&lt;&gt;"Por decidir",TRIM('DATOS'!L196&amp;"")&lt;&gt;"Por comprobar"))),1,0))),2)</f>
      </c>
      <c r="P196" s="29">
        <f>IFERROR(IF(N196=0,"",IF(NOT(Y196=1),1,IF('REFERENCIAS'!$Q$8&lt;&gt;1,2,IF(ABS('DATOS'!J196-ROUND('DATOS'!G196*'DATOS'!H196,'REFERENCIAS'!$K$8))&gt;0.00000001,2,IF('DATOS'!O196="No existe",IF(LEN(TRIM('DATOS'!I196&amp;""))=0,0,2),IF('DATOS'!O196="Comparamos",IF(LEN(TRIM('DATOS'!I196&amp;""))=0,1,IF(ISNUMBER('DATOS'!I196),IF(ABS('DATOS'!H196-'DATOS'!I196)&gt;0.00000001,2,0),2)),1)))))),2)</f>
      </c>
      <c r="Q196" s="29">
        <f>IFERROR(IF(N196=0,"",IF(NOT(Y196=1),1,IF('DATOS'!K196="Sin valorar",2,IF('DATOS'!G196=0,1,IF(OR('DATOS'!H196=0,'DATOS'!J196=0),IF(AND(OR('DATOS'!K196="Sin coste documentado",'DATOS'!K196="Incluido en otra partida"),AND(LEN(TRIM('DATOS'!L196&amp;""))&gt;0,TRIM('DATOS'!L196&amp;"")&lt;&gt;"Pendiente",TRIM('DATOS'!L196&amp;"")&lt;&gt;"Por confirmar",TRIM('DATOS'!L196&amp;"")&lt;&gt;"No consta",TRIM('DATOS'!L196&amp;"")&lt;&gt;"Desconocido",TRIM('DATOS'!L196&amp;"")&lt;&gt;"Sin confirmar",TRIM('DATOS'!L196&amp;"")&lt;&gt;"Por decidir",TRIM('DATOS'!L196&amp;"")&lt;&gt;"Por comprobar")),0,1),0))))),2)</f>
      </c>
      <c r="R196" s="29">
        <f>IFERROR(IF(N196=0,"",IF(OR(NOT(AND(LEN(TRIM('DATOS'!D196&amp;""))&gt;0,TRIM('DATOS'!D196&amp;"")&lt;&gt;"Pendiente",TRIM('DATOS'!D196&amp;"")&lt;&gt;"Por confirmar",TRIM('DATOS'!D196&amp;"")&lt;&gt;"No consta",TRIM('DATOS'!D196&amp;"")&lt;&gt;"Desconocido",TRIM('DATOS'!D196&amp;"")&lt;&gt;"Sin confirmar",TRIM('DATOS'!D196&amp;"")&lt;&gt;"Por decidir",TRIM('DATOS'!D196&amp;"")&lt;&gt;"Por comprobar")),NOT(AND(LEN(TRIM('DATOS'!E196&amp;""))&gt;0,TRIM('DATOS'!E196&amp;"")&lt;&gt;"Pendiente",TRIM('DATOS'!E196&amp;"")&lt;&gt;"Por confirmar",TRIM('DATOS'!E196&amp;"")&lt;&gt;"No consta",TRIM('DATOS'!E196&amp;"")&lt;&gt;"Desconocido",TRIM('DATOS'!E196&amp;"")&lt;&gt;"Sin confirmar",TRIM('DATOS'!E196&amp;"")&lt;&gt;"Por decidir",TRIM('DATOS'!E196&amp;"")&lt;&gt;"Por comprobar"))),2,IF('DATOS'!M196="No",2,IF('DATOS'!M196="Sí",0,IF(OR('DATOS'!D196&lt;&gt;'DATOS'!E196,LEN('DATOS'!E196)&gt;300,RIGHT(TRIM('DATOS'!E196),3)="...",RIGHT(TRIM('DATOS'!E196),1)="…"),1,0))))),2)</f>
      </c>
      <c r="S196" s="29">
        <f>IFERROR(IF(N196=0,"",IF('REFERENCIAS'!$Q$8&lt;&gt;1,2,IF(NOT(Y196=1),1,IF(OR(ABS('DATOS'!G196-ROUND('DATOS'!G196,'REFERENCIAS'!$E$8))&gt;0.00000001,ABS('DATOS'!H196-ROUND('DATOS'!H196,'REFERENCIAS'!$H$8))&gt;0.00000001,ABS('DATOS'!J196-ROUND('DATOS'!J196,'REFERENCIAS'!$K$8))&gt;0.00000001,IF(ISNUMBER('DATOS'!I196),ABS('DATOS'!I196-ROUND('DATOS'!I196,'REFERENCIAS'!$H$8))&gt;0.00000001,FALSE)),1,0)))),2)</f>
      </c>
      <c r="T196" s="29">
        <f>IFERROR(IF(N196=0,"",IF(NOT(AND(LEN(TRIM('DATOS'!F196&amp;""))&gt;0,TRIM('DATOS'!F196&amp;"")&lt;&gt;"Pendiente",TRIM('DATOS'!F196&amp;"")&lt;&gt;"Por confirmar",TRIM('DATOS'!F196&amp;"")&lt;&gt;"No consta",TRIM('DATOS'!F196&amp;"")&lt;&gt;"Desconocido",TRIM('DATOS'!F196&amp;"")&lt;&gt;"Sin confirmar",TRIM('DATOS'!F196&amp;"")&lt;&gt;"Por decidir",TRIM('DATOS'!F196&amp;"")&lt;&gt;"Por comprobar")),2,IF(COUNTIFS('REFERENCIAS'!$T$15:$T$34,"ID:"&amp;SUBSTITUTE(SUBSTITUTE(SUBSTITUTE(SUBSTITUTE(UPPER(TRIM('DATOS'!F196&amp;"")),"!","!E"),"*","!A"),"?","!B"),"~","!C"),'REFERENCIAS'!$H$15:$H$34,"&lt;&gt;")&gt;0,0,1))),2)</f>
      </c>
      <c r="U196" s="29" t="str">
        <f>'DATOS'!R196</f>
        <v>ID:</v>
      </c>
      <c r="V196" s="29" t="str">
        <f>'DATOS'!S196</f>
        <v>ID:</v>
      </c>
      <c r="W196" s="29" t="n">
        <f>IF(N196=0,0,COUNTIFS('REFERENCIAS'!$R$15:$R$64,U196))</f>
        <v>0</v>
      </c>
      <c r="X196" s="29" t="n">
        <f>IF(N196=0,0,COUNTIFS('DATOS'!$R$10:$R$509,U196,'DATOS'!$S$10:$S$509,V196))</f>
        <v>0</v>
      </c>
      <c r="Y196" s="29" t="n">
        <f>IF(AND(ISNUMBER('DATOS'!G196),ISNUMBER('DATOS'!H196),ISNUMBER('DATOS'!J196)),1,0)</f>
        <v>0</v>
      </c>
    </row>
    <row r="197" ht="64" customHeight="1">
      <c r="B197" s="26">
        <f>IF(N197=1,188,"")</f>
      </c>
      <c r="C197" s="26">
        <f>IF(AND(N197=1,LEN(TRIM('DATOS'!B197&amp;""))&gt;0),'DATOS'!B197,"")</f>
      </c>
      <c r="D197" s="26">
        <f>IF(AND(N197=1,LEN(TRIM('DATOS'!C197&amp;""))&gt;0),'DATOS'!C197,"")</f>
      </c>
      <c r="E197" s="26">
        <f>IF(NOT(ISNUMBER(P197)),"",IF(P197=2,"ROJO",IF(P197=1,"ÁMBAR","VERDE")))</f>
      </c>
      <c r="F197" s="26">
        <f>IF(NOT(ISNUMBER(Q197)),"",IF(Q197=2,"ROJO",IF(Q197=1,"ÁMBAR","VERDE")))</f>
      </c>
      <c r="G197" s="26">
        <f>IF(NOT(ISNUMBER(R197)),"",IF(R197=2,"ROJO",IF(R197=1,"ÁMBAR","VERDE")))</f>
      </c>
      <c r="H197" s="26">
        <f>IF(NOT(ISNUMBER(S197)),"",IF(S197=2,"ROJO",IF(S197=1,"ÁMBAR","VERDE")))</f>
      </c>
      <c r="I197" s="26">
        <f>IF(NOT(ISNUMBER(T197)),"",IF(T197=2,"ROJO",IF(T197=1,"ÁMBAR","VERDE")))</f>
      </c>
      <c r="J197" s="26">
        <f>IF(NOT(ISNUMBER(O197)),"",IF(O197=2,"ROJO",IF(O197=1,"ÁMBAR","VERDE")))</f>
      </c>
      <c r="K197" s="26">
        <f>IFERROR(IF(AND(N197=1,LEN(TRIM('DATOS'!N197&amp;""))&gt;0),'DATOS'!N197,""),"Hay una entrada con error. Corregimos el dato antes de cerrar la comprobación.")</f>
      </c>
      <c r="L197" s="26">
        <f>IFERROR(IF(N197=0,"",IF(O197&gt;0,"Completamos datos, claves o motivo. ","")&amp;IF(P197&gt;0,"Cotejamos precios e importe. ","")&amp;IF(Q197&gt;0,"Aclaramos el cero. ","")&amp;IF(R197&gt;0,"Comprobamos el texto. ","")&amp;IF(S197&gt;0,"Revisamos decimales visibles. ","")&amp;IF(T197&gt;0,"Confirmamos la unidad.","")),"Hay una entrada con error. Corregimos el dato antes de cerrar la comprobación.")</f>
      </c>
      <c r="N197" s="29" t="n">
        <f>IF(COUNTA('DATOS'!B197:O197)&gt;0,1,0)</f>
        <v>0</v>
      </c>
      <c r="O197" s="29">
        <f>IFERROR(IF(N197=0,"",IF(OR(NOT(AND(LEN(TRIM('DATOS'!B197&amp;""))&gt;0,TRIM('DATOS'!B197&amp;"")&lt;&gt;"Pendiente",TRIM('DATOS'!B197&amp;"")&lt;&gt;"Por confirmar",TRIM('DATOS'!B197&amp;"")&lt;&gt;"No consta",TRIM('DATOS'!B197&amp;"")&lt;&gt;"Desconocido",TRIM('DATOS'!B197&amp;"")&lt;&gt;"Sin confirmar",TRIM('DATOS'!B197&amp;"")&lt;&gt;"Por decidir",TRIM('DATOS'!B197&amp;"")&lt;&gt;"Por comprobar")),NOT(AND(LEN(TRIM('DATOS'!C197&amp;""))&gt;0,TRIM('DATOS'!C197&amp;"")&lt;&gt;"Pendiente",TRIM('DATOS'!C197&amp;"")&lt;&gt;"Por confirmar",TRIM('DATOS'!C197&amp;"")&lt;&gt;"No consta",TRIM('DATOS'!C197&amp;"")&lt;&gt;"Desconocido",TRIM('DATOS'!C197&amp;"")&lt;&gt;"Sin confirmar",TRIM('DATOS'!C197&amp;"")&lt;&gt;"Por decidir",TRIM('DATOS'!C197&amp;"")&lt;&gt;"Por comprobar")),NOT(AND(LEN(TRIM('DATOS'!D197&amp;""))&gt;0,TRIM('DATOS'!D197&amp;"")&lt;&gt;"Pendiente",TRIM('DATOS'!D197&amp;"")&lt;&gt;"Por confirmar",TRIM('DATOS'!D197&amp;"")&lt;&gt;"No consta",TRIM('DATOS'!D197&amp;"")&lt;&gt;"Desconocido",TRIM('DATOS'!D197&amp;"")&lt;&gt;"Sin confirmar",TRIM('DATOS'!D197&amp;"")&lt;&gt;"Por decidir",TRIM('DATOS'!D197&amp;"")&lt;&gt;"Por comprobar")),NOT(AND(LEN(TRIM('DATOS'!E197&amp;""))&gt;0,TRIM('DATOS'!E197&amp;"")&lt;&gt;"Pendiente",TRIM('DATOS'!E197&amp;"")&lt;&gt;"Por confirmar",TRIM('DATOS'!E197&amp;"")&lt;&gt;"No consta",TRIM('DATOS'!E197&amp;"")&lt;&gt;"Desconocido",TRIM('DATOS'!E197&amp;"")&lt;&gt;"Sin confirmar",TRIM('DATOS'!E197&amp;"")&lt;&gt;"Por decidir",TRIM('DATOS'!E197&amp;"")&lt;&gt;"Por comprobar")),NOT(AND(LEN(TRIM('DATOS'!F197&amp;""))&gt;0,TRIM('DATOS'!F197&amp;"")&lt;&gt;"Pendiente",TRIM('DATOS'!F197&amp;"")&lt;&gt;"Por confirmar",TRIM('DATOS'!F197&amp;"")&lt;&gt;"No consta",TRIM('DATOS'!F197&amp;"")&lt;&gt;"Desconocido",TRIM('DATOS'!F197&amp;"")&lt;&gt;"Sin confirmar",TRIM('DATOS'!F197&amp;"")&lt;&gt;"Por decidir",TRIM('DATOS'!F197&amp;"")&lt;&gt;"Por comprobar")),NOT(AND(LEN(TRIM('DATOS'!N197&amp;""))&gt;0,TRIM('DATOS'!N197&amp;"")&lt;&gt;"Pendiente",TRIM('DATOS'!N197&amp;"")&lt;&gt;"Por confirmar",TRIM('DATOS'!N197&amp;"")&lt;&gt;"No consta",TRIM('DATOS'!N197&amp;"")&lt;&gt;"Desconocido",TRIM('DATOS'!N197&amp;"")&lt;&gt;"Sin confirmar",TRIM('DATOS'!N197&amp;"")&lt;&gt;"Por decidir",TRIM('DATOS'!N197&amp;"")&lt;&gt;"Por comprobar")),NOT(Y197=1),W197&lt;&gt;1,X197&gt;1,NOT(OR(LEN(TRIM('DATOS'!K197&amp;""))=0,'DATOS'!K197="Sin valorar",'DATOS'!K197="Sin coste documentado",'DATOS'!K197="Incluido en otra partida",'DATOS'!K197="Por confirmar")),NOT(OR(LEN(TRIM('DATOS'!M197&amp;""))=0,'DATOS'!M197="Sí",'DATOS'!M197="No",'DATOS'!M197="Por confirmar")),NOT(OR(LEN(TRIM('DATOS'!O197&amp;""))=0,'DATOS'!O197="Comparamos",'DATOS'!O197="No existe",'DATOS'!O197="Por confirmar"))),2,IF(AND(OR('DATOS'!G197&lt;0,'DATOS'!H197&lt;0,'DATOS'!J197&lt;0),NOT(AND(LEN(TRIM('DATOS'!L197&amp;""))&gt;0,TRIM('DATOS'!L197&amp;"")&lt;&gt;"Pendiente",TRIM('DATOS'!L197&amp;"")&lt;&gt;"Por confirmar",TRIM('DATOS'!L197&amp;"")&lt;&gt;"No consta",TRIM('DATOS'!L197&amp;"")&lt;&gt;"Desconocido",TRIM('DATOS'!L197&amp;"")&lt;&gt;"Sin confirmar",TRIM('DATOS'!L197&amp;"")&lt;&gt;"Por decidir",TRIM('DATOS'!L197&amp;"")&lt;&gt;"Por comprobar"))),1,0))),2)</f>
      </c>
      <c r="P197" s="29">
        <f>IFERROR(IF(N197=0,"",IF(NOT(Y197=1),1,IF('REFERENCIAS'!$Q$8&lt;&gt;1,2,IF(ABS('DATOS'!J197-ROUND('DATOS'!G197*'DATOS'!H197,'REFERENCIAS'!$K$8))&gt;0.00000001,2,IF('DATOS'!O197="No existe",IF(LEN(TRIM('DATOS'!I197&amp;""))=0,0,2),IF('DATOS'!O197="Comparamos",IF(LEN(TRIM('DATOS'!I197&amp;""))=0,1,IF(ISNUMBER('DATOS'!I197),IF(ABS('DATOS'!H197-'DATOS'!I197)&gt;0.00000001,2,0),2)),1)))))),2)</f>
      </c>
      <c r="Q197" s="29">
        <f>IFERROR(IF(N197=0,"",IF(NOT(Y197=1),1,IF('DATOS'!K197="Sin valorar",2,IF('DATOS'!G197=0,1,IF(OR('DATOS'!H197=0,'DATOS'!J197=0),IF(AND(OR('DATOS'!K197="Sin coste documentado",'DATOS'!K197="Incluido en otra partida"),AND(LEN(TRIM('DATOS'!L197&amp;""))&gt;0,TRIM('DATOS'!L197&amp;"")&lt;&gt;"Pendiente",TRIM('DATOS'!L197&amp;"")&lt;&gt;"Por confirmar",TRIM('DATOS'!L197&amp;"")&lt;&gt;"No consta",TRIM('DATOS'!L197&amp;"")&lt;&gt;"Desconocido",TRIM('DATOS'!L197&amp;"")&lt;&gt;"Sin confirmar",TRIM('DATOS'!L197&amp;"")&lt;&gt;"Por decidir",TRIM('DATOS'!L197&amp;"")&lt;&gt;"Por comprobar")),0,1),0))))),2)</f>
      </c>
      <c r="R197" s="29">
        <f>IFERROR(IF(N197=0,"",IF(OR(NOT(AND(LEN(TRIM('DATOS'!D197&amp;""))&gt;0,TRIM('DATOS'!D197&amp;"")&lt;&gt;"Pendiente",TRIM('DATOS'!D197&amp;"")&lt;&gt;"Por confirmar",TRIM('DATOS'!D197&amp;"")&lt;&gt;"No consta",TRIM('DATOS'!D197&amp;"")&lt;&gt;"Desconocido",TRIM('DATOS'!D197&amp;"")&lt;&gt;"Sin confirmar",TRIM('DATOS'!D197&amp;"")&lt;&gt;"Por decidir",TRIM('DATOS'!D197&amp;"")&lt;&gt;"Por comprobar")),NOT(AND(LEN(TRIM('DATOS'!E197&amp;""))&gt;0,TRIM('DATOS'!E197&amp;"")&lt;&gt;"Pendiente",TRIM('DATOS'!E197&amp;"")&lt;&gt;"Por confirmar",TRIM('DATOS'!E197&amp;"")&lt;&gt;"No consta",TRIM('DATOS'!E197&amp;"")&lt;&gt;"Desconocido",TRIM('DATOS'!E197&amp;"")&lt;&gt;"Sin confirmar",TRIM('DATOS'!E197&amp;"")&lt;&gt;"Por decidir",TRIM('DATOS'!E197&amp;"")&lt;&gt;"Por comprobar"))),2,IF('DATOS'!M197="No",2,IF('DATOS'!M197="Sí",0,IF(OR('DATOS'!D197&lt;&gt;'DATOS'!E197,LEN('DATOS'!E197)&gt;300,RIGHT(TRIM('DATOS'!E197),3)="...",RIGHT(TRIM('DATOS'!E197),1)="…"),1,0))))),2)</f>
      </c>
      <c r="S197" s="29">
        <f>IFERROR(IF(N197=0,"",IF('REFERENCIAS'!$Q$8&lt;&gt;1,2,IF(NOT(Y197=1),1,IF(OR(ABS('DATOS'!G197-ROUND('DATOS'!G197,'REFERENCIAS'!$E$8))&gt;0.00000001,ABS('DATOS'!H197-ROUND('DATOS'!H197,'REFERENCIAS'!$H$8))&gt;0.00000001,ABS('DATOS'!J197-ROUND('DATOS'!J197,'REFERENCIAS'!$K$8))&gt;0.00000001,IF(ISNUMBER('DATOS'!I197),ABS('DATOS'!I197-ROUND('DATOS'!I197,'REFERENCIAS'!$H$8))&gt;0.00000001,FALSE)),1,0)))),2)</f>
      </c>
      <c r="T197" s="29">
        <f>IFERROR(IF(N197=0,"",IF(NOT(AND(LEN(TRIM('DATOS'!F197&amp;""))&gt;0,TRIM('DATOS'!F197&amp;"")&lt;&gt;"Pendiente",TRIM('DATOS'!F197&amp;"")&lt;&gt;"Por confirmar",TRIM('DATOS'!F197&amp;"")&lt;&gt;"No consta",TRIM('DATOS'!F197&amp;"")&lt;&gt;"Desconocido",TRIM('DATOS'!F197&amp;"")&lt;&gt;"Sin confirmar",TRIM('DATOS'!F197&amp;"")&lt;&gt;"Por decidir",TRIM('DATOS'!F197&amp;"")&lt;&gt;"Por comprobar")),2,IF(COUNTIFS('REFERENCIAS'!$T$15:$T$34,"ID:"&amp;SUBSTITUTE(SUBSTITUTE(SUBSTITUTE(SUBSTITUTE(UPPER(TRIM('DATOS'!F197&amp;"")),"!","!E"),"*","!A"),"?","!B"),"~","!C"),'REFERENCIAS'!$H$15:$H$34,"&lt;&gt;")&gt;0,0,1))),2)</f>
      </c>
      <c r="U197" s="29" t="str">
        <f>'DATOS'!R197</f>
        <v>ID:</v>
      </c>
      <c r="V197" s="29" t="str">
        <f>'DATOS'!S197</f>
        <v>ID:</v>
      </c>
      <c r="W197" s="29" t="n">
        <f>IF(N197=0,0,COUNTIFS('REFERENCIAS'!$R$15:$R$64,U197))</f>
        <v>0</v>
      </c>
      <c r="X197" s="29" t="n">
        <f>IF(N197=0,0,COUNTIFS('DATOS'!$R$10:$R$509,U197,'DATOS'!$S$10:$S$509,V197))</f>
        <v>0</v>
      </c>
      <c r="Y197" s="29" t="n">
        <f>IF(AND(ISNUMBER('DATOS'!G197),ISNUMBER('DATOS'!H197),ISNUMBER('DATOS'!J197)),1,0)</f>
        <v>0</v>
      </c>
    </row>
    <row r="198" ht="64" customHeight="1">
      <c r="B198" s="26">
        <f>IF(N198=1,189,"")</f>
      </c>
      <c r="C198" s="26">
        <f>IF(AND(N198=1,LEN(TRIM('DATOS'!B198&amp;""))&gt;0),'DATOS'!B198,"")</f>
      </c>
      <c r="D198" s="26">
        <f>IF(AND(N198=1,LEN(TRIM('DATOS'!C198&amp;""))&gt;0),'DATOS'!C198,"")</f>
      </c>
      <c r="E198" s="26">
        <f>IF(NOT(ISNUMBER(P198)),"",IF(P198=2,"ROJO",IF(P198=1,"ÁMBAR","VERDE")))</f>
      </c>
      <c r="F198" s="26">
        <f>IF(NOT(ISNUMBER(Q198)),"",IF(Q198=2,"ROJO",IF(Q198=1,"ÁMBAR","VERDE")))</f>
      </c>
      <c r="G198" s="26">
        <f>IF(NOT(ISNUMBER(R198)),"",IF(R198=2,"ROJO",IF(R198=1,"ÁMBAR","VERDE")))</f>
      </c>
      <c r="H198" s="26">
        <f>IF(NOT(ISNUMBER(S198)),"",IF(S198=2,"ROJO",IF(S198=1,"ÁMBAR","VERDE")))</f>
      </c>
      <c r="I198" s="26">
        <f>IF(NOT(ISNUMBER(T198)),"",IF(T198=2,"ROJO",IF(T198=1,"ÁMBAR","VERDE")))</f>
      </c>
      <c r="J198" s="26">
        <f>IF(NOT(ISNUMBER(O198)),"",IF(O198=2,"ROJO",IF(O198=1,"ÁMBAR","VERDE")))</f>
      </c>
      <c r="K198" s="26">
        <f>IFERROR(IF(AND(N198=1,LEN(TRIM('DATOS'!N198&amp;""))&gt;0),'DATOS'!N198,""),"Hay una entrada con error. Corregimos el dato antes de cerrar la comprobación.")</f>
      </c>
      <c r="L198" s="26">
        <f>IFERROR(IF(N198=0,"",IF(O198&gt;0,"Completamos datos, claves o motivo. ","")&amp;IF(P198&gt;0,"Cotejamos precios e importe. ","")&amp;IF(Q198&gt;0,"Aclaramos el cero. ","")&amp;IF(R198&gt;0,"Comprobamos el texto. ","")&amp;IF(S198&gt;0,"Revisamos decimales visibles. ","")&amp;IF(T198&gt;0,"Confirmamos la unidad.","")),"Hay una entrada con error. Corregimos el dato antes de cerrar la comprobación.")</f>
      </c>
      <c r="N198" s="29" t="n">
        <f>IF(COUNTA('DATOS'!B198:O198)&gt;0,1,0)</f>
        <v>0</v>
      </c>
      <c r="O198" s="29">
        <f>IFERROR(IF(N198=0,"",IF(OR(NOT(AND(LEN(TRIM('DATOS'!B198&amp;""))&gt;0,TRIM('DATOS'!B198&amp;"")&lt;&gt;"Pendiente",TRIM('DATOS'!B198&amp;"")&lt;&gt;"Por confirmar",TRIM('DATOS'!B198&amp;"")&lt;&gt;"No consta",TRIM('DATOS'!B198&amp;"")&lt;&gt;"Desconocido",TRIM('DATOS'!B198&amp;"")&lt;&gt;"Sin confirmar",TRIM('DATOS'!B198&amp;"")&lt;&gt;"Por decidir",TRIM('DATOS'!B198&amp;"")&lt;&gt;"Por comprobar")),NOT(AND(LEN(TRIM('DATOS'!C198&amp;""))&gt;0,TRIM('DATOS'!C198&amp;"")&lt;&gt;"Pendiente",TRIM('DATOS'!C198&amp;"")&lt;&gt;"Por confirmar",TRIM('DATOS'!C198&amp;"")&lt;&gt;"No consta",TRIM('DATOS'!C198&amp;"")&lt;&gt;"Desconocido",TRIM('DATOS'!C198&amp;"")&lt;&gt;"Sin confirmar",TRIM('DATOS'!C198&amp;"")&lt;&gt;"Por decidir",TRIM('DATOS'!C198&amp;"")&lt;&gt;"Por comprobar")),NOT(AND(LEN(TRIM('DATOS'!D198&amp;""))&gt;0,TRIM('DATOS'!D198&amp;"")&lt;&gt;"Pendiente",TRIM('DATOS'!D198&amp;"")&lt;&gt;"Por confirmar",TRIM('DATOS'!D198&amp;"")&lt;&gt;"No consta",TRIM('DATOS'!D198&amp;"")&lt;&gt;"Desconocido",TRIM('DATOS'!D198&amp;"")&lt;&gt;"Sin confirmar",TRIM('DATOS'!D198&amp;"")&lt;&gt;"Por decidir",TRIM('DATOS'!D198&amp;"")&lt;&gt;"Por comprobar")),NOT(AND(LEN(TRIM('DATOS'!E198&amp;""))&gt;0,TRIM('DATOS'!E198&amp;"")&lt;&gt;"Pendiente",TRIM('DATOS'!E198&amp;"")&lt;&gt;"Por confirmar",TRIM('DATOS'!E198&amp;"")&lt;&gt;"No consta",TRIM('DATOS'!E198&amp;"")&lt;&gt;"Desconocido",TRIM('DATOS'!E198&amp;"")&lt;&gt;"Sin confirmar",TRIM('DATOS'!E198&amp;"")&lt;&gt;"Por decidir",TRIM('DATOS'!E198&amp;"")&lt;&gt;"Por comprobar")),NOT(AND(LEN(TRIM('DATOS'!F198&amp;""))&gt;0,TRIM('DATOS'!F198&amp;"")&lt;&gt;"Pendiente",TRIM('DATOS'!F198&amp;"")&lt;&gt;"Por confirmar",TRIM('DATOS'!F198&amp;"")&lt;&gt;"No consta",TRIM('DATOS'!F198&amp;"")&lt;&gt;"Desconocido",TRIM('DATOS'!F198&amp;"")&lt;&gt;"Sin confirmar",TRIM('DATOS'!F198&amp;"")&lt;&gt;"Por decidir",TRIM('DATOS'!F198&amp;"")&lt;&gt;"Por comprobar")),NOT(AND(LEN(TRIM('DATOS'!N198&amp;""))&gt;0,TRIM('DATOS'!N198&amp;"")&lt;&gt;"Pendiente",TRIM('DATOS'!N198&amp;"")&lt;&gt;"Por confirmar",TRIM('DATOS'!N198&amp;"")&lt;&gt;"No consta",TRIM('DATOS'!N198&amp;"")&lt;&gt;"Desconocido",TRIM('DATOS'!N198&amp;"")&lt;&gt;"Sin confirmar",TRIM('DATOS'!N198&amp;"")&lt;&gt;"Por decidir",TRIM('DATOS'!N198&amp;"")&lt;&gt;"Por comprobar")),NOT(Y198=1),W198&lt;&gt;1,X198&gt;1,NOT(OR(LEN(TRIM('DATOS'!K198&amp;""))=0,'DATOS'!K198="Sin valorar",'DATOS'!K198="Sin coste documentado",'DATOS'!K198="Incluido en otra partida",'DATOS'!K198="Por confirmar")),NOT(OR(LEN(TRIM('DATOS'!M198&amp;""))=0,'DATOS'!M198="Sí",'DATOS'!M198="No",'DATOS'!M198="Por confirmar")),NOT(OR(LEN(TRIM('DATOS'!O198&amp;""))=0,'DATOS'!O198="Comparamos",'DATOS'!O198="No existe",'DATOS'!O198="Por confirmar"))),2,IF(AND(OR('DATOS'!G198&lt;0,'DATOS'!H198&lt;0,'DATOS'!J198&lt;0),NOT(AND(LEN(TRIM('DATOS'!L198&amp;""))&gt;0,TRIM('DATOS'!L198&amp;"")&lt;&gt;"Pendiente",TRIM('DATOS'!L198&amp;"")&lt;&gt;"Por confirmar",TRIM('DATOS'!L198&amp;"")&lt;&gt;"No consta",TRIM('DATOS'!L198&amp;"")&lt;&gt;"Desconocido",TRIM('DATOS'!L198&amp;"")&lt;&gt;"Sin confirmar",TRIM('DATOS'!L198&amp;"")&lt;&gt;"Por decidir",TRIM('DATOS'!L198&amp;"")&lt;&gt;"Por comprobar"))),1,0))),2)</f>
      </c>
      <c r="P198" s="29">
        <f>IFERROR(IF(N198=0,"",IF(NOT(Y198=1),1,IF('REFERENCIAS'!$Q$8&lt;&gt;1,2,IF(ABS('DATOS'!J198-ROUND('DATOS'!G198*'DATOS'!H198,'REFERENCIAS'!$K$8))&gt;0.00000001,2,IF('DATOS'!O198="No existe",IF(LEN(TRIM('DATOS'!I198&amp;""))=0,0,2),IF('DATOS'!O198="Comparamos",IF(LEN(TRIM('DATOS'!I198&amp;""))=0,1,IF(ISNUMBER('DATOS'!I198),IF(ABS('DATOS'!H198-'DATOS'!I198)&gt;0.00000001,2,0),2)),1)))))),2)</f>
      </c>
      <c r="Q198" s="29">
        <f>IFERROR(IF(N198=0,"",IF(NOT(Y198=1),1,IF('DATOS'!K198="Sin valorar",2,IF('DATOS'!G198=0,1,IF(OR('DATOS'!H198=0,'DATOS'!J198=0),IF(AND(OR('DATOS'!K198="Sin coste documentado",'DATOS'!K198="Incluido en otra partida"),AND(LEN(TRIM('DATOS'!L198&amp;""))&gt;0,TRIM('DATOS'!L198&amp;"")&lt;&gt;"Pendiente",TRIM('DATOS'!L198&amp;"")&lt;&gt;"Por confirmar",TRIM('DATOS'!L198&amp;"")&lt;&gt;"No consta",TRIM('DATOS'!L198&amp;"")&lt;&gt;"Desconocido",TRIM('DATOS'!L198&amp;"")&lt;&gt;"Sin confirmar",TRIM('DATOS'!L198&amp;"")&lt;&gt;"Por decidir",TRIM('DATOS'!L198&amp;"")&lt;&gt;"Por comprobar")),0,1),0))))),2)</f>
      </c>
      <c r="R198" s="29">
        <f>IFERROR(IF(N198=0,"",IF(OR(NOT(AND(LEN(TRIM('DATOS'!D198&amp;""))&gt;0,TRIM('DATOS'!D198&amp;"")&lt;&gt;"Pendiente",TRIM('DATOS'!D198&amp;"")&lt;&gt;"Por confirmar",TRIM('DATOS'!D198&amp;"")&lt;&gt;"No consta",TRIM('DATOS'!D198&amp;"")&lt;&gt;"Desconocido",TRIM('DATOS'!D198&amp;"")&lt;&gt;"Sin confirmar",TRIM('DATOS'!D198&amp;"")&lt;&gt;"Por decidir",TRIM('DATOS'!D198&amp;"")&lt;&gt;"Por comprobar")),NOT(AND(LEN(TRIM('DATOS'!E198&amp;""))&gt;0,TRIM('DATOS'!E198&amp;"")&lt;&gt;"Pendiente",TRIM('DATOS'!E198&amp;"")&lt;&gt;"Por confirmar",TRIM('DATOS'!E198&amp;"")&lt;&gt;"No consta",TRIM('DATOS'!E198&amp;"")&lt;&gt;"Desconocido",TRIM('DATOS'!E198&amp;"")&lt;&gt;"Sin confirmar",TRIM('DATOS'!E198&amp;"")&lt;&gt;"Por decidir",TRIM('DATOS'!E198&amp;"")&lt;&gt;"Por comprobar"))),2,IF('DATOS'!M198="No",2,IF('DATOS'!M198="Sí",0,IF(OR('DATOS'!D198&lt;&gt;'DATOS'!E198,LEN('DATOS'!E198)&gt;300,RIGHT(TRIM('DATOS'!E198),3)="...",RIGHT(TRIM('DATOS'!E198),1)="…"),1,0))))),2)</f>
      </c>
      <c r="S198" s="29">
        <f>IFERROR(IF(N198=0,"",IF('REFERENCIAS'!$Q$8&lt;&gt;1,2,IF(NOT(Y198=1),1,IF(OR(ABS('DATOS'!G198-ROUND('DATOS'!G198,'REFERENCIAS'!$E$8))&gt;0.00000001,ABS('DATOS'!H198-ROUND('DATOS'!H198,'REFERENCIAS'!$H$8))&gt;0.00000001,ABS('DATOS'!J198-ROUND('DATOS'!J198,'REFERENCIAS'!$K$8))&gt;0.00000001,IF(ISNUMBER('DATOS'!I198),ABS('DATOS'!I198-ROUND('DATOS'!I198,'REFERENCIAS'!$H$8))&gt;0.00000001,FALSE)),1,0)))),2)</f>
      </c>
      <c r="T198" s="29">
        <f>IFERROR(IF(N198=0,"",IF(NOT(AND(LEN(TRIM('DATOS'!F198&amp;""))&gt;0,TRIM('DATOS'!F198&amp;"")&lt;&gt;"Pendiente",TRIM('DATOS'!F198&amp;"")&lt;&gt;"Por confirmar",TRIM('DATOS'!F198&amp;"")&lt;&gt;"No consta",TRIM('DATOS'!F198&amp;"")&lt;&gt;"Desconocido",TRIM('DATOS'!F198&amp;"")&lt;&gt;"Sin confirmar",TRIM('DATOS'!F198&amp;"")&lt;&gt;"Por decidir",TRIM('DATOS'!F198&amp;"")&lt;&gt;"Por comprobar")),2,IF(COUNTIFS('REFERENCIAS'!$T$15:$T$34,"ID:"&amp;SUBSTITUTE(SUBSTITUTE(SUBSTITUTE(SUBSTITUTE(UPPER(TRIM('DATOS'!F198&amp;"")),"!","!E"),"*","!A"),"?","!B"),"~","!C"),'REFERENCIAS'!$H$15:$H$34,"&lt;&gt;")&gt;0,0,1))),2)</f>
      </c>
      <c r="U198" s="29" t="str">
        <f>'DATOS'!R198</f>
        <v>ID:</v>
      </c>
      <c r="V198" s="29" t="str">
        <f>'DATOS'!S198</f>
        <v>ID:</v>
      </c>
      <c r="W198" s="29" t="n">
        <f>IF(N198=0,0,COUNTIFS('REFERENCIAS'!$R$15:$R$64,U198))</f>
        <v>0</v>
      </c>
      <c r="X198" s="29" t="n">
        <f>IF(N198=0,0,COUNTIFS('DATOS'!$R$10:$R$509,U198,'DATOS'!$S$10:$S$509,V198))</f>
        <v>0</v>
      </c>
      <c r="Y198" s="29" t="n">
        <f>IF(AND(ISNUMBER('DATOS'!G198),ISNUMBER('DATOS'!H198),ISNUMBER('DATOS'!J198)),1,0)</f>
        <v>0</v>
      </c>
    </row>
    <row r="199" ht="64" customHeight="1">
      <c r="B199" s="26">
        <f>IF(N199=1,190,"")</f>
      </c>
      <c r="C199" s="26">
        <f>IF(AND(N199=1,LEN(TRIM('DATOS'!B199&amp;""))&gt;0),'DATOS'!B199,"")</f>
      </c>
      <c r="D199" s="26">
        <f>IF(AND(N199=1,LEN(TRIM('DATOS'!C199&amp;""))&gt;0),'DATOS'!C199,"")</f>
      </c>
      <c r="E199" s="26">
        <f>IF(NOT(ISNUMBER(P199)),"",IF(P199=2,"ROJO",IF(P199=1,"ÁMBAR","VERDE")))</f>
      </c>
      <c r="F199" s="26">
        <f>IF(NOT(ISNUMBER(Q199)),"",IF(Q199=2,"ROJO",IF(Q199=1,"ÁMBAR","VERDE")))</f>
      </c>
      <c r="G199" s="26">
        <f>IF(NOT(ISNUMBER(R199)),"",IF(R199=2,"ROJO",IF(R199=1,"ÁMBAR","VERDE")))</f>
      </c>
      <c r="H199" s="26">
        <f>IF(NOT(ISNUMBER(S199)),"",IF(S199=2,"ROJO",IF(S199=1,"ÁMBAR","VERDE")))</f>
      </c>
      <c r="I199" s="26">
        <f>IF(NOT(ISNUMBER(T199)),"",IF(T199=2,"ROJO",IF(T199=1,"ÁMBAR","VERDE")))</f>
      </c>
      <c r="J199" s="26">
        <f>IF(NOT(ISNUMBER(O199)),"",IF(O199=2,"ROJO",IF(O199=1,"ÁMBAR","VERDE")))</f>
      </c>
      <c r="K199" s="26">
        <f>IFERROR(IF(AND(N199=1,LEN(TRIM('DATOS'!N199&amp;""))&gt;0),'DATOS'!N199,""),"Hay una entrada con error. Corregimos el dato antes de cerrar la comprobación.")</f>
      </c>
      <c r="L199" s="26">
        <f>IFERROR(IF(N199=0,"",IF(O199&gt;0,"Completamos datos, claves o motivo. ","")&amp;IF(P199&gt;0,"Cotejamos precios e importe. ","")&amp;IF(Q199&gt;0,"Aclaramos el cero. ","")&amp;IF(R199&gt;0,"Comprobamos el texto. ","")&amp;IF(S199&gt;0,"Revisamos decimales visibles. ","")&amp;IF(T199&gt;0,"Confirmamos la unidad.","")),"Hay una entrada con error. Corregimos el dato antes de cerrar la comprobación.")</f>
      </c>
      <c r="N199" s="29" t="n">
        <f>IF(COUNTA('DATOS'!B199:O199)&gt;0,1,0)</f>
        <v>0</v>
      </c>
      <c r="O199" s="29">
        <f>IFERROR(IF(N199=0,"",IF(OR(NOT(AND(LEN(TRIM('DATOS'!B199&amp;""))&gt;0,TRIM('DATOS'!B199&amp;"")&lt;&gt;"Pendiente",TRIM('DATOS'!B199&amp;"")&lt;&gt;"Por confirmar",TRIM('DATOS'!B199&amp;"")&lt;&gt;"No consta",TRIM('DATOS'!B199&amp;"")&lt;&gt;"Desconocido",TRIM('DATOS'!B199&amp;"")&lt;&gt;"Sin confirmar",TRIM('DATOS'!B199&amp;"")&lt;&gt;"Por decidir",TRIM('DATOS'!B199&amp;"")&lt;&gt;"Por comprobar")),NOT(AND(LEN(TRIM('DATOS'!C199&amp;""))&gt;0,TRIM('DATOS'!C199&amp;"")&lt;&gt;"Pendiente",TRIM('DATOS'!C199&amp;"")&lt;&gt;"Por confirmar",TRIM('DATOS'!C199&amp;"")&lt;&gt;"No consta",TRIM('DATOS'!C199&amp;"")&lt;&gt;"Desconocido",TRIM('DATOS'!C199&amp;"")&lt;&gt;"Sin confirmar",TRIM('DATOS'!C199&amp;"")&lt;&gt;"Por decidir",TRIM('DATOS'!C199&amp;"")&lt;&gt;"Por comprobar")),NOT(AND(LEN(TRIM('DATOS'!D199&amp;""))&gt;0,TRIM('DATOS'!D199&amp;"")&lt;&gt;"Pendiente",TRIM('DATOS'!D199&amp;"")&lt;&gt;"Por confirmar",TRIM('DATOS'!D199&amp;"")&lt;&gt;"No consta",TRIM('DATOS'!D199&amp;"")&lt;&gt;"Desconocido",TRIM('DATOS'!D199&amp;"")&lt;&gt;"Sin confirmar",TRIM('DATOS'!D199&amp;"")&lt;&gt;"Por decidir",TRIM('DATOS'!D199&amp;"")&lt;&gt;"Por comprobar")),NOT(AND(LEN(TRIM('DATOS'!E199&amp;""))&gt;0,TRIM('DATOS'!E199&amp;"")&lt;&gt;"Pendiente",TRIM('DATOS'!E199&amp;"")&lt;&gt;"Por confirmar",TRIM('DATOS'!E199&amp;"")&lt;&gt;"No consta",TRIM('DATOS'!E199&amp;"")&lt;&gt;"Desconocido",TRIM('DATOS'!E199&amp;"")&lt;&gt;"Sin confirmar",TRIM('DATOS'!E199&amp;"")&lt;&gt;"Por decidir",TRIM('DATOS'!E199&amp;"")&lt;&gt;"Por comprobar")),NOT(AND(LEN(TRIM('DATOS'!F199&amp;""))&gt;0,TRIM('DATOS'!F199&amp;"")&lt;&gt;"Pendiente",TRIM('DATOS'!F199&amp;"")&lt;&gt;"Por confirmar",TRIM('DATOS'!F199&amp;"")&lt;&gt;"No consta",TRIM('DATOS'!F199&amp;"")&lt;&gt;"Desconocido",TRIM('DATOS'!F199&amp;"")&lt;&gt;"Sin confirmar",TRIM('DATOS'!F199&amp;"")&lt;&gt;"Por decidir",TRIM('DATOS'!F199&amp;"")&lt;&gt;"Por comprobar")),NOT(AND(LEN(TRIM('DATOS'!N199&amp;""))&gt;0,TRIM('DATOS'!N199&amp;"")&lt;&gt;"Pendiente",TRIM('DATOS'!N199&amp;"")&lt;&gt;"Por confirmar",TRIM('DATOS'!N199&amp;"")&lt;&gt;"No consta",TRIM('DATOS'!N199&amp;"")&lt;&gt;"Desconocido",TRIM('DATOS'!N199&amp;"")&lt;&gt;"Sin confirmar",TRIM('DATOS'!N199&amp;"")&lt;&gt;"Por decidir",TRIM('DATOS'!N199&amp;"")&lt;&gt;"Por comprobar")),NOT(Y199=1),W199&lt;&gt;1,X199&gt;1,NOT(OR(LEN(TRIM('DATOS'!K199&amp;""))=0,'DATOS'!K199="Sin valorar",'DATOS'!K199="Sin coste documentado",'DATOS'!K199="Incluido en otra partida",'DATOS'!K199="Por confirmar")),NOT(OR(LEN(TRIM('DATOS'!M199&amp;""))=0,'DATOS'!M199="Sí",'DATOS'!M199="No",'DATOS'!M199="Por confirmar")),NOT(OR(LEN(TRIM('DATOS'!O199&amp;""))=0,'DATOS'!O199="Comparamos",'DATOS'!O199="No existe",'DATOS'!O199="Por confirmar"))),2,IF(AND(OR('DATOS'!G199&lt;0,'DATOS'!H199&lt;0,'DATOS'!J199&lt;0),NOT(AND(LEN(TRIM('DATOS'!L199&amp;""))&gt;0,TRIM('DATOS'!L199&amp;"")&lt;&gt;"Pendiente",TRIM('DATOS'!L199&amp;"")&lt;&gt;"Por confirmar",TRIM('DATOS'!L199&amp;"")&lt;&gt;"No consta",TRIM('DATOS'!L199&amp;"")&lt;&gt;"Desconocido",TRIM('DATOS'!L199&amp;"")&lt;&gt;"Sin confirmar",TRIM('DATOS'!L199&amp;"")&lt;&gt;"Por decidir",TRIM('DATOS'!L199&amp;"")&lt;&gt;"Por comprobar"))),1,0))),2)</f>
      </c>
      <c r="P199" s="29">
        <f>IFERROR(IF(N199=0,"",IF(NOT(Y199=1),1,IF('REFERENCIAS'!$Q$8&lt;&gt;1,2,IF(ABS('DATOS'!J199-ROUND('DATOS'!G199*'DATOS'!H199,'REFERENCIAS'!$K$8))&gt;0.00000001,2,IF('DATOS'!O199="No existe",IF(LEN(TRIM('DATOS'!I199&amp;""))=0,0,2),IF('DATOS'!O199="Comparamos",IF(LEN(TRIM('DATOS'!I199&amp;""))=0,1,IF(ISNUMBER('DATOS'!I199),IF(ABS('DATOS'!H199-'DATOS'!I199)&gt;0.00000001,2,0),2)),1)))))),2)</f>
      </c>
      <c r="Q199" s="29">
        <f>IFERROR(IF(N199=0,"",IF(NOT(Y199=1),1,IF('DATOS'!K199="Sin valorar",2,IF('DATOS'!G199=0,1,IF(OR('DATOS'!H199=0,'DATOS'!J199=0),IF(AND(OR('DATOS'!K199="Sin coste documentado",'DATOS'!K199="Incluido en otra partida"),AND(LEN(TRIM('DATOS'!L199&amp;""))&gt;0,TRIM('DATOS'!L199&amp;"")&lt;&gt;"Pendiente",TRIM('DATOS'!L199&amp;"")&lt;&gt;"Por confirmar",TRIM('DATOS'!L199&amp;"")&lt;&gt;"No consta",TRIM('DATOS'!L199&amp;"")&lt;&gt;"Desconocido",TRIM('DATOS'!L199&amp;"")&lt;&gt;"Sin confirmar",TRIM('DATOS'!L199&amp;"")&lt;&gt;"Por decidir",TRIM('DATOS'!L199&amp;"")&lt;&gt;"Por comprobar")),0,1),0))))),2)</f>
      </c>
      <c r="R199" s="29">
        <f>IFERROR(IF(N199=0,"",IF(OR(NOT(AND(LEN(TRIM('DATOS'!D199&amp;""))&gt;0,TRIM('DATOS'!D199&amp;"")&lt;&gt;"Pendiente",TRIM('DATOS'!D199&amp;"")&lt;&gt;"Por confirmar",TRIM('DATOS'!D199&amp;"")&lt;&gt;"No consta",TRIM('DATOS'!D199&amp;"")&lt;&gt;"Desconocido",TRIM('DATOS'!D199&amp;"")&lt;&gt;"Sin confirmar",TRIM('DATOS'!D199&amp;"")&lt;&gt;"Por decidir",TRIM('DATOS'!D199&amp;"")&lt;&gt;"Por comprobar")),NOT(AND(LEN(TRIM('DATOS'!E199&amp;""))&gt;0,TRIM('DATOS'!E199&amp;"")&lt;&gt;"Pendiente",TRIM('DATOS'!E199&amp;"")&lt;&gt;"Por confirmar",TRIM('DATOS'!E199&amp;"")&lt;&gt;"No consta",TRIM('DATOS'!E199&amp;"")&lt;&gt;"Desconocido",TRIM('DATOS'!E199&amp;"")&lt;&gt;"Sin confirmar",TRIM('DATOS'!E199&amp;"")&lt;&gt;"Por decidir",TRIM('DATOS'!E199&amp;"")&lt;&gt;"Por comprobar"))),2,IF('DATOS'!M199="No",2,IF('DATOS'!M199="Sí",0,IF(OR('DATOS'!D199&lt;&gt;'DATOS'!E199,LEN('DATOS'!E199)&gt;300,RIGHT(TRIM('DATOS'!E199),3)="...",RIGHT(TRIM('DATOS'!E199),1)="…"),1,0))))),2)</f>
      </c>
      <c r="S199" s="29">
        <f>IFERROR(IF(N199=0,"",IF('REFERENCIAS'!$Q$8&lt;&gt;1,2,IF(NOT(Y199=1),1,IF(OR(ABS('DATOS'!G199-ROUND('DATOS'!G199,'REFERENCIAS'!$E$8))&gt;0.00000001,ABS('DATOS'!H199-ROUND('DATOS'!H199,'REFERENCIAS'!$H$8))&gt;0.00000001,ABS('DATOS'!J199-ROUND('DATOS'!J199,'REFERENCIAS'!$K$8))&gt;0.00000001,IF(ISNUMBER('DATOS'!I199),ABS('DATOS'!I199-ROUND('DATOS'!I199,'REFERENCIAS'!$H$8))&gt;0.00000001,FALSE)),1,0)))),2)</f>
      </c>
      <c r="T199" s="29">
        <f>IFERROR(IF(N199=0,"",IF(NOT(AND(LEN(TRIM('DATOS'!F199&amp;""))&gt;0,TRIM('DATOS'!F199&amp;"")&lt;&gt;"Pendiente",TRIM('DATOS'!F199&amp;"")&lt;&gt;"Por confirmar",TRIM('DATOS'!F199&amp;"")&lt;&gt;"No consta",TRIM('DATOS'!F199&amp;"")&lt;&gt;"Desconocido",TRIM('DATOS'!F199&amp;"")&lt;&gt;"Sin confirmar",TRIM('DATOS'!F199&amp;"")&lt;&gt;"Por decidir",TRIM('DATOS'!F199&amp;"")&lt;&gt;"Por comprobar")),2,IF(COUNTIFS('REFERENCIAS'!$T$15:$T$34,"ID:"&amp;SUBSTITUTE(SUBSTITUTE(SUBSTITUTE(SUBSTITUTE(UPPER(TRIM('DATOS'!F199&amp;"")),"!","!E"),"*","!A"),"?","!B"),"~","!C"),'REFERENCIAS'!$H$15:$H$34,"&lt;&gt;")&gt;0,0,1))),2)</f>
      </c>
      <c r="U199" s="29" t="str">
        <f>'DATOS'!R199</f>
        <v>ID:</v>
      </c>
      <c r="V199" s="29" t="str">
        <f>'DATOS'!S199</f>
        <v>ID:</v>
      </c>
      <c r="W199" s="29" t="n">
        <f>IF(N199=0,0,COUNTIFS('REFERENCIAS'!$R$15:$R$64,U199))</f>
        <v>0</v>
      </c>
      <c r="X199" s="29" t="n">
        <f>IF(N199=0,0,COUNTIFS('DATOS'!$R$10:$R$509,U199,'DATOS'!$S$10:$S$509,V199))</f>
        <v>0</v>
      </c>
      <c r="Y199" s="29" t="n">
        <f>IF(AND(ISNUMBER('DATOS'!G199),ISNUMBER('DATOS'!H199),ISNUMBER('DATOS'!J199)),1,0)</f>
        <v>0</v>
      </c>
    </row>
    <row r="200" ht="64" customHeight="1">
      <c r="B200" s="26">
        <f>IF(N200=1,191,"")</f>
      </c>
      <c r="C200" s="26">
        <f>IF(AND(N200=1,LEN(TRIM('DATOS'!B200&amp;""))&gt;0),'DATOS'!B200,"")</f>
      </c>
      <c r="D200" s="26">
        <f>IF(AND(N200=1,LEN(TRIM('DATOS'!C200&amp;""))&gt;0),'DATOS'!C200,"")</f>
      </c>
      <c r="E200" s="26">
        <f>IF(NOT(ISNUMBER(P200)),"",IF(P200=2,"ROJO",IF(P200=1,"ÁMBAR","VERDE")))</f>
      </c>
      <c r="F200" s="26">
        <f>IF(NOT(ISNUMBER(Q200)),"",IF(Q200=2,"ROJO",IF(Q200=1,"ÁMBAR","VERDE")))</f>
      </c>
      <c r="G200" s="26">
        <f>IF(NOT(ISNUMBER(R200)),"",IF(R200=2,"ROJO",IF(R200=1,"ÁMBAR","VERDE")))</f>
      </c>
      <c r="H200" s="26">
        <f>IF(NOT(ISNUMBER(S200)),"",IF(S200=2,"ROJO",IF(S200=1,"ÁMBAR","VERDE")))</f>
      </c>
      <c r="I200" s="26">
        <f>IF(NOT(ISNUMBER(T200)),"",IF(T200=2,"ROJO",IF(T200=1,"ÁMBAR","VERDE")))</f>
      </c>
      <c r="J200" s="26">
        <f>IF(NOT(ISNUMBER(O200)),"",IF(O200=2,"ROJO",IF(O200=1,"ÁMBAR","VERDE")))</f>
      </c>
      <c r="K200" s="26">
        <f>IFERROR(IF(AND(N200=1,LEN(TRIM('DATOS'!N200&amp;""))&gt;0),'DATOS'!N200,""),"Hay una entrada con error. Corregimos el dato antes de cerrar la comprobación.")</f>
      </c>
      <c r="L200" s="26">
        <f>IFERROR(IF(N200=0,"",IF(O200&gt;0,"Completamos datos, claves o motivo. ","")&amp;IF(P200&gt;0,"Cotejamos precios e importe. ","")&amp;IF(Q200&gt;0,"Aclaramos el cero. ","")&amp;IF(R200&gt;0,"Comprobamos el texto. ","")&amp;IF(S200&gt;0,"Revisamos decimales visibles. ","")&amp;IF(T200&gt;0,"Confirmamos la unidad.","")),"Hay una entrada con error. Corregimos el dato antes de cerrar la comprobación.")</f>
      </c>
      <c r="N200" s="29" t="n">
        <f>IF(COUNTA('DATOS'!B200:O200)&gt;0,1,0)</f>
        <v>0</v>
      </c>
      <c r="O200" s="29">
        <f>IFERROR(IF(N200=0,"",IF(OR(NOT(AND(LEN(TRIM('DATOS'!B200&amp;""))&gt;0,TRIM('DATOS'!B200&amp;"")&lt;&gt;"Pendiente",TRIM('DATOS'!B200&amp;"")&lt;&gt;"Por confirmar",TRIM('DATOS'!B200&amp;"")&lt;&gt;"No consta",TRIM('DATOS'!B200&amp;"")&lt;&gt;"Desconocido",TRIM('DATOS'!B200&amp;"")&lt;&gt;"Sin confirmar",TRIM('DATOS'!B200&amp;"")&lt;&gt;"Por decidir",TRIM('DATOS'!B200&amp;"")&lt;&gt;"Por comprobar")),NOT(AND(LEN(TRIM('DATOS'!C200&amp;""))&gt;0,TRIM('DATOS'!C200&amp;"")&lt;&gt;"Pendiente",TRIM('DATOS'!C200&amp;"")&lt;&gt;"Por confirmar",TRIM('DATOS'!C200&amp;"")&lt;&gt;"No consta",TRIM('DATOS'!C200&amp;"")&lt;&gt;"Desconocido",TRIM('DATOS'!C200&amp;"")&lt;&gt;"Sin confirmar",TRIM('DATOS'!C200&amp;"")&lt;&gt;"Por decidir",TRIM('DATOS'!C200&amp;"")&lt;&gt;"Por comprobar")),NOT(AND(LEN(TRIM('DATOS'!D200&amp;""))&gt;0,TRIM('DATOS'!D200&amp;"")&lt;&gt;"Pendiente",TRIM('DATOS'!D200&amp;"")&lt;&gt;"Por confirmar",TRIM('DATOS'!D200&amp;"")&lt;&gt;"No consta",TRIM('DATOS'!D200&amp;"")&lt;&gt;"Desconocido",TRIM('DATOS'!D200&amp;"")&lt;&gt;"Sin confirmar",TRIM('DATOS'!D200&amp;"")&lt;&gt;"Por decidir",TRIM('DATOS'!D200&amp;"")&lt;&gt;"Por comprobar")),NOT(AND(LEN(TRIM('DATOS'!E200&amp;""))&gt;0,TRIM('DATOS'!E200&amp;"")&lt;&gt;"Pendiente",TRIM('DATOS'!E200&amp;"")&lt;&gt;"Por confirmar",TRIM('DATOS'!E200&amp;"")&lt;&gt;"No consta",TRIM('DATOS'!E200&amp;"")&lt;&gt;"Desconocido",TRIM('DATOS'!E200&amp;"")&lt;&gt;"Sin confirmar",TRIM('DATOS'!E200&amp;"")&lt;&gt;"Por decidir",TRIM('DATOS'!E200&amp;"")&lt;&gt;"Por comprobar")),NOT(AND(LEN(TRIM('DATOS'!F200&amp;""))&gt;0,TRIM('DATOS'!F200&amp;"")&lt;&gt;"Pendiente",TRIM('DATOS'!F200&amp;"")&lt;&gt;"Por confirmar",TRIM('DATOS'!F200&amp;"")&lt;&gt;"No consta",TRIM('DATOS'!F200&amp;"")&lt;&gt;"Desconocido",TRIM('DATOS'!F200&amp;"")&lt;&gt;"Sin confirmar",TRIM('DATOS'!F200&amp;"")&lt;&gt;"Por decidir",TRIM('DATOS'!F200&amp;"")&lt;&gt;"Por comprobar")),NOT(AND(LEN(TRIM('DATOS'!N200&amp;""))&gt;0,TRIM('DATOS'!N200&amp;"")&lt;&gt;"Pendiente",TRIM('DATOS'!N200&amp;"")&lt;&gt;"Por confirmar",TRIM('DATOS'!N200&amp;"")&lt;&gt;"No consta",TRIM('DATOS'!N200&amp;"")&lt;&gt;"Desconocido",TRIM('DATOS'!N200&amp;"")&lt;&gt;"Sin confirmar",TRIM('DATOS'!N200&amp;"")&lt;&gt;"Por decidir",TRIM('DATOS'!N200&amp;"")&lt;&gt;"Por comprobar")),NOT(Y200=1),W200&lt;&gt;1,X200&gt;1,NOT(OR(LEN(TRIM('DATOS'!K200&amp;""))=0,'DATOS'!K200="Sin valorar",'DATOS'!K200="Sin coste documentado",'DATOS'!K200="Incluido en otra partida",'DATOS'!K200="Por confirmar")),NOT(OR(LEN(TRIM('DATOS'!M200&amp;""))=0,'DATOS'!M200="Sí",'DATOS'!M200="No",'DATOS'!M200="Por confirmar")),NOT(OR(LEN(TRIM('DATOS'!O200&amp;""))=0,'DATOS'!O200="Comparamos",'DATOS'!O200="No existe",'DATOS'!O200="Por confirmar"))),2,IF(AND(OR('DATOS'!G200&lt;0,'DATOS'!H200&lt;0,'DATOS'!J200&lt;0),NOT(AND(LEN(TRIM('DATOS'!L200&amp;""))&gt;0,TRIM('DATOS'!L200&amp;"")&lt;&gt;"Pendiente",TRIM('DATOS'!L200&amp;"")&lt;&gt;"Por confirmar",TRIM('DATOS'!L200&amp;"")&lt;&gt;"No consta",TRIM('DATOS'!L200&amp;"")&lt;&gt;"Desconocido",TRIM('DATOS'!L200&amp;"")&lt;&gt;"Sin confirmar",TRIM('DATOS'!L200&amp;"")&lt;&gt;"Por decidir",TRIM('DATOS'!L200&amp;"")&lt;&gt;"Por comprobar"))),1,0))),2)</f>
      </c>
      <c r="P200" s="29">
        <f>IFERROR(IF(N200=0,"",IF(NOT(Y200=1),1,IF('REFERENCIAS'!$Q$8&lt;&gt;1,2,IF(ABS('DATOS'!J200-ROUND('DATOS'!G200*'DATOS'!H200,'REFERENCIAS'!$K$8))&gt;0.00000001,2,IF('DATOS'!O200="No existe",IF(LEN(TRIM('DATOS'!I200&amp;""))=0,0,2),IF('DATOS'!O200="Comparamos",IF(LEN(TRIM('DATOS'!I200&amp;""))=0,1,IF(ISNUMBER('DATOS'!I200),IF(ABS('DATOS'!H200-'DATOS'!I200)&gt;0.00000001,2,0),2)),1)))))),2)</f>
      </c>
      <c r="Q200" s="29">
        <f>IFERROR(IF(N200=0,"",IF(NOT(Y200=1),1,IF('DATOS'!K200="Sin valorar",2,IF('DATOS'!G200=0,1,IF(OR('DATOS'!H200=0,'DATOS'!J200=0),IF(AND(OR('DATOS'!K200="Sin coste documentado",'DATOS'!K200="Incluido en otra partida"),AND(LEN(TRIM('DATOS'!L200&amp;""))&gt;0,TRIM('DATOS'!L200&amp;"")&lt;&gt;"Pendiente",TRIM('DATOS'!L200&amp;"")&lt;&gt;"Por confirmar",TRIM('DATOS'!L200&amp;"")&lt;&gt;"No consta",TRIM('DATOS'!L200&amp;"")&lt;&gt;"Desconocido",TRIM('DATOS'!L200&amp;"")&lt;&gt;"Sin confirmar",TRIM('DATOS'!L200&amp;"")&lt;&gt;"Por decidir",TRIM('DATOS'!L200&amp;"")&lt;&gt;"Por comprobar")),0,1),0))))),2)</f>
      </c>
      <c r="R200" s="29">
        <f>IFERROR(IF(N200=0,"",IF(OR(NOT(AND(LEN(TRIM('DATOS'!D200&amp;""))&gt;0,TRIM('DATOS'!D200&amp;"")&lt;&gt;"Pendiente",TRIM('DATOS'!D200&amp;"")&lt;&gt;"Por confirmar",TRIM('DATOS'!D200&amp;"")&lt;&gt;"No consta",TRIM('DATOS'!D200&amp;"")&lt;&gt;"Desconocido",TRIM('DATOS'!D200&amp;"")&lt;&gt;"Sin confirmar",TRIM('DATOS'!D200&amp;"")&lt;&gt;"Por decidir",TRIM('DATOS'!D200&amp;"")&lt;&gt;"Por comprobar")),NOT(AND(LEN(TRIM('DATOS'!E200&amp;""))&gt;0,TRIM('DATOS'!E200&amp;"")&lt;&gt;"Pendiente",TRIM('DATOS'!E200&amp;"")&lt;&gt;"Por confirmar",TRIM('DATOS'!E200&amp;"")&lt;&gt;"No consta",TRIM('DATOS'!E200&amp;"")&lt;&gt;"Desconocido",TRIM('DATOS'!E200&amp;"")&lt;&gt;"Sin confirmar",TRIM('DATOS'!E200&amp;"")&lt;&gt;"Por decidir",TRIM('DATOS'!E200&amp;"")&lt;&gt;"Por comprobar"))),2,IF('DATOS'!M200="No",2,IF('DATOS'!M200="Sí",0,IF(OR('DATOS'!D200&lt;&gt;'DATOS'!E200,LEN('DATOS'!E200)&gt;300,RIGHT(TRIM('DATOS'!E200),3)="...",RIGHT(TRIM('DATOS'!E200),1)="…"),1,0))))),2)</f>
      </c>
      <c r="S200" s="29">
        <f>IFERROR(IF(N200=0,"",IF('REFERENCIAS'!$Q$8&lt;&gt;1,2,IF(NOT(Y200=1),1,IF(OR(ABS('DATOS'!G200-ROUND('DATOS'!G200,'REFERENCIAS'!$E$8))&gt;0.00000001,ABS('DATOS'!H200-ROUND('DATOS'!H200,'REFERENCIAS'!$H$8))&gt;0.00000001,ABS('DATOS'!J200-ROUND('DATOS'!J200,'REFERENCIAS'!$K$8))&gt;0.00000001,IF(ISNUMBER('DATOS'!I200),ABS('DATOS'!I200-ROUND('DATOS'!I200,'REFERENCIAS'!$H$8))&gt;0.00000001,FALSE)),1,0)))),2)</f>
      </c>
      <c r="T200" s="29">
        <f>IFERROR(IF(N200=0,"",IF(NOT(AND(LEN(TRIM('DATOS'!F200&amp;""))&gt;0,TRIM('DATOS'!F200&amp;"")&lt;&gt;"Pendiente",TRIM('DATOS'!F200&amp;"")&lt;&gt;"Por confirmar",TRIM('DATOS'!F200&amp;"")&lt;&gt;"No consta",TRIM('DATOS'!F200&amp;"")&lt;&gt;"Desconocido",TRIM('DATOS'!F200&amp;"")&lt;&gt;"Sin confirmar",TRIM('DATOS'!F200&amp;"")&lt;&gt;"Por decidir",TRIM('DATOS'!F200&amp;"")&lt;&gt;"Por comprobar")),2,IF(COUNTIFS('REFERENCIAS'!$T$15:$T$34,"ID:"&amp;SUBSTITUTE(SUBSTITUTE(SUBSTITUTE(SUBSTITUTE(UPPER(TRIM('DATOS'!F200&amp;"")),"!","!E"),"*","!A"),"?","!B"),"~","!C"),'REFERENCIAS'!$H$15:$H$34,"&lt;&gt;")&gt;0,0,1))),2)</f>
      </c>
      <c r="U200" s="29" t="str">
        <f>'DATOS'!R200</f>
        <v>ID:</v>
      </c>
      <c r="V200" s="29" t="str">
        <f>'DATOS'!S200</f>
        <v>ID:</v>
      </c>
      <c r="W200" s="29" t="n">
        <f>IF(N200=0,0,COUNTIFS('REFERENCIAS'!$R$15:$R$64,U200))</f>
        <v>0</v>
      </c>
      <c r="X200" s="29" t="n">
        <f>IF(N200=0,0,COUNTIFS('DATOS'!$R$10:$R$509,U200,'DATOS'!$S$10:$S$509,V200))</f>
        <v>0</v>
      </c>
      <c r="Y200" s="29" t="n">
        <f>IF(AND(ISNUMBER('DATOS'!G200),ISNUMBER('DATOS'!H200),ISNUMBER('DATOS'!J200)),1,0)</f>
        <v>0</v>
      </c>
    </row>
    <row r="201" ht="64" customHeight="1">
      <c r="B201" s="26">
        <f>IF(N201=1,192,"")</f>
      </c>
      <c r="C201" s="26">
        <f>IF(AND(N201=1,LEN(TRIM('DATOS'!B201&amp;""))&gt;0),'DATOS'!B201,"")</f>
      </c>
      <c r="D201" s="26">
        <f>IF(AND(N201=1,LEN(TRIM('DATOS'!C201&amp;""))&gt;0),'DATOS'!C201,"")</f>
      </c>
      <c r="E201" s="26">
        <f>IF(NOT(ISNUMBER(P201)),"",IF(P201=2,"ROJO",IF(P201=1,"ÁMBAR","VERDE")))</f>
      </c>
      <c r="F201" s="26">
        <f>IF(NOT(ISNUMBER(Q201)),"",IF(Q201=2,"ROJO",IF(Q201=1,"ÁMBAR","VERDE")))</f>
      </c>
      <c r="G201" s="26">
        <f>IF(NOT(ISNUMBER(R201)),"",IF(R201=2,"ROJO",IF(R201=1,"ÁMBAR","VERDE")))</f>
      </c>
      <c r="H201" s="26">
        <f>IF(NOT(ISNUMBER(S201)),"",IF(S201=2,"ROJO",IF(S201=1,"ÁMBAR","VERDE")))</f>
      </c>
      <c r="I201" s="26">
        <f>IF(NOT(ISNUMBER(T201)),"",IF(T201=2,"ROJO",IF(T201=1,"ÁMBAR","VERDE")))</f>
      </c>
      <c r="J201" s="26">
        <f>IF(NOT(ISNUMBER(O201)),"",IF(O201=2,"ROJO",IF(O201=1,"ÁMBAR","VERDE")))</f>
      </c>
      <c r="K201" s="26">
        <f>IFERROR(IF(AND(N201=1,LEN(TRIM('DATOS'!N201&amp;""))&gt;0),'DATOS'!N201,""),"Hay una entrada con error. Corregimos el dato antes de cerrar la comprobación.")</f>
      </c>
      <c r="L201" s="26">
        <f>IFERROR(IF(N201=0,"",IF(O201&gt;0,"Completamos datos, claves o motivo. ","")&amp;IF(P201&gt;0,"Cotejamos precios e importe. ","")&amp;IF(Q201&gt;0,"Aclaramos el cero. ","")&amp;IF(R201&gt;0,"Comprobamos el texto. ","")&amp;IF(S201&gt;0,"Revisamos decimales visibles. ","")&amp;IF(T201&gt;0,"Confirmamos la unidad.","")),"Hay una entrada con error. Corregimos el dato antes de cerrar la comprobación.")</f>
      </c>
      <c r="N201" s="29" t="n">
        <f>IF(COUNTA('DATOS'!B201:O201)&gt;0,1,0)</f>
        <v>0</v>
      </c>
      <c r="O201" s="29">
        <f>IFERROR(IF(N201=0,"",IF(OR(NOT(AND(LEN(TRIM('DATOS'!B201&amp;""))&gt;0,TRIM('DATOS'!B201&amp;"")&lt;&gt;"Pendiente",TRIM('DATOS'!B201&amp;"")&lt;&gt;"Por confirmar",TRIM('DATOS'!B201&amp;"")&lt;&gt;"No consta",TRIM('DATOS'!B201&amp;"")&lt;&gt;"Desconocido",TRIM('DATOS'!B201&amp;"")&lt;&gt;"Sin confirmar",TRIM('DATOS'!B201&amp;"")&lt;&gt;"Por decidir",TRIM('DATOS'!B201&amp;"")&lt;&gt;"Por comprobar")),NOT(AND(LEN(TRIM('DATOS'!C201&amp;""))&gt;0,TRIM('DATOS'!C201&amp;"")&lt;&gt;"Pendiente",TRIM('DATOS'!C201&amp;"")&lt;&gt;"Por confirmar",TRIM('DATOS'!C201&amp;"")&lt;&gt;"No consta",TRIM('DATOS'!C201&amp;"")&lt;&gt;"Desconocido",TRIM('DATOS'!C201&amp;"")&lt;&gt;"Sin confirmar",TRIM('DATOS'!C201&amp;"")&lt;&gt;"Por decidir",TRIM('DATOS'!C201&amp;"")&lt;&gt;"Por comprobar")),NOT(AND(LEN(TRIM('DATOS'!D201&amp;""))&gt;0,TRIM('DATOS'!D201&amp;"")&lt;&gt;"Pendiente",TRIM('DATOS'!D201&amp;"")&lt;&gt;"Por confirmar",TRIM('DATOS'!D201&amp;"")&lt;&gt;"No consta",TRIM('DATOS'!D201&amp;"")&lt;&gt;"Desconocido",TRIM('DATOS'!D201&amp;"")&lt;&gt;"Sin confirmar",TRIM('DATOS'!D201&amp;"")&lt;&gt;"Por decidir",TRIM('DATOS'!D201&amp;"")&lt;&gt;"Por comprobar")),NOT(AND(LEN(TRIM('DATOS'!E201&amp;""))&gt;0,TRIM('DATOS'!E201&amp;"")&lt;&gt;"Pendiente",TRIM('DATOS'!E201&amp;"")&lt;&gt;"Por confirmar",TRIM('DATOS'!E201&amp;"")&lt;&gt;"No consta",TRIM('DATOS'!E201&amp;"")&lt;&gt;"Desconocido",TRIM('DATOS'!E201&amp;"")&lt;&gt;"Sin confirmar",TRIM('DATOS'!E201&amp;"")&lt;&gt;"Por decidir",TRIM('DATOS'!E201&amp;"")&lt;&gt;"Por comprobar")),NOT(AND(LEN(TRIM('DATOS'!F201&amp;""))&gt;0,TRIM('DATOS'!F201&amp;"")&lt;&gt;"Pendiente",TRIM('DATOS'!F201&amp;"")&lt;&gt;"Por confirmar",TRIM('DATOS'!F201&amp;"")&lt;&gt;"No consta",TRIM('DATOS'!F201&amp;"")&lt;&gt;"Desconocido",TRIM('DATOS'!F201&amp;"")&lt;&gt;"Sin confirmar",TRIM('DATOS'!F201&amp;"")&lt;&gt;"Por decidir",TRIM('DATOS'!F201&amp;"")&lt;&gt;"Por comprobar")),NOT(AND(LEN(TRIM('DATOS'!N201&amp;""))&gt;0,TRIM('DATOS'!N201&amp;"")&lt;&gt;"Pendiente",TRIM('DATOS'!N201&amp;"")&lt;&gt;"Por confirmar",TRIM('DATOS'!N201&amp;"")&lt;&gt;"No consta",TRIM('DATOS'!N201&amp;"")&lt;&gt;"Desconocido",TRIM('DATOS'!N201&amp;"")&lt;&gt;"Sin confirmar",TRIM('DATOS'!N201&amp;"")&lt;&gt;"Por decidir",TRIM('DATOS'!N201&amp;"")&lt;&gt;"Por comprobar")),NOT(Y201=1),W201&lt;&gt;1,X201&gt;1,NOT(OR(LEN(TRIM('DATOS'!K201&amp;""))=0,'DATOS'!K201="Sin valorar",'DATOS'!K201="Sin coste documentado",'DATOS'!K201="Incluido en otra partida",'DATOS'!K201="Por confirmar")),NOT(OR(LEN(TRIM('DATOS'!M201&amp;""))=0,'DATOS'!M201="Sí",'DATOS'!M201="No",'DATOS'!M201="Por confirmar")),NOT(OR(LEN(TRIM('DATOS'!O201&amp;""))=0,'DATOS'!O201="Comparamos",'DATOS'!O201="No existe",'DATOS'!O201="Por confirmar"))),2,IF(AND(OR('DATOS'!G201&lt;0,'DATOS'!H201&lt;0,'DATOS'!J201&lt;0),NOT(AND(LEN(TRIM('DATOS'!L201&amp;""))&gt;0,TRIM('DATOS'!L201&amp;"")&lt;&gt;"Pendiente",TRIM('DATOS'!L201&amp;"")&lt;&gt;"Por confirmar",TRIM('DATOS'!L201&amp;"")&lt;&gt;"No consta",TRIM('DATOS'!L201&amp;"")&lt;&gt;"Desconocido",TRIM('DATOS'!L201&amp;"")&lt;&gt;"Sin confirmar",TRIM('DATOS'!L201&amp;"")&lt;&gt;"Por decidir",TRIM('DATOS'!L201&amp;"")&lt;&gt;"Por comprobar"))),1,0))),2)</f>
      </c>
      <c r="P201" s="29">
        <f>IFERROR(IF(N201=0,"",IF(NOT(Y201=1),1,IF('REFERENCIAS'!$Q$8&lt;&gt;1,2,IF(ABS('DATOS'!J201-ROUND('DATOS'!G201*'DATOS'!H201,'REFERENCIAS'!$K$8))&gt;0.00000001,2,IF('DATOS'!O201="No existe",IF(LEN(TRIM('DATOS'!I201&amp;""))=0,0,2),IF('DATOS'!O201="Comparamos",IF(LEN(TRIM('DATOS'!I201&amp;""))=0,1,IF(ISNUMBER('DATOS'!I201),IF(ABS('DATOS'!H201-'DATOS'!I201)&gt;0.00000001,2,0),2)),1)))))),2)</f>
      </c>
      <c r="Q201" s="29">
        <f>IFERROR(IF(N201=0,"",IF(NOT(Y201=1),1,IF('DATOS'!K201="Sin valorar",2,IF('DATOS'!G201=0,1,IF(OR('DATOS'!H201=0,'DATOS'!J201=0),IF(AND(OR('DATOS'!K201="Sin coste documentado",'DATOS'!K201="Incluido en otra partida"),AND(LEN(TRIM('DATOS'!L201&amp;""))&gt;0,TRIM('DATOS'!L201&amp;"")&lt;&gt;"Pendiente",TRIM('DATOS'!L201&amp;"")&lt;&gt;"Por confirmar",TRIM('DATOS'!L201&amp;"")&lt;&gt;"No consta",TRIM('DATOS'!L201&amp;"")&lt;&gt;"Desconocido",TRIM('DATOS'!L201&amp;"")&lt;&gt;"Sin confirmar",TRIM('DATOS'!L201&amp;"")&lt;&gt;"Por decidir",TRIM('DATOS'!L201&amp;"")&lt;&gt;"Por comprobar")),0,1),0))))),2)</f>
      </c>
      <c r="R201" s="29">
        <f>IFERROR(IF(N201=0,"",IF(OR(NOT(AND(LEN(TRIM('DATOS'!D201&amp;""))&gt;0,TRIM('DATOS'!D201&amp;"")&lt;&gt;"Pendiente",TRIM('DATOS'!D201&amp;"")&lt;&gt;"Por confirmar",TRIM('DATOS'!D201&amp;"")&lt;&gt;"No consta",TRIM('DATOS'!D201&amp;"")&lt;&gt;"Desconocido",TRIM('DATOS'!D201&amp;"")&lt;&gt;"Sin confirmar",TRIM('DATOS'!D201&amp;"")&lt;&gt;"Por decidir",TRIM('DATOS'!D201&amp;"")&lt;&gt;"Por comprobar")),NOT(AND(LEN(TRIM('DATOS'!E201&amp;""))&gt;0,TRIM('DATOS'!E201&amp;"")&lt;&gt;"Pendiente",TRIM('DATOS'!E201&amp;"")&lt;&gt;"Por confirmar",TRIM('DATOS'!E201&amp;"")&lt;&gt;"No consta",TRIM('DATOS'!E201&amp;"")&lt;&gt;"Desconocido",TRIM('DATOS'!E201&amp;"")&lt;&gt;"Sin confirmar",TRIM('DATOS'!E201&amp;"")&lt;&gt;"Por decidir",TRIM('DATOS'!E201&amp;"")&lt;&gt;"Por comprobar"))),2,IF('DATOS'!M201="No",2,IF('DATOS'!M201="Sí",0,IF(OR('DATOS'!D201&lt;&gt;'DATOS'!E201,LEN('DATOS'!E201)&gt;300,RIGHT(TRIM('DATOS'!E201),3)="...",RIGHT(TRIM('DATOS'!E201),1)="…"),1,0))))),2)</f>
      </c>
      <c r="S201" s="29">
        <f>IFERROR(IF(N201=0,"",IF('REFERENCIAS'!$Q$8&lt;&gt;1,2,IF(NOT(Y201=1),1,IF(OR(ABS('DATOS'!G201-ROUND('DATOS'!G201,'REFERENCIAS'!$E$8))&gt;0.00000001,ABS('DATOS'!H201-ROUND('DATOS'!H201,'REFERENCIAS'!$H$8))&gt;0.00000001,ABS('DATOS'!J201-ROUND('DATOS'!J201,'REFERENCIAS'!$K$8))&gt;0.00000001,IF(ISNUMBER('DATOS'!I201),ABS('DATOS'!I201-ROUND('DATOS'!I201,'REFERENCIAS'!$H$8))&gt;0.00000001,FALSE)),1,0)))),2)</f>
      </c>
      <c r="T201" s="29">
        <f>IFERROR(IF(N201=0,"",IF(NOT(AND(LEN(TRIM('DATOS'!F201&amp;""))&gt;0,TRIM('DATOS'!F201&amp;"")&lt;&gt;"Pendiente",TRIM('DATOS'!F201&amp;"")&lt;&gt;"Por confirmar",TRIM('DATOS'!F201&amp;"")&lt;&gt;"No consta",TRIM('DATOS'!F201&amp;"")&lt;&gt;"Desconocido",TRIM('DATOS'!F201&amp;"")&lt;&gt;"Sin confirmar",TRIM('DATOS'!F201&amp;"")&lt;&gt;"Por decidir",TRIM('DATOS'!F201&amp;"")&lt;&gt;"Por comprobar")),2,IF(COUNTIFS('REFERENCIAS'!$T$15:$T$34,"ID:"&amp;SUBSTITUTE(SUBSTITUTE(SUBSTITUTE(SUBSTITUTE(UPPER(TRIM('DATOS'!F201&amp;"")),"!","!E"),"*","!A"),"?","!B"),"~","!C"),'REFERENCIAS'!$H$15:$H$34,"&lt;&gt;")&gt;0,0,1))),2)</f>
      </c>
      <c r="U201" s="29" t="str">
        <f>'DATOS'!R201</f>
        <v>ID:</v>
      </c>
      <c r="V201" s="29" t="str">
        <f>'DATOS'!S201</f>
        <v>ID:</v>
      </c>
      <c r="W201" s="29" t="n">
        <f>IF(N201=0,0,COUNTIFS('REFERENCIAS'!$R$15:$R$64,U201))</f>
        <v>0</v>
      </c>
      <c r="X201" s="29" t="n">
        <f>IF(N201=0,0,COUNTIFS('DATOS'!$R$10:$R$509,U201,'DATOS'!$S$10:$S$509,V201))</f>
        <v>0</v>
      </c>
      <c r="Y201" s="29" t="n">
        <f>IF(AND(ISNUMBER('DATOS'!G201),ISNUMBER('DATOS'!H201),ISNUMBER('DATOS'!J201)),1,0)</f>
        <v>0</v>
      </c>
    </row>
    <row r="202" ht="64" customHeight="1">
      <c r="B202" s="26">
        <f>IF(N202=1,193,"")</f>
      </c>
      <c r="C202" s="26">
        <f>IF(AND(N202=1,LEN(TRIM('DATOS'!B202&amp;""))&gt;0),'DATOS'!B202,"")</f>
      </c>
      <c r="D202" s="26">
        <f>IF(AND(N202=1,LEN(TRIM('DATOS'!C202&amp;""))&gt;0),'DATOS'!C202,"")</f>
      </c>
      <c r="E202" s="26">
        <f>IF(NOT(ISNUMBER(P202)),"",IF(P202=2,"ROJO",IF(P202=1,"ÁMBAR","VERDE")))</f>
      </c>
      <c r="F202" s="26">
        <f>IF(NOT(ISNUMBER(Q202)),"",IF(Q202=2,"ROJO",IF(Q202=1,"ÁMBAR","VERDE")))</f>
      </c>
      <c r="G202" s="26">
        <f>IF(NOT(ISNUMBER(R202)),"",IF(R202=2,"ROJO",IF(R202=1,"ÁMBAR","VERDE")))</f>
      </c>
      <c r="H202" s="26">
        <f>IF(NOT(ISNUMBER(S202)),"",IF(S202=2,"ROJO",IF(S202=1,"ÁMBAR","VERDE")))</f>
      </c>
      <c r="I202" s="26">
        <f>IF(NOT(ISNUMBER(T202)),"",IF(T202=2,"ROJO",IF(T202=1,"ÁMBAR","VERDE")))</f>
      </c>
      <c r="J202" s="26">
        <f>IF(NOT(ISNUMBER(O202)),"",IF(O202=2,"ROJO",IF(O202=1,"ÁMBAR","VERDE")))</f>
      </c>
      <c r="K202" s="26">
        <f>IFERROR(IF(AND(N202=1,LEN(TRIM('DATOS'!N202&amp;""))&gt;0),'DATOS'!N202,""),"Hay una entrada con error. Corregimos el dato antes de cerrar la comprobación.")</f>
      </c>
      <c r="L202" s="26">
        <f>IFERROR(IF(N202=0,"",IF(O202&gt;0,"Completamos datos, claves o motivo. ","")&amp;IF(P202&gt;0,"Cotejamos precios e importe. ","")&amp;IF(Q202&gt;0,"Aclaramos el cero. ","")&amp;IF(R202&gt;0,"Comprobamos el texto. ","")&amp;IF(S202&gt;0,"Revisamos decimales visibles. ","")&amp;IF(T202&gt;0,"Confirmamos la unidad.","")),"Hay una entrada con error. Corregimos el dato antes de cerrar la comprobación.")</f>
      </c>
      <c r="N202" s="29" t="n">
        <f>IF(COUNTA('DATOS'!B202:O202)&gt;0,1,0)</f>
        <v>0</v>
      </c>
      <c r="O202" s="29">
        <f>IFERROR(IF(N202=0,"",IF(OR(NOT(AND(LEN(TRIM('DATOS'!B202&amp;""))&gt;0,TRIM('DATOS'!B202&amp;"")&lt;&gt;"Pendiente",TRIM('DATOS'!B202&amp;"")&lt;&gt;"Por confirmar",TRIM('DATOS'!B202&amp;"")&lt;&gt;"No consta",TRIM('DATOS'!B202&amp;"")&lt;&gt;"Desconocido",TRIM('DATOS'!B202&amp;"")&lt;&gt;"Sin confirmar",TRIM('DATOS'!B202&amp;"")&lt;&gt;"Por decidir",TRIM('DATOS'!B202&amp;"")&lt;&gt;"Por comprobar")),NOT(AND(LEN(TRIM('DATOS'!C202&amp;""))&gt;0,TRIM('DATOS'!C202&amp;"")&lt;&gt;"Pendiente",TRIM('DATOS'!C202&amp;"")&lt;&gt;"Por confirmar",TRIM('DATOS'!C202&amp;"")&lt;&gt;"No consta",TRIM('DATOS'!C202&amp;"")&lt;&gt;"Desconocido",TRIM('DATOS'!C202&amp;"")&lt;&gt;"Sin confirmar",TRIM('DATOS'!C202&amp;"")&lt;&gt;"Por decidir",TRIM('DATOS'!C202&amp;"")&lt;&gt;"Por comprobar")),NOT(AND(LEN(TRIM('DATOS'!D202&amp;""))&gt;0,TRIM('DATOS'!D202&amp;"")&lt;&gt;"Pendiente",TRIM('DATOS'!D202&amp;"")&lt;&gt;"Por confirmar",TRIM('DATOS'!D202&amp;"")&lt;&gt;"No consta",TRIM('DATOS'!D202&amp;"")&lt;&gt;"Desconocido",TRIM('DATOS'!D202&amp;"")&lt;&gt;"Sin confirmar",TRIM('DATOS'!D202&amp;"")&lt;&gt;"Por decidir",TRIM('DATOS'!D202&amp;"")&lt;&gt;"Por comprobar")),NOT(AND(LEN(TRIM('DATOS'!E202&amp;""))&gt;0,TRIM('DATOS'!E202&amp;"")&lt;&gt;"Pendiente",TRIM('DATOS'!E202&amp;"")&lt;&gt;"Por confirmar",TRIM('DATOS'!E202&amp;"")&lt;&gt;"No consta",TRIM('DATOS'!E202&amp;"")&lt;&gt;"Desconocido",TRIM('DATOS'!E202&amp;"")&lt;&gt;"Sin confirmar",TRIM('DATOS'!E202&amp;"")&lt;&gt;"Por decidir",TRIM('DATOS'!E202&amp;"")&lt;&gt;"Por comprobar")),NOT(AND(LEN(TRIM('DATOS'!F202&amp;""))&gt;0,TRIM('DATOS'!F202&amp;"")&lt;&gt;"Pendiente",TRIM('DATOS'!F202&amp;"")&lt;&gt;"Por confirmar",TRIM('DATOS'!F202&amp;"")&lt;&gt;"No consta",TRIM('DATOS'!F202&amp;"")&lt;&gt;"Desconocido",TRIM('DATOS'!F202&amp;"")&lt;&gt;"Sin confirmar",TRIM('DATOS'!F202&amp;"")&lt;&gt;"Por decidir",TRIM('DATOS'!F202&amp;"")&lt;&gt;"Por comprobar")),NOT(AND(LEN(TRIM('DATOS'!N202&amp;""))&gt;0,TRIM('DATOS'!N202&amp;"")&lt;&gt;"Pendiente",TRIM('DATOS'!N202&amp;"")&lt;&gt;"Por confirmar",TRIM('DATOS'!N202&amp;"")&lt;&gt;"No consta",TRIM('DATOS'!N202&amp;"")&lt;&gt;"Desconocido",TRIM('DATOS'!N202&amp;"")&lt;&gt;"Sin confirmar",TRIM('DATOS'!N202&amp;"")&lt;&gt;"Por decidir",TRIM('DATOS'!N202&amp;"")&lt;&gt;"Por comprobar")),NOT(Y202=1),W202&lt;&gt;1,X202&gt;1,NOT(OR(LEN(TRIM('DATOS'!K202&amp;""))=0,'DATOS'!K202="Sin valorar",'DATOS'!K202="Sin coste documentado",'DATOS'!K202="Incluido en otra partida",'DATOS'!K202="Por confirmar")),NOT(OR(LEN(TRIM('DATOS'!M202&amp;""))=0,'DATOS'!M202="Sí",'DATOS'!M202="No",'DATOS'!M202="Por confirmar")),NOT(OR(LEN(TRIM('DATOS'!O202&amp;""))=0,'DATOS'!O202="Comparamos",'DATOS'!O202="No existe",'DATOS'!O202="Por confirmar"))),2,IF(AND(OR('DATOS'!G202&lt;0,'DATOS'!H202&lt;0,'DATOS'!J202&lt;0),NOT(AND(LEN(TRIM('DATOS'!L202&amp;""))&gt;0,TRIM('DATOS'!L202&amp;"")&lt;&gt;"Pendiente",TRIM('DATOS'!L202&amp;"")&lt;&gt;"Por confirmar",TRIM('DATOS'!L202&amp;"")&lt;&gt;"No consta",TRIM('DATOS'!L202&amp;"")&lt;&gt;"Desconocido",TRIM('DATOS'!L202&amp;"")&lt;&gt;"Sin confirmar",TRIM('DATOS'!L202&amp;"")&lt;&gt;"Por decidir",TRIM('DATOS'!L202&amp;"")&lt;&gt;"Por comprobar"))),1,0))),2)</f>
      </c>
      <c r="P202" s="29">
        <f>IFERROR(IF(N202=0,"",IF(NOT(Y202=1),1,IF('REFERENCIAS'!$Q$8&lt;&gt;1,2,IF(ABS('DATOS'!J202-ROUND('DATOS'!G202*'DATOS'!H202,'REFERENCIAS'!$K$8))&gt;0.00000001,2,IF('DATOS'!O202="No existe",IF(LEN(TRIM('DATOS'!I202&amp;""))=0,0,2),IF('DATOS'!O202="Comparamos",IF(LEN(TRIM('DATOS'!I202&amp;""))=0,1,IF(ISNUMBER('DATOS'!I202),IF(ABS('DATOS'!H202-'DATOS'!I202)&gt;0.00000001,2,0),2)),1)))))),2)</f>
      </c>
      <c r="Q202" s="29">
        <f>IFERROR(IF(N202=0,"",IF(NOT(Y202=1),1,IF('DATOS'!K202="Sin valorar",2,IF('DATOS'!G202=0,1,IF(OR('DATOS'!H202=0,'DATOS'!J202=0),IF(AND(OR('DATOS'!K202="Sin coste documentado",'DATOS'!K202="Incluido en otra partida"),AND(LEN(TRIM('DATOS'!L202&amp;""))&gt;0,TRIM('DATOS'!L202&amp;"")&lt;&gt;"Pendiente",TRIM('DATOS'!L202&amp;"")&lt;&gt;"Por confirmar",TRIM('DATOS'!L202&amp;"")&lt;&gt;"No consta",TRIM('DATOS'!L202&amp;"")&lt;&gt;"Desconocido",TRIM('DATOS'!L202&amp;"")&lt;&gt;"Sin confirmar",TRIM('DATOS'!L202&amp;"")&lt;&gt;"Por decidir",TRIM('DATOS'!L202&amp;"")&lt;&gt;"Por comprobar")),0,1),0))))),2)</f>
      </c>
      <c r="R202" s="29">
        <f>IFERROR(IF(N202=0,"",IF(OR(NOT(AND(LEN(TRIM('DATOS'!D202&amp;""))&gt;0,TRIM('DATOS'!D202&amp;"")&lt;&gt;"Pendiente",TRIM('DATOS'!D202&amp;"")&lt;&gt;"Por confirmar",TRIM('DATOS'!D202&amp;"")&lt;&gt;"No consta",TRIM('DATOS'!D202&amp;"")&lt;&gt;"Desconocido",TRIM('DATOS'!D202&amp;"")&lt;&gt;"Sin confirmar",TRIM('DATOS'!D202&amp;"")&lt;&gt;"Por decidir",TRIM('DATOS'!D202&amp;"")&lt;&gt;"Por comprobar")),NOT(AND(LEN(TRIM('DATOS'!E202&amp;""))&gt;0,TRIM('DATOS'!E202&amp;"")&lt;&gt;"Pendiente",TRIM('DATOS'!E202&amp;"")&lt;&gt;"Por confirmar",TRIM('DATOS'!E202&amp;"")&lt;&gt;"No consta",TRIM('DATOS'!E202&amp;"")&lt;&gt;"Desconocido",TRIM('DATOS'!E202&amp;"")&lt;&gt;"Sin confirmar",TRIM('DATOS'!E202&amp;"")&lt;&gt;"Por decidir",TRIM('DATOS'!E202&amp;"")&lt;&gt;"Por comprobar"))),2,IF('DATOS'!M202="No",2,IF('DATOS'!M202="Sí",0,IF(OR('DATOS'!D202&lt;&gt;'DATOS'!E202,LEN('DATOS'!E202)&gt;300,RIGHT(TRIM('DATOS'!E202),3)="...",RIGHT(TRIM('DATOS'!E202),1)="…"),1,0))))),2)</f>
      </c>
      <c r="S202" s="29">
        <f>IFERROR(IF(N202=0,"",IF('REFERENCIAS'!$Q$8&lt;&gt;1,2,IF(NOT(Y202=1),1,IF(OR(ABS('DATOS'!G202-ROUND('DATOS'!G202,'REFERENCIAS'!$E$8))&gt;0.00000001,ABS('DATOS'!H202-ROUND('DATOS'!H202,'REFERENCIAS'!$H$8))&gt;0.00000001,ABS('DATOS'!J202-ROUND('DATOS'!J202,'REFERENCIAS'!$K$8))&gt;0.00000001,IF(ISNUMBER('DATOS'!I202),ABS('DATOS'!I202-ROUND('DATOS'!I202,'REFERENCIAS'!$H$8))&gt;0.00000001,FALSE)),1,0)))),2)</f>
      </c>
      <c r="T202" s="29">
        <f>IFERROR(IF(N202=0,"",IF(NOT(AND(LEN(TRIM('DATOS'!F202&amp;""))&gt;0,TRIM('DATOS'!F202&amp;"")&lt;&gt;"Pendiente",TRIM('DATOS'!F202&amp;"")&lt;&gt;"Por confirmar",TRIM('DATOS'!F202&amp;"")&lt;&gt;"No consta",TRIM('DATOS'!F202&amp;"")&lt;&gt;"Desconocido",TRIM('DATOS'!F202&amp;"")&lt;&gt;"Sin confirmar",TRIM('DATOS'!F202&amp;"")&lt;&gt;"Por decidir",TRIM('DATOS'!F202&amp;"")&lt;&gt;"Por comprobar")),2,IF(COUNTIFS('REFERENCIAS'!$T$15:$T$34,"ID:"&amp;SUBSTITUTE(SUBSTITUTE(SUBSTITUTE(SUBSTITUTE(UPPER(TRIM('DATOS'!F202&amp;"")),"!","!E"),"*","!A"),"?","!B"),"~","!C"),'REFERENCIAS'!$H$15:$H$34,"&lt;&gt;")&gt;0,0,1))),2)</f>
      </c>
      <c r="U202" s="29" t="str">
        <f>'DATOS'!R202</f>
        <v>ID:</v>
      </c>
      <c r="V202" s="29" t="str">
        <f>'DATOS'!S202</f>
        <v>ID:</v>
      </c>
      <c r="W202" s="29" t="n">
        <f>IF(N202=0,0,COUNTIFS('REFERENCIAS'!$R$15:$R$64,U202))</f>
        <v>0</v>
      </c>
      <c r="X202" s="29" t="n">
        <f>IF(N202=0,0,COUNTIFS('DATOS'!$R$10:$R$509,U202,'DATOS'!$S$10:$S$509,V202))</f>
        <v>0</v>
      </c>
      <c r="Y202" s="29" t="n">
        <f>IF(AND(ISNUMBER('DATOS'!G202),ISNUMBER('DATOS'!H202),ISNUMBER('DATOS'!J202)),1,0)</f>
        <v>0</v>
      </c>
    </row>
    <row r="203" ht="64" customHeight="1">
      <c r="B203" s="26">
        <f>IF(N203=1,194,"")</f>
      </c>
      <c r="C203" s="26">
        <f>IF(AND(N203=1,LEN(TRIM('DATOS'!B203&amp;""))&gt;0),'DATOS'!B203,"")</f>
      </c>
      <c r="D203" s="26">
        <f>IF(AND(N203=1,LEN(TRIM('DATOS'!C203&amp;""))&gt;0),'DATOS'!C203,"")</f>
      </c>
      <c r="E203" s="26">
        <f>IF(NOT(ISNUMBER(P203)),"",IF(P203=2,"ROJO",IF(P203=1,"ÁMBAR","VERDE")))</f>
      </c>
      <c r="F203" s="26">
        <f>IF(NOT(ISNUMBER(Q203)),"",IF(Q203=2,"ROJO",IF(Q203=1,"ÁMBAR","VERDE")))</f>
      </c>
      <c r="G203" s="26">
        <f>IF(NOT(ISNUMBER(R203)),"",IF(R203=2,"ROJO",IF(R203=1,"ÁMBAR","VERDE")))</f>
      </c>
      <c r="H203" s="26">
        <f>IF(NOT(ISNUMBER(S203)),"",IF(S203=2,"ROJO",IF(S203=1,"ÁMBAR","VERDE")))</f>
      </c>
      <c r="I203" s="26">
        <f>IF(NOT(ISNUMBER(T203)),"",IF(T203=2,"ROJO",IF(T203=1,"ÁMBAR","VERDE")))</f>
      </c>
      <c r="J203" s="26">
        <f>IF(NOT(ISNUMBER(O203)),"",IF(O203=2,"ROJO",IF(O203=1,"ÁMBAR","VERDE")))</f>
      </c>
      <c r="K203" s="26">
        <f>IFERROR(IF(AND(N203=1,LEN(TRIM('DATOS'!N203&amp;""))&gt;0),'DATOS'!N203,""),"Hay una entrada con error. Corregimos el dato antes de cerrar la comprobación.")</f>
      </c>
      <c r="L203" s="26">
        <f>IFERROR(IF(N203=0,"",IF(O203&gt;0,"Completamos datos, claves o motivo. ","")&amp;IF(P203&gt;0,"Cotejamos precios e importe. ","")&amp;IF(Q203&gt;0,"Aclaramos el cero. ","")&amp;IF(R203&gt;0,"Comprobamos el texto. ","")&amp;IF(S203&gt;0,"Revisamos decimales visibles. ","")&amp;IF(T203&gt;0,"Confirmamos la unidad.","")),"Hay una entrada con error. Corregimos el dato antes de cerrar la comprobación.")</f>
      </c>
      <c r="N203" s="29" t="n">
        <f>IF(COUNTA('DATOS'!B203:O203)&gt;0,1,0)</f>
        <v>0</v>
      </c>
      <c r="O203" s="29">
        <f>IFERROR(IF(N203=0,"",IF(OR(NOT(AND(LEN(TRIM('DATOS'!B203&amp;""))&gt;0,TRIM('DATOS'!B203&amp;"")&lt;&gt;"Pendiente",TRIM('DATOS'!B203&amp;"")&lt;&gt;"Por confirmar",TRIM('DATOS'!B203&amp;"")&lt;&gt;"No consta",TRIM('DATOS'!B203&amp;"")&lt;&gt;"Desconocido",TRIM('DATOS'!B203&amp;"")&lt;&gt;"Sin confirmar",TRIM('DATOS'!B203&amp;"")&lt;&gt;"Por decidir",TRIM('DATOS'!B203&amp;"")&lt;&gt;"Por comprobar")),NOT(AND(LEN(TRIM('DATOS'!C203&amp;""))&gt;0,TRIM('DATOS'!C203&amp;"")&lt;&gt;"Pendiente",TRIM('DATOS'!C203&amp;"")&lt;&gt;"Por confirmar",TRIM('DATOS'!C203&amp;"")&lt;&gt;"No consta",TRIM('DATOS'!C203&amp;"")&lt;&gt;"Desconocido",TRIM('DATOS'!C203&amp;"")&lt;&gt;"Sin confirmar",TRIM('DATOS'!C203&amp;"")&lt;&gt;"Por decidir",TRIM('DATOS'!C203&amp;"")&lt;&gt;"Por comprobar")),NOT(AND(LEN(TRIM('DATOS'!D203&amp;""))&gt;0,TRIM('DATOS'!D203&amp;"")&lt;&gt;"Pendiente",TRIM('DATOS'!D203&amp;"")&lt;&gt;"Por confirmar",TRIM('DATOS'!D203&amp;"")&lt;&gt;"No consta",TRIM('DATOS'!D203&amp;"")&lt;&gt;"Desconocido",TRIM('DATOS'!D203&amp;"")&lt;&gt;"Sin confirmar",TRIM('DATOS'!D203&amp;"")&lt;&gt;"Por decidir",TRIM('DATOS'!D203&amp;"")&lt;&gt;"Por comprobar")),NOT(AND(LEN(TRIM('DATOS'!E203&amp;""))&gt;0,TRIM('DATOS'!E203&amp;"")&lt;&gt;"Pendiente",TRIM('DATOS'!E203&amp;"")&lt;&gt;"Por confirmar",TRIM('DATOS'!E203&amp;"")&lt;&gt;"No consta",TRIM('DATOS'!E203&amp;"")&lt;&gt;"Desconocido",TRIM('DATOS'!E203&amp;"")&lt;&gt;"Sin confirmar",TRIM('DATOS'!E203&amp;"")&lt;&gt;"Por decidir",TRIM('DATOS'!E203&amp;"")&lt;&gt;"Por comprobar")),NOT(AND(LEN(TRIM('DATOS'!F203&amp;""))&gt;0,TRIM('DATOS'!F203&amp;"")&lt;&gt;"Pendiente",TRIM('DATOS'!F203&amp;"")&lt;&gt;"Por confirmar",TRIM('DATOS'!F203&amp;"")&lt;&gt;"No consta",TRIM('DATOS'!F203&amp;"")&lt;&gt;"Desconocido",TRIM('DATOS'!F203&amp;"")&lt;&gt;"Sin confirmar",TRIM('DATOS'!F203&amp;"")&lt;&gt;"Por decidir",TRIM('DATOS'!F203&amp;"")&lt;&gt;"Por comprobar")),NOT(AND(LEN(TRIM('DATOS'!N203&amp;""))&gt;0,TRIM('DATOS'!N203&amp;"")&lt;&gt;"Pendiente",TRIM('DATOS'!N203&amp;"")&lt;&gt;"Por confirmar",TRIM('DATOS'!N203&amp;"")&lt;&gt;"No consta",TRIM('DATOS'!N203&amp;"")&lt;&gt;"Desconocido",TRIM('DATOS'!N203&amp;"")&lt;&gt;"Sin confirmar",TRIM('DATOS'!N203&amp;"")&lt;&gt;"Por decidir",TRIM('DATOS'!N203&amp;"")&lt;&gt;"Por comprobar")),NOT(Y203=1),W203&lt;&gt;1,X203&gt;1,NOT(OR(LEN(TRIM('DATOS'!K203&amp;""))=0,'DATOS'!K203="Sin valorar",'DATOS'!K203="Sin coste documentado",'DATOS'!K203="Incluido en otra partida",'DATOS'!K203="Por confirmar")),NOT(OR(LEN(TRIM('DATOS'!M203&amp;""))=0,'DATOS'!M203="Sí",'DATOS'!M203="No",'DATOS'!M203="Por confirmar")),NOT(OR(LEN(TRIM('DATOS'!O203&amp;""))=0,'DATOS'!O203="Comparamos",'DATOS'!O203="No existe",'DATOS'!O203="Por confirmar"))),2,IF(AND(OR('DATOS'!G203&lt;0,'DATOS'!H203&lt;0,'DATOS'!J203&lt;0),NOT(AND(LEN(TRIM('DATOS'!L203&amp;""))&gt;0,TRIM('DATOS'!L203&amp;"")&lt;&gt;"Pendiente",TRIM('DATOS'!L203&amp;"")&lt;&gt;"Por confirmar",TRIM('DATOS'!L203&amp;"")&lt;&gt;"No consta",TRIM('DATOS'!L203&amp;"")&lt;&gt;"Desconocido",TRIM('DATOS'!L203&amp;"")&lt;&gt;"Sin confirmar",TRIM('DATOS'!L203&amp;"")&lt;&gt;"Por decidir",TRIM('DATOS'!L203&amp;"")&lt;&gt;"Por comprobar"))),1,0))),2)</f>
      </c>
      <c r="P203" s="29">
        <f>IFERROR(IF(N203=0,"",IF(NOT(Y203=1),1,IF('REFERENCIAS'!$Q$8&lt;&gt;1,2,IF(ABS('DATOS'!J203-ROUND('DATOS'!G203*'DATOS'!H203,'REFERENCIAS'!$K$8))&gt;0.00000001,2,IF('DATOS'!O203="No existe",IF(LEN(TRIM('DATOS'!I203&amp;""))=0,0,2),IF('DATOS'!O203="Comparamos",IF(LEN(TRIM('DATOS'!I203&amp;""))=0,1,IF(ISNUMBER('DATOS'!I203),IF(ABS('DATOS'!H203-'DATOS'!I203)&gt;0.00000001,2,0),2)),1)))))),2)</f>
      </c>
      <c r="Q203" s="29">
        <f>IFERROR(IF(N203=0,"",IF(NOT(Y203=1),1,IF('DATOS'!K203="Sin valorar",2,IF('DATOS'!G203=0,1,IF(OR('DATOS'!H203=0,'DATOS'!J203=0),IF(AND(OR('DATOS'!K203="Sin coste documentado",'DATOS'!K203="Incluido en otra partida"),AND(LEN(TRIM('DATOS'!L203&amp;""))&gt;0,TRIM('DATOS'!L203&amp;"")&lt;&gt;"Pendiente",TRIM('DATOS'!L203&amp;"")&lt;&gt;"Por confirmar",TRIM('DATOS'!L203&amp;"")&lt;&gt;"No consta",TRIM('DATOS'!L203&amp;"")&lt;&gt;"Desconocido",TRIM('DATOS'!L203&amp;"")&lt;&gt;"Sin confirmar",TRIM('DATOS'!L203&amp;"")&lt;&gt;"Por decidir",TRIM('DATOS'!L203&amp;"")&lt;&gt;"Por comprobar")),0,1),0))))),2)</f>
      </c>
      <c r="R203" s="29">
        <f>IFERROR(IF(N203=0,"",IF(OR(NOT(AND(LEN(TRIM('DATOS'!D203&amp;""))&gt;0,TRIM('DATOS'!D203&amp;"")&lt;&gt;"Pendiente",TRIM('DATOS'!D203&amp;"")&lt;&gt;"Por confirmar",TRIM('DATOS'!D203&amp;"")&lt;&gt;"No consta",TRIM('DATOS'!D203&amp;"")&lt;&gt;"Desconocido",TRIM('DATOS'!D203&amp;"")&lt;&gt;"Sin confirmar",TRIM('DATOS'!D203&amp;"")&lt;&gt;"Por decidir",TRIM('DATOS'!D203&amp;"")&lt;&gt;"Por comprobar")),NOT(AND(LEN(TRIM('DATOS'!E203&amp;""))&gt;0,TRIM('DATOS'!E203&amp;"")&lt;&gt;"Pendiente",TRIM('DATOS'!E203&amp;"")&lt;&gt;"Por confirmar",TRIM('DATOS'!E203&amp;"")&lt;&gt;"No consta",TRIM('DATOS'!E203&amp;"")&lt;&gt;"Desconocido",TRIM('DATOS'!E203&amp;"")&lt;&gt;"Sin confirmar",TRIM('DATOS'!E203&amp;"")&lt;&gt;"Por decidir",TRIM('DATOS'!E203&amp;"")&lt;&gt;"Por comprobar"))),2,IF('DATOS'!M203="No",2,IF('DATOS'!M203="Sí",0,IF(OR('DATOS'!D203&lt;&gt;'DATOS'!E203,LEN('DATOS'!E203)&gt;300,RIGHT(TRIM('DATOS'!E203),3)="...",RIGHT(TRIM('DATOS'!E203),1)="…"),1,0))))),2)</f>
      </c>
      <c r="S203" s="29">
        <f>IFERROR(IF(N203=0,"",IF('REFERENCIAS'!$Q$8&lt;&gt;1,2,IF(NOT(Y203=1),1,IF(OR(ABS('DATOS'!G203-ROUND('DATOS'!G203,'REFERENCIAS'!$E$8))&gt;0.00000001,ABS('DATOS'!H203-ROUND('DATOS'!H203,'REFERENCIAS'!$H$8))&gt;0.00000001,ABS('DATOS'!J203-ROUND('DATOS'!J203,'REFERENCIAS'!$K$8))&gt;0.00000001,IF(ISNUMBER('DATOS'!I203),ABS('DATOS'!I203-ROUND('DATOS'!I203,'REFERENCIAS'!$H$8))&gt;0.00000001,FALSE)),1,0)))),2)</f>
      </c>
      <c r="T203" s="29">
        <f>IFERROR(IF(N203=0,"",IF(NOT(AND(LEN(TRIM('DATOS'!F203&amp;""))&gt;0,TRIM('DATOS'!F203&amp;"")&lt;&gt;"Pendiente",TRIM('DATOS'!F203&amp;"")&lt;&gt;"Por confirmar",TRIM('DATOS'!F203&amp;"")&lt;&gt;"No consta",TRIM('DATOS'!F203&amp;"")&lt;&gt;"Desconocido",TRIM('DATOS'!F203&amp;"")&lt;&gt;"Sin confirmar",TRIM('DATOS'!F203&amp;"")&lt;&gt;"Por decidir",TRIM('DATOS'!F203&amp;"")&lt;&gt;"Por comprobar")),2,IF(COUNTIFS('REFERENCIAS'!$T$15:$T$34,"ID:"&amp;SUBSTITUTE(SUBSTITUTE(SUBSTITUTE(SUBSTITUTE(UPPER(TRIM('DATOS'!F203&amp;"")),"!","!E"),"*","!A"),"?","!B"),"~","!C"),'REFERENCIAS'!$H$15:$H$34,"&lt;&gt;")&gt;0,0,1))),2)</f>
      </c>
      <c r="U203" s="29" t="str">
        <f>'DATOS'!R203</f>
        <v>ID:</v>
      </c>
      <c r="V203" s="29" t="str">
        <f>'DATOS'!S203</f>
        <v>ID:</v>
      </c>
      <c r="W203" s="29" t="n">
        <f>IF(N203=0,0,COUNTIFS('REFERENCIAS'!$R$15:$R$64,U203))</f>
        <v>0</v>
      </c>
      <c r="X203" s="29" t="n">
        <f>IF(N203=0,0,COUNTIFS('DATOS'!$R$10:$R$509,U203,'DATOS'!$S$10:$S$509,V203))</f>
        <v>0</v>
      </c>
      <c r="Y203" s="29" t="n">
        <f>IF(AND(ISNUMBER('DATOS'!G203),ISNUMBER('DATOS'!H203),ISNUMBER('DATOS'!J203)),1,0)</f>
        <v>0</v>
      </c>
    </row>
    <row r="204" ht="64" customHeight="1">
      <c r="B204" s="26">
        <f>IF(N204=1,195,"")</f>
      </c>
      <c r="C204" s="26">
        <f>IF(AND(N204=1,LEN(TRIM('DATOS'!B204&amp;""))&gt;0),'DATOS'!B204,"")</f>
      </c>
      <c r="D204" s="26">
        <f>IF(AND(N204=1,LEN(TRIM('DATOS'!C204&amp;""))&gt;0),'DATOS'!C204,"")</f>
      </c>
      <c r="E204" s="26">
        <f>IF(NOT(ISNUMBER(P204)),"",IF(P204=2,"ROJO",IF(P204=1,"ÁMBAR","VERDE")))</f>
      </c>
      <c r="F204" s="26">
        <f>IF(NOT(ISNUMBER(Q204)),"",IF(Q204=2,"ROJO",IF(Q204=1,"ÁMBAR","VERDE")))</f>
      </c>
      <c r="G204" s="26">
        <f>IF(NOT(ISNUMBER(R204)),"",IF(R204=2,"ROJO",IF(R204=1,"ÁMBAR","VERDE")))</f>
      </c>
      <c r="H204" s="26">
        <f>IF(NOT(ISNUMBER(S204)),"",IF(S204=2,"ROJO",IF(S204=1,"ÁMBAR","VERDE")))</f>
      </c>
      <c r="I204" s="26">
        <f>IF(NOT(ISNUMBER(T204)),"",IF(T204=2,"ROJO",IF(T204=1,"ÁMBAR","VERDE")))</f>
      </c>
      <c r="J204" s="26">
        <f>IF(NOT(ISNUMBER(O204)),"",IF(O204=2,"ROJO",IF(O204=1,"ÁMBAR","VERDE")))</f>
      </c>
      <c r="K204" s="26">
        <f>IFERROR(IF(AND(N204=1,LEN(TRIM('DATOS'!N204&amp;""))&gt;0),'DATOS'!N204,""),"Hay una entrada con error. Corregimos el dato antes de cerrar la comprobación.")</f>
      </c>
      <c r="L204" s="26">
        <f>IFERROR(IF(N204=0,"",IF(O204&gt;0,"Completamos datos, claves o motivo. ","")&amp;IF(P204&gt;0,"Cotejamos precios e importe. ","")&amp;IF(Q204&gt;0,"Aclaramos el cero. ","")&amp;IF(R204&gt;0,"Comprobamos el texto. ","")&amp;IF(S204&gt;0,"Revisamos decimales visibles. ","")&amp;IF(T204&gt;0,"Confirmamos la unidad.","")),"Hay una entrada con error. Corregimos el dato antes de cerrar la comprobación.")</f>
      </c>
      <c r="N204" s="29" t="n">
        <f>IF(COUNTA('DATOS'!B204:O204)&gt;0,1,0)</f>
        <v>0</v>
      </c>
      <c r="O204" s="29">
        <f>IFERROR(IF(N204=0,"",IF(OR(NOT(AND(LEN(TRIM('DATOS'!B204&amp;""))&gt;0,TRIM('DATOS'!B204&amp;"")&lt;&gt;"Pendiente",TRIM('DATOS'!B204&amp;"")&lt;&gt;"Por confirmar",TRIM('DATOS'!B204&amp;"")&lt;&gt;"No consta",TRIM('DATOS'!B204&amp;"")&lt;&gt;"Desconocido",TRIM('DATOS'!B204&amp;"")&lt;&gt;"Sin confirmar",TRIM('DATOS'!B204&amp;"")&lt;&gt;"Por decidir",TRIM('DATOS'!B204&amp;"")&lt;&gt;"Por comprobar")),NOT(AND(LEN(TRIM('DATOS'!C204&amp;""))&gt;0,TRIM('DATOS'!C204&amp;"")&lt;&gt;"Pendiente",TRIM('DATOS'!C204&amp;"")&lt;&gt;"Por confirmar",TRIM('DATOS'!C204&amp;"")&lt;&gt;"No consta",TRIM('DATOS'!C204&amp;"")&lt;&gt;"Desconocido",TRIM('DATOS'!C204&amp;"")&lt;&gt;"Sin confirmar",TRIM('DATOS'!C204&amp;"")&lt;&gt;"Por decidir",TRIM('DATOS'!C204&amp;"")&lt;&gt;"Por comprobar")),NOT(AND(LEN(TRIM('DATOS'!D204&amp;""))&gt;0,TRIM('DATOS'!D204&amp;"")&lt;&gt;"Pendiente",TRIM('DATOS'!D204&amp;"")&lt;&gt;"Por confirmar",TRIM('DATOS'!D204&amp;"")&lt;&gt;"No consta",TRIM('DATOS'!D204&amp;"")&lt;&gt;"Desconocido",TRIM('DATOS'!D204&amp;"")&lt;&gt;"Sin confirmar",TRIM('DATOS'!D204&amp;"")&lt;&gt;"Por decidir",TRIM('DATOS'!D204&amp;"")&lt;&gt;"Por comprobar")),NOT(AND(LEN(TRIM('DATOS'!E204&amp;""))&gt;0,TRIM('DATOS'!E204&amp;"")&lt;&gt;"Pendiente",TRIM('DATOS'!E204&amp;"")&lt;&gt;"Por confirmar",TRIM('DATOS'!E204&amp;"")&lt;&gt;"No consta",TRIM('DATOS'!E204&amp;"")&lt;&gt;"Desconocido",TRIM('DATOS'!E204&amp;"")&lt;&gt;"Sin confirmar",TRIM('DATOS'!E204&amp;"")&lt;&gt;"Por decidir",TRIM('DATOS'!E204&amp;"")&lt;&gt;"Por comprobar")),NOT(AND(LEN(TRIM('DATOS'!F204&amp;""))&gt;0,TRIM('DATOS'!F204&amp;"")&lt;&gt;"Pendiente",TRIM('DATOS'!F204&amp;"")&lt;&gt;"Por confirmar",TRIM('DATOS'!F204&amp;"")&lt;&gt;"No consta",TRIM('DATOS'!F204&amp;"")&lt;&gt;"Desconocido",TRIM('DATOS'!F204&amp;"")&lt;&gt;"Sin confirmar",TRIM('DATOS'!F204&amp;"")&lt;&gt;"Por decidir",TRIM('DATOS'!F204&amp;"")&lt;&gt;"Por comprobar")),NOT(AND(LEN(TRIM('DATOS'!N204&amp;""))&gt;0,TRIM('DATOS'!N204&amp;"")&lt;&gt;"Pendiente",TRIM('DATOS'!N204&amp;"")&lt;&gt;"Por confirmar",TRIM('DATOS'!N204&amp;"")&lt;&gt;"No consta",TRIM('DATOS'!N204&amp;"")&lt;&gt;"Desconocido",TRIM('DATOS'!N204&amp;"")&lt;&gt;"Sin confirmar",TRIM('DATOS'!N204&amp;"")&lt;&gt;"Por decidir",TRIM('DATOS'!N204&amp;"")&lt;&gt;"Por comprobar")),NOT(Y204=1),W204&lt;&gt;1,X204&gt;1,NOT(OR(LEN(TRIM('DATOS'!K204&amp;""))=0,'DATOS'!K204="Sin valorar",'DATOS'!K204="Sin coste documentado",'DATOS'!K204="Incluido en otra partida",'DATOS'!K204="Por confirmar")),NOT(OR(LEN(TRIM('DATOS'!M204&amp;""))=0,'DATOS'!M204="Sí",'DATOS'!M204="No",'DATOS'!M204="Por confirmar")),NOT(OR(LEN(TRIM('DATOS'!O204&amp;""))=0,'DATOS'!O204="Comparamos",'DATOS'!O204="No existe",'DATOS'!O204="Por confirmar"))),2,IF(AND(OR('DATOS'!G204&lt;0,'DATOS'!H204&lt;0,'DATOS'!J204&lt;0),NOT(AND(LEN(TRIM('DATOS'!L204&amp;""))&gt;0,TRIM('DATOS'!L204&amp;"")&lt;&gt;"Pendiente",TRIM('DATOS'!L204&amp;"")&lt;&gt;"Por confirmar",TRIM('DATOS'!L204&amp;"")&lt;&gt;"No consta",TRIM('DATOS'!L204&amp;"")&lt;&gt;"Desconocido",TRIM('DATOS'!L204&amp;"")&lt;&gt;"Sin confirmar",TRIM('DATOS'!L204&amp;"")&lt;&gt;"Por decidir",TRIM('DATOS'!L204&amp;"")&lt;&gt;"Por comprobar"))),1,0))),2)</f>
      </c>
      <c r="P204" s="29">
        <f>IFERROR(IF(N204=0,"",IF(NOT(Y204=1),1,IF('REFERENCIAS'!$Q$8&lt;&gt;1,2,IF(ABS('DATOS'!J204-ROUND('DATOS'!G204*'DATOS'!H204,'REFERENCIAS'!$K$8))&gt;0.00000001,2,IF('DATOS'!O204="No existe",IF(LEN(TRIM('DATOS'!I204&amp;""))=0,0,2),IF('DATOS'!O204="Comparamos",IF(LEN(TRIM('DATOS'!I204&amp;""))=0,1,IF(ISNUMBER('DATOS'!I204),IF(ABS('DATOS'!H204-'DATOS'!I204)&gt;0.00000001,2,0),2)),1)))))),2)</f>
      </c>
      <c r="Q204" s="29">
        <f>IFERROR(IF(N204=0,"",IF(NOT(Y204=1),1,IF('DATOS'!K204="Sin valorar",2,IF('DATOS'!G204=0,1,IF(OR('DATOS'!H204=0,'DATOS'!J204=0),IF(AND(OR('DATOS'!K204="Sin coste documentado",'DATOS'!K204="Incluido en otra partida"),AND(LEN(TRIM('DATOS'!L204&amp;""))&gt;0,TRIM('DATOS'!L204&amp;"")&lt;&gt;"Pendiente",TRIM('DATOS'!L204&amp;"")&lt;&gt;"Por confirmar",TRIM('DATOS'!L204&amp;"")&lt;&gt;"No consta",TRIM('DATOS'!L204&amp;"")&lt;&gt;"Desconocido",TRIM('DATOS'!L204&amp;"")&lt;&gt;"Sin confirmar",TRIM('DATOS'!L204&amp;"")&lt;&gt;"Por decidir",TRIM('DATOS'!L204&amp;"")&lt;&gt;"Por comprobar")),0,1),0))))),2)</f>
      </c>
      <c r="R204" s="29">
        <f>IFERROR(IF(N204=0,"",IF(OR(NOT(AND(LEN(TRIM('DATOS'!D204&amp;""))&gt;0,TRIM('DATOS'!D204&amp;"")&lt;&gt;"Pendiente",TRIM('DATOS'!D204&amp;"")&lt;&gt;"Por confirmar",TRIM('DATOS'!D204&amp;"")&lt;&gt;"No consta",TRIM('DATOS'!D204&amp;"")&lt;&gt;"Desconocido",TRIM('DATOS'!D204&amp;"")&lt;&gt;"Sin confirmar",TRIM('DATOS'!D204&amp;"")&lt;&gt;"Por decidir",TRIM('DATOS'!D204&amp;"")&lt;&gt;"Por comprobar")),NOT(AND(LEN(TRIM('DATOS'!E204&amp;""))&gt;0,TRIM('DATOS'!E204&amp;"")&lt;&gt;"Pendiente",TRIM('DATOS'!E204&amp;"")&lt;&gt;"Por confirmar",TRIM('DATOS'!E204&amp;"")&lt;&gt;"No consta",TRIM('DATOS'!E204&amp;"")&lt;&gt;"Desconocido",TRIM('DATOS'!E204&amp;"")&lt;&gt;"Sin confirmar",TRIM('DATOS'!E204&amp;"")&lt;&gt;"Por decidir",TRIM('DATOS'!E204&amp;"")&lt;&gt;"Por comprobar"))),2,IF('DATOS'!M204="No",2,IF('DATOS'!M204="Sí",0,IF(OR('DATOS'!D204&lt;&gt;'DATOS'!E204,LEN('DATOS'!E204)&gt;300,RIGHT(TRIM('DATOS'!E204),3)="...",RIGHT(TRIM('DATOS'!E204),1)="…"),1,0))))),2)</f>
      </c>
      <c r="S204" s="29">
        <f>IFERROR(IF(N204=0,"",IF('REFERENCIAS'!$Q$8&lt;&gt;1,2,IF(NOT(Y204=1),1,IF(OR(ABS('DATOS'!G204-ROUND('DATOS'!G204,'REFERENCIAS'!$E$8))&gt;0.00000001,ABS('DATOS'!H204-ROUND('DATOS'!H204,'REFERENCIAS'!$H$8))&gt;0.00000001,ABS('DATOS'!J204-ROUND('DATOS'!J204,'REFERENCIAS'!$K$8))&gt;0.00000001,IF(ISNUMBER('DATOS'!I204),ABS('DATOS'!I204-ROUND('DATOS'!I204,'REFERENCIAS'!$H$8))&gt;0.00000001,FALSE)),1,0)))),2)</f>
      </c>
      <c r="T204" s="29">
        <f>IFERROR(IF(N204=0,"",IF(NOT(AND(LEN(TRIM('DATOS'!F204&amp;""))&gt;0,TRIM('DATOS'!F204&amp;"")&lt;&gt;"Pendiente",TRIM('DATOS'!F204&amp;"")&lt;&gt;"Por confirmar",TRIM('DATOS'!F204&amp;"")&lt;&gt;"No consta",TRIM('DATOS'!F204&amp;"")&lt;&gt;"Desconocido",TRIM('DATOS'!F204&amp;"")&lt;&gt;"Sin confirmar",TRIM('DATOS'!F204&amp;"")&lt;&gt;"Por decidir",TRIM('DATOS'!F204&amp;"")&lt;&gt;"Por comprobar")),2,IF(COUNTIFS('REFERENCIAS'!$T$15:$T$34,"ID:"&amp;SUBSTITUTE(SUBSTITUTE(SUBSTITUTE(SUBSTITUTE(UPPER(TRIM('DATOS'!F204&amp;"")),"!","!E"),"*","!A"),"?","!B"),"~","!C"),'REFERENCIAS'!$H$15:$H$34,"&lt;&gt;")&gt;0,0,1))),2)</f>
      </c>
      <c r="U204" s="29" t="str">
        <f>'DATOS'!R204</f>
        <v>ID:</v>
      </c>
      <c r="V204" s="29" t="str">
        <f>'DATOS'!S204</f>
        <v>ID:</v>
      </c>
      <c r="W204" s="29" t="n">
        <f>IF(N204=0,0,COUNTIFS('REFERENCIAS'!$R$15:$R$64,U204))</f>
        <v>0</v>
      </c>
      <c r="X204" s="29" t="n">
        <f>IF(N204=0,0,COUNTIFS('DATOS'!$R$10:$R$509,U204,'DATOS'!$S$10:$S$509,V204))</f>
        <v>0</v>
      </c>
      <c r="Y204" s="29" t="n">
        <f>IF(AND(ISNUMBER('DATOS'!G204),ISNUMBER('DATOS'!H204),ISNUMBER('DATOS'!J204)),1,0)</f>
        <v>0</v>
      </c>
    </row>
    <row r="205" ht="64" customHeight="1">
      <c r="B205" s="26">
        <f>IF(N205=1,196,"")</f>
      </c>
      <c r="C205" s="26">
        <f>IF(AND(N205=1,LEN(TRIM('DATOS'!B205&amp;""))&gt;0),'DATOS'!B205,"")</f>
      </c>
      <c r="D205" s="26">
        <f>IF(AND(N205=1,LEN(TRIM('DATOS'!C205&amp;""))&gt;0),'DATOS'!C205,"")</f>
      </c>
      <c r="E205" s="26">
        <f>IF(NOT(ISNUMBER(P205)),"",IF(P205=2,"ROJO",IF(P205=1,"ÁMBAR","VERDE")))</f>
      </c>
      <c r="F205" s="26">
        <f>IF(NOT(ISNUMBER(Q205)),"",IF(Q205=2,"ROJO",IF(Q205=1,"ÁMBAR","VERDE")))</f>
      </c>
      <c r="G205" s="26">
        <f>IF(NOT(ISNUMBER(R205)),"",IF(R205=2,"ROJO",IF(R205=1,"ÁMBAR","VERDE")))</f>
      </c>
      <c r="H205" s="26">
        <f>IF(NOT(ISNUMBER(S205)),"",IF(S205=2,"ROJO",IF(S205=1,"ÁMBAR","VERDE")))</f>
      </c>
      <c r="I205" s="26">
        <f>IF(NOT(ISNUMBER(T205)),"",IF(T205=2,"ROJO",IF(T205=1,"ÁMBAR","VERDE")))</f>
      </c>
      <c r="J205" s="26">
        <f>IF(NOT(ISNUMBER(O205)),"",IF(O205=2,"ROJO",IF(O205=1,"ÁMBAR","VERDE")))</f>
      </c>
      <c r="K205" s="26">
        <f>IFERROR(IF(AND(N205=1,LEN(TRIM('DATOS'!N205&amp;""))&gt;0),'DATOS'!N205,""),"Hay una entrada con error. Corregimos el dato antes de cerrar la comprobación.")</f>
      </c>
      <c r="L205" s="26">
        <f>IFERROR(IF(N205=0,"",IF(O205&gt;0,"Completamos datos, claves o motivo. ","")&amp;IF(P205&gt;0,"Cotejamos precios e importe. ","")&amp;IF(Q205&gt;0,"Aclaramos el cero. ","")&amp;IF(R205&gt;0,"Comprobamos el texto. ","")&amp;IF(S205&gt;0,"Revisamos decimales visibles. ","")&amp;IF(T205&gt;0,"Confirmamos la unidad.","")),"Hay una entrada con error. Corregimos el dato antes de cerrar la comprobación.")</f>
      </c>
      <c r="N205" s="29" t="n">
        <f>IF(COUNTA('DATOS'!B205:O205)&gt;0,1,0)</f>
        <v>0</v>
      </c>
      <c r="O205" s="29">
        <f>IFERROR(IF(N205=0,"",IF(OR(NOT(AND(LEN(TRIM('DATOS'!B205&amp;""))&gt;0,TRIM('DATOS'!B205&amp;"")&lt;&gt;"Pendiente",TRIM('DATOS'!B205&amp;"")&lt;&gt;"Por confirmar",TRIM('DATOS'!B205&amp;"")&lt;&gt;"No consta",TRIM('DATOS'!B205&amp;"")&lt;&gt;"Desconocido",TRIM('DATOS'!B205&amp;"")&lt;&gt;"Sin confirmar",TRIM('DATOS'!B205&amp;"")&lt;&gt;"Por decidir",TRIM('DATOS'!B205&amp;"")&lt;&gt;"Por comprobar")),NOT(AND(LEN(TRIM('DATOS'!C205&amp;""))&gt;0,TRIM('DATOS'!C205&amp;"")&lt;&gt;"Pendiente",TRIM('DATOS'!C205&amp;"")&lt;&gt;"Por confirmar",TRIM('DATOS'!C205&amp;"")&lt;&gt;"No consta",TRIM('DATOS'!C205&amp;"")&lt;&gt;"Desconocido",TRIM('DATOS'!C205&amp;"")&lt;&gt;"Sin confirmar",TRIM('DATOS'!C205&amp;"")&lt;&gt;"Por decidir",TRIM('DATOS'!C205&amp;"")&lt;&gt;"Por comprobar")),NOT(AND(LEN(TRIM('DATOS'!D205&amp;""))&gt;0,TRIM('DATOS'!D205&amp;"")&lt;&gt;"Pendiente",TRIM('DATOS'!D205&amp;"")&lt;&gt;"Por confirmar",TRIM('DATOS'!D205&amp;"")&lt;&gt;"No consta",TRIM('DATOS'!D205&amp;"")&lt;&gt;"Desconocido",TRIM('DATOS'!D205&amp;"")&lt;&gt;"Sin confirmar",TRIM('DATOS'!D205&amp;"")&lt;&gt;"Por decidir",TRIM('DATOS'!D205&amp;"")&lt;&gt;"Por comprobar")),NOT(AND(LEN(TRIM('DATOS'!E205&amp;""))&gt;0,TRIM('DATOS'!E205&amp;"")&lt;&gt;"Pendiente",TRIM('DATOS'!E205&amp;"")&lt;&gt;"Por confirmar",TRIM('DATOS'!E205&amp;"")&lt;&gt;"No consta",TRIM('DATOS'!E205&amp;"")&lt;&gt;"Desconocido",TRIM('DATOS'!E205&amp;"")&lt;&gt;"Sin confirmar",TRIM('DATOS'!E205&amp;"")&lt;&gt;"Por decidir",TRIM('DATOS'!E205&amp;"")&lt;&gt;"Por comprobar")),NOT(AND(LEN(TRIM('DATOS'!F205&amp;""))&gt;0,TRIM('DATOS'!F205&amp;"")&lt;&gt;"Pendiente",TRIM('DATOS'!F205&amp;"")&lt;&gt;"Por confirmar",TRIM('DATOS'!F205&amp;"")&lt;&gt;"No consta",TRIM('DATOS'!F205&amp;"")&lt;&gt;"Desconocido",TRIM('DATOS'!F205&amp;"")&lt;&gt;"Sin confirmar",TRIM('DATOS'!F205&amp;"")&lt;&gt;"Por decidir",TRIM('DATOS'!F205&amp;"")&lt;&gt;"Por comprobar")),NOT(AND(LEN(TRIM('DATOS'!N205&amp;""))&gt;0,TRIM('DATOS'!N205&amp;"")&lt;&gt;"Pendiente",TRIM('DATOS'!N205&amp;"")&lt;&gt;"Por confirmar",TRIM('DATOS'!N205&amp;"")&lt;&gt;"No consta",TRIM('DATOS'!N205&amp;"")&lt;&gt;"Desconocido",TRIM('DATOS'!N205&amp;"")&lt;&gt;"Sin confirmar",TRIM('DATOS'!N205&amp;"")&lt;&gt;"Por decidir",TRIM('DATOS'!N205&amp;"")&lt;&gt;"Por comprobar")),NOT(Y205=1),W205&lt;&gt;1,X205&gt;1,NOT(OR(LEN(TRIM('DATOS'!K205&amp;""))=0,'DATOS'!K205="Sin valorar",'DATOS'!K205="Sin coste documentado",'DATOS'!K205="Incluido en otra partida",'DATOS'!K205="Por confirmar")),NOT(OR(LEN(TRIM('DATOS'!M205&amp;""))=0,'DATOS'!M205="Sí",'DATOS'!M205="No",'DATOS'!M205="Por confirmar")),NOT(OR(LEN(TRIM('DATOS'!O205&amp;""))=0,'DATOS'!O205="Comparamos",'DATOS'!O205="No existe",'DATOS'!O205="Por confirmar"))),2,IF(AND(OR('DATOS'!G205&lt;0,'DATOS'!H205&lt;0,'DATOS'!J205&lt;0),NOT(AND(LEN(TRIM('DATOS'!L205&amp;""))&gt;0,TRIM('DATOS'!L205&amp;"")&lt;&gt;"Pendiente",TRIM('DATOS'!L205&amp;"")&lt;&gt;"Por confirmar",TRIM('DATOS'!L205&amp;"")&lt;&gt;"No consta",TRIM('DATOS'!L205&amp;"")&lt;&gt;"Desconocido",TRIM('DATOS'!L205&amp;"")&lt;&gt;"Sin confirmar",TRIM('DATOS'!L205&amp;"")&lt;&gt;"Por decidir",TRIM('DATOS'!L205&amp;"")&lt;&gt;"Por comprobar"))),1,0))),2)</f>
      </c>
      <c r="P205" s="29">
        <f>IFERROR(IF(N205=0,"",IF(NOT(Y205=1),1,IF('REFERENCIAS'!$Q$8&lt;&gt;1,2,IF(ABS('DATOS'!J205-ROUND('DATOS'!G205*'DATOS'!H205,'REFERENCIAS'!$K$8))&gt;0.00000001,2,IF('DATOS'!O205="No existe",IF(LEN(TRIM('DATOS'!I205&amp;""))=0,0,2),IF('DATOS'!O205="Comparamos",IF(LEN(TRIM('DATOS'!I205&amp;""))=0,1,IF(ISNUMBER('DATOS'!I205),IF(ABS('DATOS'!H205-'DATOS'!I205)&gt;0.00000001,2,0),2)),1)))))),2)</f>
      </c>
      <c r="Q205" s="29">
        <f>IFERROR(IF(N205=0,"",IF(NOT(Y205=1),1,IF('DATOS'!K205="Sin valorar",2,IF('DATOS'!G205=0,1,IF(OR('DATOS'!H205=0,'DATOS'!J205=0),IF(AND(OR('DATOS'!K205="Sin coste documentado",'DATOS'!K205="Incluido en otra partida"),AND(LEN(TRIM('DATOS'!L205&amp;""))&gt;0,TRIM('DATOS'!L205&amp;"")&lt;&gt;"Pendiente",TRIM('DATOS'!L205&amp;"")&lt;&gt;"Por confirmar",TRIM('DATOS'!L205&amp;"")&lt;&gt;"No consta",TRIM('DATOS'!L205&amp;"")&lt;&gt;"Desconocido",TRIM('DATOS'!L205&amp;"")&lt;&gt;"Sin confirmar",TRIM('DATOS'!L205&amp;"")&lt;&gt;"Por decidir",TRIM('DATOS'!L205&amp;"")&lt;&gt;"Por comprobar")),0,1),0))))),2)</f>
      </c>
      <c r="R205" s="29">
        <f>IFERROR(IF(N205=0,"",IF(OR(NOT(AND(LEN(TRIM('DATOS'!D205&amp;""))&gt;0,TRIM('DATOS'!D205&amp;"")&lt;&gt;"Pendiente",TRIM('DATOS'!D205&amp;"")&lt;&gt;"Por confirmar",TRIM('DATOS'!D205&amp;"")&lt;&gt;"No consta",TRIM('DATOS'!D205&amp;"")&lt;&gt;"Desconocido",TRIM('DATOS'!D205&amp;"")&lt;&gt;"Sin confirmar",TRIM('DATOS'!D205&amp;"")&lt;&gt;"Por decidir",TRIM('DATOS'!D205&amp;"")&lt;&gt;"Por comprobar")),NOT(AND(LEN(TRIM('DATOS'!E205&amp;""))&gt;0,TRIM('DATOS'!E205&amp;"")&lt;&gt;"Pendiente",TRIM('DATOS'!E205&amp;"")&lt;&gt;"Por confirmar",TRIM('DATOS'!E205&amp;"")&lt;&gt;"No consta",TRIM('DATOS'!E205&amp;"")&lt;&gt;"Desconocido",TRIM('DATOS'!E205&amp;"")&lt;&gt;"Sin confirmar",TRIM('DATOS'!E205&amp;"")&lt;&gt;"Por decidir",TRIM('DATOS'!E205&amp;"")&lt;&gt;"Por comprobar"))),2,IF('DATOS'!M205="No",2,IF('DATOS'!M205="Sí",0,IF(OR('DATOS'!D205&lt;&gt;'DATOS'!E205,LEN('DATOS'!E205)&gt;300,RIGHT(TRIM('DATOS'!E205),3)="...",RIGHT(TRIM('DATOS'!E205),1)="…"),1,0))))),2)</f>
      </c>
      <c r="S205" s="29">
        <f>IFERROR(IF(N205=0,"",IF('REFERENCIAS'!$Q$8&lt;&gt;1,2,IF(NOT(Y205=1),1,IF(OR(ABS('DATOS'!G205-ROUND('DATOS'!G205,'REFERENCIAS'!$E$8))&gt;0.00000001,ABS('DATOS'!H205-ROUND('DATOS'!H205,'REFERENCIAS'!$H$8))&gt;0.00000001,ABS('DATOS'!J205-ROUND('DATOS'!J205,'REFERENCIAS'!$K$8))&gt;0.00000001,IF(ISNUMBER('DATOS'!I205),ABS('DATOS'!I205-ROUND('DATOS'!I205,'REFERENCIAS'!$H$8))&gt;0.00000001,FALSE)),1,0)))),2)</f>
      </c>
      <c r="T205" s="29">
        <f>IFERROR(IF(N205=0,"",IF(NOT(AND(LEN(TRIM('DATOS'!F205&amp;""))&gt;0,TRIM('DATOS'!F205&amp;"")&lt;&gt;"Pendiente",TRIM('DATOS'!F205&amp;"")&lt;&gt;"Por confirmar",TRIM('DATOS'!F205&amp;"")&lt;&gt;"No consta",TRIM('DATOS'!F205&amp;"")&lt;&gt;"Desconocido",TRIM('DATOS'!F205&amp;"")&lt;&gt;"Sin confirmar",TRIM('DATOS'!F205&amp;"")&lt;&gt;"Por decidir",TRIM('DATOS'!F205&amp;"")&lt;&gt;"Por comprobar")),2,IF(COUNTIFS('REFERENCIAS'!$T$15:$T$34,"ID:"&amp;SUBSTITUTE(SUBSTITUTE(SUBSTITUTE(SUBSTITUTE(UPPER(TRIM('DATOS'!F205&amp;"")),"!","!E"),"*","!A"),"?","!B"),"~","!C"),'REFERENCIAS'!$H$15:$H$34,"&lt;&gt;")&gt;0,0,1))),2)</f>
      </c>
      <c r="U205" s="29" t="str">
        <f>'DATOS'!R205</f>
        <v>ID:</v>
      </c>
      <c r="V205" s="29" t="str">
        <f>'DATOS'!S205</f>
        <v>ID:</v>
      </c>
      <c r="W205" s="29" t="n">
        <f>IF(N205=0,0,COUNTIFS('REFERENCIAS'!$R$15:$R$64,U205))</f>
        <v>0</v>
      </c>
      <c r="X205" s="29" t="n">
        <f>IF(N205=0,0,COUNTIFS('DATOS'!$R$10:$R$509,U205,'DATOS'!$S$10:$S$509,V205))</f>
        <v>0</v>
      </c>
      <c r="Y205" s="29" t="n">
        <f>IF(AND(ISNUMBER('DATOS'!G205),ISNUMBER('DATOS'!H205),ISNUMBER('DATOS'!J205)),1,0)</f>
        <v>0</v>
      </c>
    </row>
    <row r="206" ht="64" customHeight="1">
      <c r="B206" s="26">
        <f>IF(N206=1,197,"")</f>
      </c>
      <c r="C206" s="26">
        <f>IF(AND(N206=1,LEN(TRIM('DATOS'!B206&amp;""))&gt;0),'DATOS'!B206,"")</f>
      </c>
      <c r="D206" s="26">
        <f>IF(AND(N206=1,LEN(TRIM('DATOS'!C206&amp;""))&gt;0),'DATOS'!C206,"")</f>
      </c>
      <c r="E206" s="26">
        <f>IF(NOT(ISNUMBER(P206)),"",IF(P206=2,"ROJO",IF(P206=1,"ÁMBAR","VERDE")))</f>
      </c>
      <c r="F206" s="26">
        <f>IF(NOT(ISNUMBER(Q206)),"",IF(Q206=2,"ROJO",IF(Q206=1,"ÁMBAR","VERDE")))</f>
      </c>
      <c r="G206" s="26">
        <f>IF(NOT(ISNUMBER(R206)),"",IF(R206=2,"ROJO",IF(R206=1,"ÁMBAR","VERDE")))</f>
      </c>
      <c r="H206" s="26">
        <f>IF(NOT(ISNUMBER(S206)),"",IF(S206=2,"ROJO",IF(S206=1,"ÁMBAR","VERDE")))</f>
      </c>
      <c r="I206" s="26">
        <f>IF(NOT(ISNUMBER(T206)),"",IF(T206=2,"ROJO",IF(T206=1,"ÁMBAR","VERDE")))</f>
      </c>
      <c r="J206" s="26">
        <f>IF(NOT(ISNUMBER(O206)),"",IF(O206=2,"ROJO",IF(O206=1,"ÁMBAR","VERDE")))</f>
      </c>
      <c r="K206" s="26">
        <f>IFERROR(IF(AND(N206=1,LEN(TRIM('DATOS'!N206&amp;""))&gt;0),'DATOS'!N206,""),"Hay una entrada con error. Corregimos el dato antes de cerrar la comprobación.")</f>
      </c>
      <c r="L206" s="26">
        <f>IFERROR(IF(N206=0,"",IF(O206&gt;0,"Completamos datos, claves o motivo. ","")&amp;IF(P206&gt;0,"Cotejamos precios e importe. ","")&amp;IF(Q206&gt;0,"Aclaramos el cero. ","")&amp;IF(R206&gt;0,"Comprobamos el texto. ","")&amp;IF(S206&gt;0,"Revisamos decimales visibles. ","")&amp;IF(T206&gt;0,"Confirmamos la unidad.","")),"Hay una entrada con error. Corregimos el dato antes de cerrar la comprobación.")</f>
      </c>
      <c r="N206" s="29" t="n">
        <f>IF(COUNTA('DATOS'!B206:O206)&gt;0,1,0)</f>
        <v>0</v>
      </c>
      <c r="O206" s="29">
        <f>IFERROR(IF(N206=0,"",IF(OR(NOT(AND(LEN(TRIM('DATOS'!B206&amp;""))&gt;0,TRIM('DATOS'!B206&amp;"")&lt;&gt;"Pendiente",TRIM('DATOS'!B206&amp;"")&lt;&gt;"Por confirmar",TRIM('DATOS'!B206&amp;"")&lt;&gt;"No consta",TRIM('DATOS'!B206&amp;"")&lt;&gt;"Desconocido",TRIM('DATOS'!B206&amp;"")&lt;&gt;"Sin confirmar",TRIM('DATOS'!B206&amp;"")&lt;&gt;"Por decidir",TRIM('DATOS'!B206&amp;"")&lt;&gt;"Por comprobar")),NOT(AND(LEN(TRIM('DATOS'!C206&amp;""))&gt;0,TRIM('DATOS'!C206&amp;"")&lt;&gt;"Pendiente",TRIM('DATOS'!C206&amp;"")&lt;&gt;"Por confirmar",TRIM('DATOS'!C206&amp;"")&lt;&gt;"No consta",TRIM('DATOS'!C206&amp;"")&lt;&gt;"Desconocido",TRIM('DATOS'!C206&amp;"")&lt;&gt;"Sin confirmar",TRIM('DATOS'!C206&amp;"")&lt;&gt;"Por decidir",TRIM('DATOS'!C206&amp;"")&lt;&gt;"Por comprobar")),NOT(AND(LEN(TRIM('DATOS'!D206&amp;""))&gt;0,TRIM('DATOS'!D206&amp;"")&lt;&gt;"Pendiente",TRIM('DATOS'!D206&amp;"")&lt;&gt;"Por confirmar",TRIM('DATOS'!D206&amp;"")&lt;&gt;"No consta",TRIM('DATOS'!D206&amp;"")&lt;&gt;"Desconocido",TRIM('DATOS'!D206&amp;"")&lt;&gt;"Sin confirmar",TRIM('DATOS'!D206&amp;"")&lt;&gt;"Por decidir",TRIM('DATOS'!D206&amp;"")&lt;&gt;"Por comprobar")),NOT(AND(LEN(TRIM('DATOS'!E206&amp;""))&gt;0,TRIM('DATOS'!E206&amp;"")&lt;&gt;"Pendiente",TRIM('DATOS'!E206&amp;"")&lt;&gt;"Por confirmar",TRIM('DATOS'!E206&amp;"")&lt;&gt;"No consta",TRIM('DATOS'!E206&amp;"")&lt;&gt;"Desconocido",TRIM('DATOS'!E206&amp;"")&lt;&gt;"Sin confirmar",TRIM('DATOS'!E206&amp;"")&lt;&gt;"Por decidir",TRIM('DATOS'!E206&amp;"")&lt;&gt;"Por comprobar")),NOT(AND(LEN(TRIM('DATOS'!F206&amp;""))&gt;0,TRIM('DATOS'!F206&amp;"")&lt;&gt;"Pendiente",TRIM('DATOS'!F206&amp;"")&lt;&gt;"Por confirmar",TRIM('DATOS'!F206&amp;"")&lt;&gt;"No consta",TRIM('DATOS'!F206&amp;"")&lt;&gt;"Desconocido",TRIM('DATOS'!F206&amp;"")&lt;&gt;"Sin confirmar",TRIM('DATOS'!F206&amp;"")&lt;&gt;"Por decidir",TRIM('DATOS'!F206&amp;"")&lt;&gt;"Por comprobar")),NOT(AND(LEN(TRIM('DATOS'!N206&amp;""))&gt;0,TRIM('DATOS'!N206&amp;"")&lt;&gt;"Pendiente",TRIM('DATOS'!N206&amp;"")&lt;&gt;"Por confirmar",TRIM('DATOS'!N206&amp;"")&lt;&gt;"No consta",TRIM('DATOS'!N206&amp;"")&lt;&gt;"Desconocido",TRIM('DATOS'!N206&amp;"")&lt;&gt;"Sin confirmar",TRIM('DATOS'!N206&amp;"")&lt;&gt;"Por decidir",TRIM('DATOS'!N206&amp;"")&lt;&gt;"Por comprobar")),NOT(Y206=1),W206&lt;&gt;1,X206&gt;1,NOT(OR(LEN(TRIM('DATOS'!K206&amp;""))=0,'DATOS'!K206="Sin valorar",'DATOS'!K206="Sin coste documentado",'DATOS'!K206="Incluido en otra partida",'DATOS'!K206="Por confirmar")),NOT(OR(LEN(TRIM('DATOS'!M206&amp;""))=0,'DATOS'!M206="Sí",'DATOS'!M206="No",'DATOS'!M206="Por confirmar")),NOT(OR(LEN(TRIM('DATOS'!O206&amp;""))=0,'DATOS'!O206="Comparamos",'DATOS'!O206="No existe",'DATOS'!O206="Por confirmar"))),2,IF(AND(OR('DATOS'!G206&lt;0,'DATOS'!H206&lt;0,'DATOS'!J206&lt;0),NOT(AND(LEN(TRIM('DATOS'!L206&amp;""))&gt;0,TRIM('DATOS'!L206&amp;"")&lt;&gt;"Pendiente",TRIM('DATOS'!L206&amp;"")&lt;&gt;"Por confirmar",TRIM('DATOS'!L206&amp;"")&lt;&gt;"No consta",TRIM('DATOS'!L206&amp;"")&lt;&gt;"Desconocido",TRIM('DATOS'!L206&amp;"")&lt;&gt;"Sin confirmar",TRIM('DATOS'!L206&amp;"")&lt;&gt;"Por decidir",TRIM('DATOS'!L206&amp;"")&lt;&gt;"Por comprobar"))),1,0))),2)</f>
      </c>
      <c r="P206" s="29">
        <f>IFERROR(IF(N206=0,"",IF(NOT(Y206=1),1,IF('REFERENCIAS'!$Q$8&lt;&gt;1,2,IF(ABS('DATOS'!J206-ROUND('DATOS'!G206*'DATOS'!H206,'REFERENCIAS'!$K$8))&gt;0.00000001,2,IF('DATOS'!O206="No existe",IF(LEN(TRIM('DATOS'!I206&amp;""))=0,0,2),IF('DATOS'!O206="Comparamos",IF(LEN(TRIM('DATOS'!I206&amp;""))=0,1,IF(ISNUMBER('DATOS'!I206),IF(ABS('DATOS'!H206-'DATOS'!I206)&gt;0.00000001,2,0),2)),1)))))),2)</f>
      </c>
      <c r="Q206" s="29">
        <f>IFERROR(IF(N206=0,"",IF(NOT(Y206=1),1,IF('DATOS'!K206="Sin valorar",2,IF('DATOS'!G206=0,1,IF(OR('DATOS'!H206=0,'DATOS'!J206=0),IF(AND(OR('DATOS'!K206="Sin coste documentado",'DATOS'!K206="Incluido en otra partida"),AND(LEN(TRIM('DATOS'!L206&amp;""))&gt;0,TRIM('DATOS'!L206&amp;"")&lt;&gt;"Pendiente",TRIM('DATOS'!L206&amp;"")&lt;&gt;"Por confirmar",TRIM('DATOS'!L206&amp;"")&lt;&gt;"No consta",TRIM('DATOS'!L206&amp;"")&lt;&gt;"Desconocido",TRIM('DATOS'!L206&amp;"")&lt;&gt;"Sin confirmar",TRIM('DATOS'!L206&amp;"")&lt;&gt;"Por decidir",TRIM('DATOS'!L206&amp;"")&lt;&gt;"Por comprobar")),0,1),0))))),2)</f>
      </c>
      <c r="R206" s="29">
        <f>IFERROR(IF(N206=0,"",IF(OR(NOT(AND(LEN(TRIM('DATOS'!D206&amp;""))&gt;0,TRIM('DATOS'!D206&amp;"")&lt;&gt;"Pendiente",TRIM('DATOS'!D206&amp;"")&lt;&gt;"Por confirmar",TRIM('DATOS'!D206&amp;"")&lt;&gt;"No consta",TRIM('DATOS'!D206&amp;"")&lt;&gt;"Desconocido",TRIM('DATOS'!D206&amp;"")&lt;&gt;"Sin confirmar",TRIM('DATOS'!D206&amp;"")&lt;&gt;"Por decidir",TRIM('DATOS'!D206&amp;"")&lt;&gt;"Por comprobar")),NOT(AND(LEN(TRIM('DATOS'!E206&amp;""))&gt;0,TRIM('DATOS'!E206&amp;"")&lt;&gt;"Pendiente",TRIM('DATOS'!E206&amp;"")&lt;&gt;"Por confirmar",TRIM('DATOS'!E206&amp;"")&lt;&gt;"No consta",TRIM('DATOS'!E206&amp;"")&lt;&gt;"Desconocido",TRIM('DATOS'!E206&amp;"")&lt;&gt;"Sin confirmar",TRIM('DATOS'!E206&amp;"")&lt;&gt;"Por decidir",TRIM('DATOS'!E206&amp;"")&lt;&gt;"Por comprobar"))),2,IF('DATOS'!M206="No",2,IF('DATOS'!M206="Sí",0,IF(OR('DATOS'!D206&lt;&gt;'DATOS'!E206,LEN('DATOS'!E206)&gt;300,RIGHT(TRIM('DATOS'!E206),3)="...",RIGHT(TRIM('DATOS'!E206),1)="…"),1,0))))),2)</f>
      </c>
      <c r="S206" s="29">
        <f>IFERROR(IF(N206=0,"",IF('REFERENCIAS'!$Q$8&lt;&gt;1,2,IF(NOT(Y206=1),1,IF(OR(ABS('DATOS'!G206-ROUND('DATOS'!G206,'REFERENCIAS'!$E$8))&gt;0.00000001,ABS('DATOS'!H206-ROUND('DATOS'!H206,'REFERENCIAS'!$H$8))&gt;0.00000001,ABS('DATOS'!J206-ROUND('DATOS'!J206,'REFERENCIAS'!$K$8))&gt;0.00000001,IF(ISNUMBER('DATOS'!I206),ABS('DATOS'!I206-ROUND('DATOS'!I206,'REFERENCIAS'!$H$8))&gt;0.00000001,FALSE)),1,0)))),2)</f>
      </c>
      <c r="T206" s="29">
        <f>IFERROR(IF(N206=0,"",IF(NOT(AND(LEN(TRIM('DATOS'!F206&amp;""))&gt;0,TRIM('DATOS'!F206&amp;"")&lt;&gt;"Pendiente",TRIM('DATOS'!F206&amp;"")&lt;&gt;"Por confirmar",TRIM('DATOS'!F206&amp;"")&lt;&gt;"No consta",TRIM('DATOS'!F206&amp;"")&lt;&gt;"Desconocido",TRIM('DATOS'!F206&amp;"")&lt;&gt;"Sin confirmar",TRIM('DATOS'!F206&amp;"")&lt;&gt;"Por decidir",TRIM('DATOS'!F206&amp;"")&lt;&gt;"Por comprobar")),2,IF(COUNTIFS('REFERENCIAS'!$T$15:$T$34,"ID:"&amp;SUBSTITUTE(SUBSTITUTE(SUBSTITUTE(SUBSTITUTE(UPPER(TRIM('DATOS'!F206&amp;"")),"!","!E"),"*","!A"),"?","!B"),"~","!C"),'REFERENCIAS'!$H$15:$H$34,"&lt;&gt;")&gt;0,0,1))),2)</f>
      </c>
      <c r="U206" s="29" t="str">
        <f>'DATOS'!R206</f>
        <v>ID:</v>
      </c>
      <c r="V206" s="29" t="str">
        <f>'DATOS'!S206</f>
        <v>ID:</v>
      </c>
      <c r="W206" s="29" t="n">
        <f>IF(N206=0,0,COUNTIFS('REFERENCIAS'!$R$15:$R$64,U206))</f>
        <v>0</v>
      </c>
      <c r="X206" s="29" t="n">
        <f>IF(N206=0,0,COUNTIFS('DATOS'!$R$10:$R$509,U206,'DATOS'!$S$10:$S$509,V206))</f>
        <v>0</v>
      </c>
      <c r="Y206" s="29" t="n">
        <f>IF(AND(ISNUMBER('DATOS'!G206),ISNUMBER('DATOS'!H206),ISNUMBER('DATOS'!J206)),1,0)</f>
        <v>0</v>
      </c>
    </row>
    <row r="207" ht="64" customHeight="1">
      <c r="B207" s="26">
        <f>IF(N207=1,198,"")</f>
      </c>
      <c r="C207" s="26">
        <f>IF(AND(N207=1,LEN(TRIM('DATOS'!B207&amp;""))&gt;0),'DATOS'!B207,"")</f>
      </c>
      <c r="D207" s="26">
        <f>IF(AND(N207=1,LEN(TRIM('DATOS'!C207&amp;""))&gt;0),'DATOS'!C207,"")</f>
      </c>
      <c r="E207" s="26">
        <f>IF(NOT(ISNUMBER(P207)),"",IF(P207=2,"ROJO",IF(P207=1,"ÁMBAR","VERDE")))</f>
      </c>
      <c r="F207" s="26">
        <f>IF(NOT(ISNUMBER(Q207)),"",IF(Q207=2,"ROJO",IF(Q207=1,"ÁMBAR","VERDE")))</f>
      </c>
      <c r="G207" s="26">
        <f>IF(NOT(ISNUMBER(R207)),"",IF(R207=2,"ROJO",IF(R207=1,"ÁMBAR","VERDE")))</f>
      </c>
      <c r="H207" s="26">
        <f>IF(NOT(ISNUMBER(S207)),"",IF(S207=2,"ROJO",IF(S207=1,"ÁMBAR","VERDE")))</f>
      </c>
      <c r="I207" s="26">
        <f>IF(NOT(ISNUMBER(T207)),"",IF(T207=2,"ROJO",IF(T207=1,"ÁMBAR","VERDE")))</f>
      </c>
      <c r="J207" s="26">
        <f>IF(NOT(ISNUMBER(O207)),"",IF(O207=2,"ROJO",IF(O207=1,"ÁMBAR","VERDE")))</f>
      </c>
      <c r="K207" s="26">
        <f>IFERROR(IF(AND(N207=1,LEN(TRIM('DATOS'!N207&amp;""))&gt;0),'DATOS'!N207,""),"Hay una entrada con error. Corregimos el dato antes de cerrar la comprobación.")</f>
      </c>
      <c r="L207" s="26">
        <f>IFERROR(IF(N207=0,"",IF(O207&gt;0,"Completamos datos, claves o motivo. ","")&amp;IF(P207&gt;0,"Cotejamos precios e importe. ","")&amp;IF(Q207&gt;0,"Aclaramos el cero. ","")&amp;IF(R207&gt;0,"Comprobamos el texto. ","")&amp;IF(S207&gt;0,"Revisamos decimales visibles. ","")&amp;IF(T207&gt;0,"Confirmamos la unidad.","")),"Hay una entrada con error. Corregimos el dato antes de cerrar la comprobación.")</f>
      </c>
      <c r="N207" s="29" t="n">
        <f>IF(COUNTA('DATOS'!B207:O207)&gt;0,1,0)</f>
        <v>0</v>
      </c>
      <c r="O207" s="29">
        <f>IFERROR(IF(N207=0,"",IF(OR(NOT(AND(LEN(TRIM('DATOS'!B207&amp;""))&gt;0,TRIM('DATOS'!B207&amp;"")&lt;&gt;"Pendiente",TRIM('DATOS'!B207&amp;"")&lt;&gt;"Por confirmar",TRIM('DATOS'!B207&amp;"")&lt;&gt;"No consta",TRIM('DATOS'!B207&amp;"")&lt;&gt;"Desconocido",TRIM('DATOS'!B207&amp;"")&lt;&gt;"Sin confirmar",TRIM('DATOS'!B207&amp;"")&lt;&gt;"Por decidir",TRIM('DATOS'!B207&amp;"")&lt;&gt;"Por comprobar")),NOT(AND(LEN(TRIM('DATOS'!C207&amp;""))&gt;0,TRIM('DATOS'!C207&amp;"")&lt;&gt;"Pendiente",TRIM('DATOS'!C207&amp;"")&lt;&gt;"Por confirmar",TRIM('DATOS'!C207&amp;"")&lt;&gt;"No consta",TRIM('DATOS'!C207&amp;"")&lt;&gt;"Desconocido",TRIM('DATOS'!C207&amp;"")&lt;&gt;"Sin confirmar",TRIM('DATOS'!C207&amp;"")&lt;&gt;"Por decidir",TRIM('DATOS'!C207&amp;"")&lt;&gt;"Por comprobar")),NOT(AND(LEN(TRIM('DATOS'!D207&amp;""))&gt;0,TRIM('DATOS'!D207&amp;"")&lt;&gt;"Pendiente",TRIM('DATOS'!D207&amp;"")&lt;&gt;"Por confirmar",TRIM('DATOS'!D207&amp;"")&lt;&gt;"No consta",TRIM('DATOS'!D207&amp;"")&lt;&gt;"Desconocido",TRIM('DATOS'!D207&amp;"")&lt;&gt;"Sin confirmar",TRIM('DATOS'!D207&amp;"")&lt;&gt;"Por decidir",TRIM('DATOS'!D207&amp;"")&lt;&gt;"Por comprobar")),NOT(AND(LEN(TRIM('DATOS'!E207&amp;""))&gt;0,TRIM('DATOS'!E207&amp;"")&lt;&gt;"Pendiente",TRIM('DATOS'!E207&amp;"")&lt;&gt;"Por confirmar",TRIM('DATOS'!E207&amp;"")&lt;&gt;"No consta",TRIM('DATOS'!E207&amp;"")&lt;&gt;"Desconocido",TRIM('DATOS'!E207&amp;"")&lt;&gt;"Sin confirmar",TRIM('DATOS'!E207&amp;"")&lt;&gt;"Por decidir",TRIM('DATOS'!E207&amp;"")&lt;&gt;"Por comprobar")),NOT(AND(LEN(TRIM('DATOS'!F207&amp;""))&gt;0,TRIM('DATOS'!F207&amp;"")&lt;&gt;"Pendiente",TRIM('DATOS'!F207&amp;"")&lt;&gt;"Por confirmar",TRIM('DATOS'!F207&amp;"")&lt;&gt;"No consta",TRIM('DATOS'!F207&amp;"")&lt;&gt;"Desconocido",TRIM('DATOS'!F207&amp;"")&lt;&gt;"Sin confirmar",TRIM('DATOS'!F207&amp;"")&lt;&gt;"Por decidir",TRIM('DATOS'!F207&amp;"")&lt;&gt;"Por comprobar")),NOT(AND(LEN(TRIM('DATOS'!N207&amp;""))&gt;0,TRIM('DATOS'!N207&amp;"")&lt;&gt;"Pendiente",TRIM('DATOS'!N207&amp;"")&lt;&gt;"Por confirmar",TRIM('DATOS'!N207&amp;"")&lt;&gt;"No consta",TRIM('DATOS'!N207&amp;"")&lt;&gt;"Desconocido",TRIM('DATOS'!N207&amp;"")&lt;&gt;"Sin confirmar",TRIM('DATOS'!N207&amp;"")&lt;&gt;"Por decidir",TRIM('DATOS'!N207&amp;"")&lt;&gt;"Por comprobar")),NOT(Y207=1),W207&lt;&gt;1,X207&gt;1,NOT(OR(LEN(TRIM('DATOS'!K207&amp;""))=0,'DATOS'!K207="Sin valorar",'DATOS'!K207="Sin coste documentado",'DATOS'!K207="Incluido en otra partida",'DATOS'!K207="Por confirmar")),NOT(OR(LEN(TRIM('DATOS'!M207&amp;""))=0,'DATOS'!M207="Sí",'DATOS'!M207="No",'DATOS'!M207="Por confirmar")),NOT(OR(LEN(TRIM('DATOS'!O207&amp;""))=0,'DATOS'!O207="Comparamos",'DATOS'!O207="No existe",'DATOS'!O207="Por confirmar"))),2,IF(AND(OR('DATOS'!G207&lt;0,'DATOS'!H207&lt;0,'DATOS'!J207&lt;0),NOT(AND(LEN(TRIM('DATOS'!L207&amp;""))&gt;0,TRIM('DATOS'!L207&amp;"")&lt;&gt;"Pendiente",TRIM('DATOS'!L207&amp;"")&lt;&gt;"Por confirmar",TRIM('DATOS'!L207&amp;"")&lt;&gt;"No consta",TRIM('DATOS'!L207&amp;"")&lt;&gt;"Desconocido",TRIM('DATOS'!L207&amp;"")&lt;&gt;"Sin confirmar",TRIM('DATOS'!L207&amp;"")&lt;&gt;"Por decidir",TRIM('DATOS'!L207&amp;"")&lt;&gt;"Por comprobar"))),1,0))),2)</f>
      </c>
      <c r="P207" s="29">
        <f>IFERROR(IF(N207=0,"",IF(NOT(Y207=1),1,IF('REFERENCIAS'!$Q$8&lt;&gt;1,2,IF(ABS('DATOS'!J207-ROUND('DATOS'!G207*'DATOS'!H207,'REFERENCIAS'!$K$8))&gt;0.00000001,2,IF('DATOS'!O207="No existe",IF(LEN(TRIM('DATOS'!I207&amp;""))=0,0,2),IF('DATOS'!O207="Comparamos",IF(LEN(TRIM('DATOS'!I207&amp;""))=0,1,IF(ISNUMBER('DATOS'!I207),IF(ABS('DATOS'!H207-'DATOS'!I207)&gt;0.00000001,2,0),2)),1)))))),2)</f>
      </c>
      <c r="Q207" s="29">
        <f>IFERROR(IF(N207=0,"",IF(NOT(Y207=1),1,IF('DATOS'!K207="Sin valorar",2,IF('DATOS'!G207=0,1,IF(OR('DATOS'!H207=0,'DATOS'!J207=0),IF(AND(OR('DATOS'!K207="Sin coste documentado",'DATOS'!K207="Incluido en otra partida"),AND(LEN(TRIM('DATOS'!L207&amp;""))&gt;0,TRIM('DATOS'!L207&amp;"")&lt;&gt;"Pendiente",TRIM('DATOS'!L207&amp;"")&lt;&gt;"Por confirmar",TRIM('DATOS'!L207&amp;"")&lt;&gt;"No consta",TRIM('DATOS'!L207&amp;"")&lt;&gt;"Desconocido",TRIM('DATOS'!L207&amp;"")&lt;&gt;"Sin confirmar",TRIM('DATOS'!L207&amp;"")&lt;&gt;"Por decidir",TRIM('DATOS'!L207&amp;"")&lt;&gt;"Por comprobar")),0,1),0))))),2)</f>
      </c>
      <c r="R207" s="29">
        <f>IFERROR(IF(N207=0,"",IF(OR(NOT(AND(LEN(TRIM('DATOS'!D207&amp;""))&gt;0,TRIM('DATOS'!D207&amp;"")&lt;&gt;"Pendiente",TRIM('DATOS'!D207&amp;"")&lt;&gt;"Por confirmar",TRIM('DATOS'!D207&amp;"")&lt;&gt;"No consta",TRIM('DATOS'!D207&amp;"")&lt;&gt;"Desconocido",TRIM('DATOS'!D207&amp;"")&lt;&gt;"Sin confirmar",TRIM('DATOS'!D207&amp;"")&lt;&gt;"Por decidir",TRIM('DATOS'!D207&amp;"")&lt;&gt;"Por comprobar")),NOT(AND(LEN(TRIM('DATOS'!E207&amp;""))&gt;0,TRIM('DATOS'!E207&amp;"")&lt;&gt;"Pendiente",TRIM('DATOS'!E207&amp;"")&lt;&gt;"Por confirmar",TRIM('DATOS'!E207&amp;"")&lt;&gt;"No consta",TRIM('DATOS'!E207&amp;"")&lt;&gt;"Desconocido",TRIM('DATOS'!E207&amp;"")&lt;&gt;"Sin confirmar",TRIM('DATOS'!E207&amp;"")&lt;&gt;"Por decidir",TRIM('DATOS'!E207&amp;"")&lt;&gt;"Por comprobar"))),2,IF('DATOS'!M207="No",2,IF('DATOS'!M207="Sí",0,IF(OR('DATOS'!D207&lt;&gt;'DATOS'!E207,LEN('DATOS'!E207)&gt;300,RIGHT(TRIM('DATOS'!E207),3)="...",RIGHT(TRIM('DATOS'!E207),1)="…"),1,0))))),2)</f>
      </c>
      <c r="S207" s="29">
        <f>IFERROR(IF(N207=0,"",IF('REFERENCIAS'!$Q$8&lt;&gt;1,2,IF(NOT(Y207=1),1,IF(OR(ABS('DATOS'!G207-ROUND('DATOS'!G207,'REFERENCIAS'!$E$8))&gt;0.00000001,ABS('DATOS'!H207-ROUND('DATOS'!H207,'REFERENCIAS'!$H$8))&gt;0.00000001,ABS('DATOS'!J207-ROUND('DATOS'!J207,'REFERENCIAS'!$K$8))&gt;0.00000001,IF(ISNUMBER('DATOS'!I207),ABS('DATOS'!I207-ROUND('DATOS'!I207,'REFERENCIAS'!$H$8))&gt;0.00000001,FALSE)),1,0)))),2)</f>
      </c>
      <c r="T207" s="29">
        <f>IFERROR(IF(N207=0,"",IF(NOT(AND(LEN(TRIM('DATOS'!F207&amp;""))&gt;0,TRIM('DATOS'!F207&amp;"")&lt;&gt;"Pendiente",TRIM('DATOS'!F207&amp;"")&lt;&gt;"Por confirmar",TRIM('DATOS'!F207&amp;"")&lt;&gt;"No consta",TRIM('DATOS'!F207&amp;"")&lt;&gt;"Desconocido",TRIM('DATOS'!F207&amp;"")&lt;&gt;"Sin confirmar",TRIM('DATOS'!F207&amp;"")&lt;&gt;"Por decidir",TRIM('DATOS'!F207&amp;"")&lt;&gt;"Por comprobar")),2,IF(COUNTIFS('REFERENCIAS'!$T$15:$T$34,"ID:"&amp;SUBSTITUTE(SUBSTITUTE(SUBSTITUTE(SUBSTITUTE(UPPER(TRIM('DATOS'!F207&amp;"")),"!","!E"),"*","!A"),"?","!B"),"~","!C"),'REFERENCIAS'!$H$15:$H$34,"&lt;&gt;")&gt;0,0,1))),2)</f>
      </c>
      <c r="U207" s="29" t="str">
        <f>'DATOS'!R207</f>
        <v>ID:</v>
      </c>
      <c r="V207" s="29" t="str">
        <f>'DATOS'!S207</f>
        <v>ID:</v>
      </c>
      <c r="W207" s="29" t="n">
        <f>IF(N207=0,0,COUNTIFS('REFERENCIAS'!$R$15:$R$64,U207))</f>
        <v>0</v>
      </c>
      <c r="X207" s="29" t="n">
        <f>IF(N207=0,0,COUNTIFS('DATOS'!$R$10:$R$509,U207,'DATOS'!$S$10:$S$509,V207))</f>
        <v>0</v>
      </c>
      <c r="Y207" s="29" t="n">
        <f>IF(AND(ISNUMBER('DATOS'!G207),ISNUMBER('DATOS'!H207),ISNUMBER('DATOS'!J207)),1,0)</f>
        <v>0</v>
      </c>
    </row>
    <row r="208" ht="64" customHeight="1">
      <c r="B208" s="26">
        <f>IF(N208=1,199,"")</f>
      </c>
      <c r="C208" s="26">
        <f>IF(AND(N208=1,LEN(TRIM('DATOS'!B208&amp;""))&gt;0),'DATOS'!B208,"")</f>
      </c>
      <c r="D208" s="26">
        <f>IF(AND(N208=1,LEN(TRIM('DATOS'!C208&amp;""))&gt;0),'DATOS'!C208,"")</f>
      </c>
      <c r="E208" s="26">
        <f>IF(NOT(ISNUMBER(P208)),"",IF(P208=2,"ROJO",IF(P208=1,"ÁMBAR","VERDE")))</f>
      </c>
      <c r="F208" s="26">
        <f>IF(NOT(ISNUMBER(Q208)),"",IF(Q208=2,"ROJO",IF(Q208=1,"ÁMBAR","VERDE")))</f>
      </c>
      <c r="G208" s="26">
        <f>IF(NOT(ISNUMBER(R208)),"",IF(R208=2,"ROJO",IF(R208=1,"ÁMBAR","VERDE")))</f>
      </c>
      <c r="H208" s="26">
        <f>IF(NOT(ISNUMBER(S208)),"",IF(S208=2,"ROJO",IF(S208=1,"ÁMBAR","VERDE")))</f>
      </c>
      <c r="I208" s="26">
        <f>IF(NOT(ISNUMBER(T208)),"",IF(T208=2,"ROJO",IF(T208=1,"ÁMBAR","VERDE")))</f>
      </c>
      <c r="J208" s="26">
        <f>IF(NOT(ISNUMBER(O208)),"",IF(O208=2,"ROJO",IF(O208=1,"ÁMBAR","VERDE")))</f>
      </c>
      <c r="K208" s="26">
        <f>IFERROR(IF(AND(N208=1,LEN(TRIM('DATOS'!N208&amp;""))&gt;0),'DATOS'!N208,""),"Hay una entrada con error. Corregimos el dato antes de cerrar la comprobación.")</f>
      </c>
      <c r="L208" s="26">
        <f>IFERROR(IF(N208=0,"",IF(O208&gt;0,"Completamos datos, claves o motivo. ","")&amp;IF(P208&gt;0,"Cotejamos precios e importe. ","")&amp;IF(Q208&gt;0,"Aclaramos el cero. ","")&amp;IF(R208&gt;0,"Comprobamos el texto. ","")&amp;IF(S208&gt;0,"Revisamos decimales visibles. ","")&amp;IF(T208&gt;0,"Confirmamos la unidad.","")),"Hay una entrada con error. Corregimos el dato antes de cerrar la comprobación.")</f>
      </c>
      <c r="N208" s="29" t="n">
        <f>IF(COUNTA('DATOS'!B208:O208)&gt;0,1,0)</f>
        <v>0</v>
      </c>
      <c r="O208" s="29">
        <f>IFERROR(IF(N208=0,"",IF(OR(NOT(AND(LEN(TRIM('DATOS'!B208&amp;""))&gt;0,TRIM('DATOS'!B208&amp;"")&lt;&gt;"Pendiente",TRIM('DATOS'!B208&amp;"")&lt;&gt;"Por confirmar",TRIM('DATOS'!B208&amp;"")&lt;&gt;"No consta",TRIM('DATOS'!B208&amp;"")&lt;&gt;"Desconocido",TRIM('DATOS'!B208&amp;"")&lt;&gt;"Sin confirmar",TRIM('DATOS'!B208&amp;"")&lt;&gt;"Por decidir",TRIM('DATOS'!B208&amp;"")&lt;&gt;"Por comprobar")),NOT(AND(LEN(TRIM('DATOS'!C208&amp;""))&gt;0,TRIM('DATOS'!C208&amp;"")&lt;&gt;"Pendiente",TRIM('DATOS'!C208&amp;"")&lt;&gt;"Por confirmar",TRIM('DATOS'!C208&amp;"")&lt;&gt;"No consta",TRIM('DATOS'!C208&amp;"")&lt;&gt;"Desconocido",TRIM('DATOS'!C208&amp;"")&lt;&gt;"Sin confirmar",TRIM('DATOS'!C208&amp;"")&lt;&gt;"Por decidir",TRIM('DATOS'!C208&amp;"")&lt;&gt;"Por comprobar")),NOT(AND(LEN(TRIM('DATOS'!D208&amp;""))&gt;0,TRIM('DATOS'!D208&amp;"")&lt;&gt;"Pendiente",TRIM('DATOS'!D208&amp;"")&lt;&gt;"Por confirmar",TRIM('DATOS'!D208&amp;"")&lt;&gt;"No consta",TRIM('DATOS'!D208&amp;"")&lt;&gt;"Desconocido",TRIM('DATOS'!D208&amp;"")&lt;&gt;"Sin confirmar",TRIM('DATOS'!D208&amp;"")&lt;&gt;"Por decidir",TRIM('DATOS'!D208&amp;"")&lt;&gt;"Por comprobar")),NOT(AND(LEN(TRIM('DATOS'!E208&amp;""))&gt;0,TRIM('DATOS'!E208&amp;"")&lt;&gt;"Pendiente",TRIM('DATOS'!E208&amp;"")&lt;&gt;"Por confirmar",TRIM('DATOS'!E208&amp;"")&lt;&gt;"No consta",TRIM('DATOS'!E208&amp;"")&lt;&gt;"Desconocido",TRIM('DATOS'!E208&amp;"")&lt;&gt;"Sin confirmar",TRIM('DATOS'!E208&amp;"")&lt;&gt;"Por decidir",TRIM('DATOS'!E208&amp;"")&lt;&gt;"Por comprobar")),NOT(AND(LEN(TRIM('DATOS'!F208&amp;""))&gt;0,TRIM('DATOS'!F208&amp;"")&lt;&gt;"Pendiente",TRIM('DATOS'!F208&amp;"")&lt;&gt;"Por confirmar",TRIM('DATOS'!F208&amp;"")&lt;&gt;"No consta",TRIM('DATOS'!F208&amp;"")&lt;&gt;"Desconocido",TRIM('DATOS'!F208&amp;"")&lt;&gt;"Sin confirmar",TRIM('DATOS'!F208&amp;"")&lt;&gt;"Por decidir",TRIM('DATOS'!F208&amp;"")&lt;&gt;"Por comprobar")),NOT(AND(LEN(TRIM('DATOS'!N208&amp;""))&gt;0,TRIM('DATOS'!N208&amp;"")&lt;&gt;"Pendiente",TRIM('DATOS'!N208&amp;"")&lt;&gt;"Por confirmar",TRIM('DATOS'!N208&amp;"")&lt;&gt;"No consta",TRIM('DATOS'!N208&amp;"")&lt;&gt;"Desconocido",TRIM('DATOS'!N208&amp;"")&lt;&gt;"Sin confirmar",TRIM('DATOS'!N208&amp;"")&lt;&gt;"Por decidir",TRIM('DATOS'!N208&amp;"")&lt;&gt;"Por comprobar")),NOT(Y208=1),W208&lt;&gt;1,X208&gt;1,NOT(OR(LEN(TRIM('DATOS'!K208&amp;""))=0,'DATOS'!K208="Sin valorar",'DATOS'!K208="Sin coste documentado",'DATOS'!K208="Incluido en otra partida",'DATOS'!K208="Por confirmar")),NOT(OR(LEN(TRIM('DATOS'!M208&amp;""))=0,'DATOS'!M208="Sí",'DATOS'!M208="No",'DATOS'!M208="Por confirmar")),NOT(OR(LEN(TRIM('DATOS'!O208&amp;""))=0,'DATOS'!O208="Comparamos",'DATOS'!O208="No existe",'DATOS'!O208="Por confirmar"))),2,IF(AND(OR('DATOS'!G208&lt;0,'DATOS'!H208&lt;0,'DATOS'!J208&lt;0),NOT(AND(LEN(TRIM('DATOS'!L208&amp;""))&gt;0,TRIM('DATOS'!L208&amp;"")&lt;&gt;"Pendiente",TRIM('DATOS'!L208&amp;"")&lt;&gt;"Por confirmar",TRIM('DATOS'!L208&amp;"")&lt;&gt;"No consta",TRIM('DATOS'!L208&amp;"")&lt;&gt;"Desconocido",TRIM('DATOS'!L208&amp;"")&lt;&gt;"Sin confirmar",TRIM('DATOS'!L208&amp;"")&lt;&gt;"Por decidir",TRIM('DATOS'!L208&amp;"")&lt;&gt;"Por comprobar"))),1,0))),2)</f>
      </c>
      <c r="P208" s="29">
        <f>IFERROR(IF(N208=0,"",IF(NOT(Y208=1),1,IF('REFERENCIAS'!$Q$8&lt;&gt;1,2,IF(ABS('DATOS'!J208-ROUND('DATOS'!G208*'DATOS'!H208,'REFERENCIAS'!$K$8))&gt;0.00000001,2,IF('DATOS'!O208="No existe",IF(LEN(TRIM('DATOS'!I208&amp;""))=0,0,2),IF('DATOS'!O208="Comparamos",IF(LEN(TRIM('DATOS'!I208&amp;""))=0,1,IF(ISNUMBER('DATOS'!I208),IF(ABS('DATOS'!H208-'DATOS'!I208)&gt;0.00000001,2,0),2)),1)))))),2)</f>
      </c>
      <c r="Q208" s="29">
        <f>IFERROR(IF(N208=0,"",IF(NOT(Y208=1),1,IF('DATOS'!K208="Sin valorar",2,IF('DATOS'!G208=0,1,IF(OR('DATOS'!H208=0,'DATOS'!J208=0),IF(AND(OR('DATOS'!K208="Sin coste documentado",'DATOS'!K208="Incluido en otra partida"),AND(LEN(TRIM('DATOS'!L208&amp;""))&gt;0,TRIM('DATOS'!L208&amp;"")&lt;&gt;"Pendiente",TRIM('DATOS'!L208&amp;"")&lt;&gt;"Por confirmar",TRIM('DATOS'!L208&amp;"")&lt;&gt;"No consta",TRIM('DATOS'!L208&amp;"")&lt;&gt;"Desconocido",TRIM('DATOS'!L208&amp;"")&lt;&gt;"Sin confirmar",TRIM('DATOS'!L208&amp;"")&lt;&gt;"Por decidir",TRIM('DATOS'!L208&amp;"")&lt;&gt;"Por comprobar")),0,1),0))))),2)</f>
      </c>
      <c r="R208" s="29">
        <f>IFERROR(IF(N208=0,"",IF(OR(NOT(AND(LEN(TRIM('DATOS'!D208&amp;""))&gt;0,TRIM('DATOS'!D208&amp;"")&lt;&gt;"Pendiente",TRIM('DATOS'!D208&amp;"")&lt;&gt;"Por confirmar",TRIM('DATOS'!D208&amp;"")&lt;&gt;"No consta",TRIM('DATOS'!D208&amp;"")&lt;&gt;"Desconocido",TRIM('DATOS'!D208&amp;"")&lt;&gt;"Sin confirmar",TRIM('DATOS'!D208&amp;"")&lt;&gt;"Por decidir",TRIM('DATOS'!D208&amp;"")&lt;&gt;"Por comprobar")),NOT(AND(LEN(TRIM('DATOS'!E208&amp;""))&gt;0,TRIM('DATOS'!E208&amp;"")&lt;&gt;"Pendiente",TRIM('DATOS'!E208&amp;"")&lt;&gt;"Por confirmar",TRIM('DATOS'!E208&amp;"")&lt;&gt;"No consta",TRIM('DATOS'!E208&amp;"")&lt;&gt;"Desconocido",TRIM('DATOS'!E208&amp;"")&lt;&gt;"Sin confirmar",TRIM('DATOS'!E208&amp;"")&lt;&gt;"Por decidir",TRIM('DATOS'!E208&amp;"")&lt;&gt;"Por comprobar"))),2,IF('DATOS'!M208="No",2,IF('DATOS'!M208="Sí",0,IF(OR('DATOS'!D208&lt;&gt;'DATOS'!E208,LEN('DATOS'!E208)&gt;300,RIGHT(TRIM('DATOS'!E208),3)="...",RIGHT(TRIM('DATOS'!E208),1)="…"),1,0))))),2)</f>
      </c>
      <c r="S208" s="29">
        <f>IFERROR(IF(N208=0,"",IF('REFERENCIAS'!$Q$8&lt;&gt;1,2,IF(NOT(Y208=1),1,IF(OR(ABS('DATOS'!G208-ROUND('DATOS'!G208,'REFERENCIAS'!$E$8))&gt;0.00000001,ABS('DATOS'!H208-ROUND('DATOS'!H208,'REFERENCIAS'!$H$8))&gt;0.00000001,ABS('DATOS'!J208-ROUND('DATOS'!J208,'REFERENCIAS'!$K$8))&gt;0.00000001,IF(ISNUMBER('DATOS'!I208),ABS('DATOS'!I208-ROUND('DATOS'!I208,'REFERENCIAS'!$H$8))&gt;0.00000001,FALSE)),1,0)))),2)</f>
      </c>
      <c r="T208" s="29">
        <f>IFERROR(IF(N208=0,"",IF(NOT(AND(LEN(TRIM('DATOS'!F208&amp;""))&gt;0,TRIM('DATOS'!F208&amp;"")&lt;&gt;"Pendiente",TRIM('DATOS'!F208&amp;"")&lt;&gt;"Por confirmar",TRIM('DATOS'!F208&amp;"")&lt;&gt;"No consta",TRIM('DATOS'!F208&amp;"")&lt;&gt;"Desconocido",TRIM('DATOS'!F208&amp;"")&lt;&gt;"Sin confirmar",TRIM('DATOS'!F208&amp;"")&lt;&gt;"Por decidir",TRIM('DATOS'!F208&amp;"")&lt;&gt;"Por comprobar")),2,IF(COUNTIFS('REFERENCIAS'!$T$15:$T$34,"ID:"&amp;SUBSTITUTE(SUBSTITUTE(SUBSTITUTE(SUBSTITUTE(UPPER(TRIM('DATOS'!F208&amp;"")),"!","!E"),"*","!A"),"?","!B"),"~","!C"),'REFERENCIAS'!$H$15:$H$34,"&lt;&gt;")&gt;0,0,1))),2)</f>
      </c>
      <c r="U208" s="29" t="str">
        <f>'DATOS'!R208</f>
        <v>ID:</v>
      </c>
      <c r="V208" s="29" t="str">
        <f>'DATOS'!S208</f>
        <v>ID:</v>
      </c>
      <c r="W208" s="29" t="n">
        <f>IF(N208=0,0,COUNTIFS('REFERENCIAS'!$R$15:$R$64,U208))</f>
        <v>0</v>
      </c>
      <c r="X208" s="29" t="n">
        <f>IF(N208=0,0,COUNTIFS('DATOS'!$R$10:$R$509,U208,'DATOS'!$S$10:$S$509,V208))</f>
        <v>0</v>
      </c>
      <c r="Y208" s="29" t="n">
        <f>IF(AND(ISNUMBER('DATOS'!G208),ISNUMBER('DATOS'!H208),ISNUMBER('DATOS'!J208)),1,0)</f>
        <v>0</v>
      </c>
    </row>
    <row r="209" ht="64" customHeight="1">
      <c r="B209" s="26">
        <f>IF(N209=1,200,"")</f>
      </c>
      <c r="C209" s="26">
        <f>IF(AND(N209=1,LEN(TRIM('DATOS'!B209&amp;""))&gt;0),'DATOS'!B209,"")</f>
      </c>
      <c r="D209" s="26">
        <f>IF(AND(N209=1,LEN(TRIM('DATOS'!C209&amp;""))&gt;0),'DATOS'!C209,"")</f>
      </c>
      <c r="E209" s="26">
        <f>IF(NOT(ISNUMBER(P209)),"",IF(P209=2,"ROJO",IF(P209=1,"ÁMBAR","VERDE")))</f>
      </c>
      <c r="F209" s="26">
        <f>IF(NOT(ISNUMBER(Q209)),"",IF(Q209=2,"ROJO",IF(Q209=1,"ÁMBAR","VERDE")))</f>
      </c>
      <c r="G209" s="26">
        <f>IF(NOT(ISNUMBER(R209)),"",IF(R209=2,"ROJO",IF(R209=1,"ÁMBAR","VERDE")))</f>
      </c>
      <c r="H209" s="26">
        <f>IF(NOT(ISNUMBER(S209)),"",IF(S209=2,"ROJO",IF(S209=1,"ÁMBAR","VERDE")))</f>
      </c>
      <c r="I209" s="26">
        <f>IF(NOT(ISNUMBER(T209)),"",IF(T209=2,"ROJO",IF(T209=1,"ÁMBAR","VERDE")))</f>
      </c>
      <c r="J209" s="26">
        <f>IF(NOT(ISNUMBER(O209)),"",IF(O209=2,"ROJO",IF(O209=1,"ÁMBAR","VERDE")))</f>
      </c>
      <c r="K209" s="26">
        <f>IFERROR(IF(AND(N209=1,LEN(TRIM('DATOS'!N209&amp;""))&gt;0),'DATOS'!N209,""),"Hay una entrada con error. Corregimos el dato antes de cerrar la comprobación.")</f>
      </c>
      <c r="L209" s="26">
        <f>IFERROR(IF(N209=0,"",IF(O209&gt;0,"Completamos datos, claves o motivo. ","")&amp;IF(P209&gt;0,"Cotejamos precios e importe. ","")&amp;IF(Q209&gt;0,"Aclaramos el cero. ","")&amp;IF(R209&gt;0,"Comprobamos el texto. ","")&amp;IF(S209&gt;0,"Revisamos decimales visibles. ","")&amp;IF(T209&gt;0,"Confirmamos la unidad.","")),"Hay una entrada con error. Corregimos el dato antes de cerrar la comprobación.")</f>
      </c>
      <c r="N209" s="29" t="n">
        <f>IF(COUNTA('DATOS'!B209:O209)&gt;0,1,0)</f>
        <v>0</v>
      </c>
      <c r="O209" s="29">
        <f>IFERROR(IF(N209=0,"",IF(OR(NOT(AND(LEN(TRIM('DATOS'!B209&amp;""))&gt;0,TRIM('DATOS'!B209&amp;"")&lt;&gt;"Pendiente",TRIM('DATOS'!B209&amp;"")&lt;&gt;"Por confirmar",TRIM('DATOS'!B209&amp;"")&lt;&gt;"No consta",TRIM('DATOS'!B209&amp;"")&lt;&gt;"Desconocido",TRIM('DATOS'!B209&amp;"")&lt;&gt;"Sin confirmar",TRIM('DATOS'!B209&amp;"")&lt;&gt;"Por decidir",TRIM('DATOS'!B209&amp;"")&lt;&gt;"Por comprobar")),NOT(AND(LEN(TRIM('DATOS'!C209&amp;""))&gt;0,TRIM('DATOS'!C209&amp;"")&lt;&gt;"Pendiente",TRIM('DATOS'!C209&amp;"")&lt;&gt;"Por confirmar",TRIM('DATOS'!C209&amp;"")&lt;&gt;"No consta",TRIM('DATOS'!C209&amp;"")&lt;&gt;"Desconocido",TRIM('DATOS'!C209&amp;"")&lt;&gt;"Sin confirmar",TRIM('DATOS'!C209&amp;"")&lt;&gt;"Por decidir",TRIM('DATOS'!C209&amp;"")&lt;&gt;"Por comprobar")),NOT(AND(LEN(TRIM('DATOS'!D209&amp;""))&gt;0,TRIM('DATOS'!D209&amp;"")&lt;&gt;"Pendiente",TRIM('DATOS'!D209&amp;"")&lt;&gt;"Por confirmar",TRIM('DATOS'!D209&amp;"")&lt;&gt;"No consta",TRIM('DATOS'!D209&amp;"")&lt;&gt;"Desconocido",TRIM('DATOS'!D209&amp;"")&lt;&gt;"Sin confirmar",TRIM('DATOS'!D209&amp;"")&lt;&gt;"Por decidir",TRIM('DATOS'!D209&amp;"")&lt;&gt;"Por comprobar")),NOT(AND(LEN(TRIM('DATOS'!E209&amp;""))&gt;0,TRIM('DATOS'!E209&amp;"")&lt;&gt;"Pendiente",TRIM('DATOS'!E209&amp;"")&lt;&gt;"Por confirmar",TRIM('DATOS'!E209&amp;"")&lt;&gt;"No consta",TRIM('DATOS'!E209&amp;"")&lt;&gt;"Desconocido",TRIM('DATOS'!E209&amp;"")&lt;&gt;"Sin confirmar",TRIM('DATOS'!E209&amp;"")&lt;&gt;"Por decidir",TRIM('DATOS'!E209&amp;"")&lt;&gt;"Por comprobar")),NOT(AND(LEN(TRIM('DATOS'!F209&amp;""))&gt;0,TRIM('DATOS'!F209&amp;"")&lt;&gt;"Pendiente",TRIM('DATOS'!F209&amp;"")&lt;&gt;"Por confirmar",TRIM('DATOS'!F209&amp;"")&lt;&gt;"No consta",TRIM('DATOS'!F209&amp;"")&lt;&gt;"Desconocido",TRIM('DATOS'!F209&amp;"")&lt;&gt;"Sin confirmar",TRIM('DATOS'!F209&amp;"")&lt;&gt;"Por decidir",TRIM('DATOS'!F209&amp;"")&lt;&gt;"Por comprobar")),NOT(AND(LEN(TRIM('DATOS'!N209&amp;""))&gt;0,TRIM('DATOS'!N209&amp;"")&lt;&gt;"Pendiente",TRIM('DATOS'!N209&amp;"")&lt;&gt;"Por confirmar",TRIM('DATOS'!N209&amp;"")&lt;&gt;"No consta",TRIM('DATOS'!N209&amp;"")&lt;&gt;"Desconocido",TRIM('DATOS'!N209&amp;"")&lt;&gt;"Sin confirmar",TRIM('DATOS'!N209&amp;"")&lt;&gt;"Por decidir",TRIM('DATOS'!N209&amp;"")&lt;&gt;"Por comprobar")),NOT(Y209=1),W209&lt;&gt;1,X209&gt;1,NOT(OR(LEN(TRIM('DATOS'!K209&amp;""))=0,'DATOS'!K209="Sin valorar",'DATOS'!K209="Sin coste documentado",'DATOS'!K209="Incluido en otra partida",'DATOS'!K209="Por confirmar")),NOT(OR(LEN(TRIM('DATOS'!M209&amp;""))=0,'DATOS'!M209="Sí",'DATOS'!M209="No",'DATOS'!M209="Por confirmar")),NOT(OR(LEN(TRIM('DATOS'!O209&amp;""))=0,'DATOS'!O209="Comparamos",'DATOS'!O209="No existe",'DATOS'!O209="Por confirmar"))),2,IF(AND(OR('DATOS'!G209&lt;0,'DATOS'!H209&lt;0,'DATOS'!J209&lt;0),NOT(AND(LEN(TRIM('DATOS'!L209&amp;""))&gt;0,TRIM('DATOS'!L209&amp;"")&lt;&gt;"Pendiente",TRIM('DATOS'!L209&amp;"")&lt;&gt;"Por confirmar",TRIM('DATOS'!L209&amp;"")&lt;&gt;"No consta",TRIM('DATOS'!L209&amp;"")&lt;&gt;"Desconocido",TRIM('DATOS'!L209&amp;"")&lt;&gt;"Sin confirmar",TRIM('DATOS'!L209&amp;"")&lt;&gt;"Por decidir",TRIM('DATOS'!L209&amp;"")&lt;&gt;"Por comprobar"))),1,0))),2)</f>
      </c>
      <c r="P209" s="29">
        <f>IFERROR(IF(N209=0,"",IF(NOT(Y209=1),1,IF('REFERENCIAS'!$Q$8&lt;&gt;1,2,IF(ABS('DATOS'!J209-ROUND('DATOS'!G209*'DATOS'!H209,'REFERENCIAS'!$K$8))&gt;0.00000001,2,IF('DATOS'!O209="No existe",IF(LEN(TRIM('DATOS'!I209&amp;""))=0,0,2),IF('DATOS'!O209="Comparamos",IF(LEN(TRIM('DATOS'!I209&amp;""))=0,1,IF(ISNUMBER('DATOS'!I209),IF(ABS('DATOS'!H209-'DATOS'!I209)&gt;0.00000001,2,0),2)),1)))))),2)</f>
      </c>
      <c r="Q209" s="29">
        <f>IFERROR(IF(N209=0,"",IF(NOT(Y209=1),1,IF('DATOS'!K209="Sin valorar",2,IF('DATOS'!G209=0,1,IF(OR('DATOS'!H209=0,'DATOS'!J209=0),IF(AND(OR('DATOS'!K209="Sin coste documentado",'DATOS'!K209="Incluido en otra partida"),AND(LEN(TRIM('DATOS'!L209&amp;""))&gt;0,TRIM('DATOS'!L209&amp;"")&lt;&gt;"Pendiente",TRIM('DATOS'!L209&amp;"")&lt;&gt;"Por confirmar",TRIM('DATOS'!L209&amp;"")&lt;&gt;"No consta",TRIM('DATOS'!L209&amp;"")&lt;&gt;"Desconocido",TRIM('DATOS'!L209&amp;"")&lt;&gt;"Sin confirmar",TRIM('DATOS'!L209&amp;"")&lt;&gt;"Por decidir",TRIM('DATOS'!L209&amp;"")&lt;&gt;"Por comprobar")),0,1),0))))),2)</f>
      </c>
      <c r="R209" s="29">
        <f>IFERROR(IF(N209=0,"",IF(OR(NOT(AND(LEN(TRIM('DATOS'!D209&amp;""))&gt;0,TRIM('DATOS'!D209&amp;"")&lt;&gt;"Pendiente",TRIM('DATOS'!D209&amp;"")&lt;&gt;"Por confirmar",TRIM('DATOS'!D209&amp;"")&lt;&gt;"No consta",TRIM('DATOS'!D209&amp;"")&lt;&gt;"Desconocido",TRIM('DATOS'!D209&amp;"")&lt;&gt;"Sin confirmar",TRIM('DATOS'!D209&amp;"")&lt;&gt;"Por decidir",TRIM('DATOS'!D209&amp;"")&lt;&gt;"Por comprobar")),NOT(AND(LEN(TRIM('DATOS'!E209&amp;""))&gt;0,TRIM('DATOS'!E209&amp;"")&lt;&gt;"Pendiente",TRIM('DATOS'!E209&amp;"")&lt;&gt;"Por confirmar",TRIM('DATOS'!E209&amp;"")&lt;&gt;"No consta",TRIM('DATOS'!E209&amp;"")&lt;&gt;"Desconocido",TRIM('DATOS'!E209&amp;"")&lt;&gt;"Sin confirmar",TRIM('DATOS'!E209&amp;"")&lt;&gt;"Por decidir",TRIM('DATOS'!E209&amp;"")&lt;&gt;"Por comprobar"))),2,IF('DATOS'!M209="No",2,IF('DATOS'!M209="Sí",0,IF(OR('DATOS'!D209&lt;&gt;'DATOS'!E209,LEN('DATOS'!E209)&gt;300,RIGHT(TRIM('DATOS'!E209),3)="...",RIGHT(TRIM('DATOS'!E209),1)="…"),1,0))))),2)</f>
      </c>
      <c r="S209" s="29">
        <f>IFERROR(IF(N209=0,"",IF('REFERENCIAS'!$Q$8&lt;&gt;1,2,IF(NOT(Y209=1),1,IF(OR(ABS('DATOS'!G209-ROUND('DATOS'!G209,'REFERENCIAS'!$E$8))&gt;0.00000001,ABS('DATOS'!H209-ROUND('DATOS'!H209,'REFERENCIAS'!$H$8))&gt;0.00000001,ABS('DATOS'!J209-ROUND('DATOS'!J209,'REFERENCIAS'!$K$8))&gt;0.00000001,IF(ISNUMBER('DATOS'!I209),ABS('DATOS'!I209-ROUND('DATOS'!I209,'REFERENCIAS'!$H$8))&gt;0.00000001,FALSE)),1,0)))),2)</f>
      </c>
      <c r="T209" s="29">
        <f>IFERROR(IF(N209=0,"",IF(NOT(AND(LEN(TRIM('DATOS'!F209&amp;""))&gt;0,TRIM('DATOS'!F209&amp;"")&lt;&gt;"Pendiente",TRIM('DATOS'!F209&amp;"")&lt;&gt;"Por confirmar",TRIM('DATOS'!F209&amp;"")&lt;&gt;"No consta",TRIM('DATOS'!F209&amp;"")&lt;&gt;"Desconocido",TRIM('DATOS'!F209&amp;"")&lt;&gt;"Sin confirmar",TRIM('DATOS'!F209&amp;"")&lt;&gt;"Por decidir",TRIM('DATOS'!F209&amp;"")&lt;&gt;"Por comprobar")),2,IF(COUNTIFS('REFERENCIAS'!$T$15:$T$34,"ID:"&amp;SUBSTITUTE(SUBSTITUTE(SUBSTITUTE(SUBSTITUTE(UPPER(TRIM('DATOS'!F209&amp;"")),"!","!E"),"*","!A"),"?","!B"),"~","!C"),'REFERENCIAS'!$H$15:$H$34,"&lt;&gt;")&gt;0,0,1))),2)</f>
      </c>
      <c r="U209" s="29" t="str">
        <f>'DATOS'!R209</f>
        <v>ID:</v>
      </c>
      <c r="V209" s="29" t="str">
        <f>'DATOS'!S209</f>
        <v>ID:</v>
      </c>
      <c r="W209" s="29" t="n">
        <f>IF(N209=0,0,COUNTIFS('REFERENCIAS'!$R$15:$R$64,U209))</f>
        <v>0</v>
      </c>
      <c r="X209" s="29" t="n">
        <f>IF(N209=0,0,COUNTIFS('DATOS'!$R$10:$R$509,U209,'DATOS'!$S$10:$S$509,V209))</f>
        <v>0</v>
      </c>
      <c r="Y209" s="29" t="n">
        <f>IF(AND(ISNUMBER('DATOS'!G209),ISNUMBER('DATOS'!H209),ISNUMBER('DATOS'!J209)),1,0)</f>
        <v>0</v>
      </c>
    </row>
    <row r="210" ht="64" customHeight="1">
      <c r="B210" s="26">
        <f>IF(N210=1,201,"")</f>
      </c>
      <c r="C210" s="26">
        <f>IF(AND(N210=1,LEN(TRIM('DATOS'!B210&amp;""))&gt;0),'DATOS'!B210,"")</f>
      </c>
      <c r="D210" s="26">
        <f>IF(AND(N210=1,LEN(TRIM('DATOS'!C210&amp;""))&gt;0),'DATOS'!C210,"")</f>
      </c>
      <c r="E210" s="26">
        <f>IF(NOT(ISNUMBER(P210)),"",IF(P210=2,"ROJO",IF(P210=1,"ÁMBAR","VERDE")))</f>
      </c>
      <c r="F210" s="26">
        <f>IF(NOT(ISNUMBER(Q210)),"",IF(Q210=2,"ROJO",IF(Q210=1,"ÁMBAR","VERDE")))</f>
      </c>
      <c r="G210" s="26">
        <f>IF(NOT(ISNUMBER(R210)),"",IF(R210=2,"ROJO",IF(R210=1,"ÁMBAR","VERDE")))</f>
      </c>
      <c r="H210" s="26">
        <f>IF(NOT(ISNUMBER(S210)),"",IF(S210=2,"ROJO",IF(S210=1,"ÁMBAR","VERDE")))</f>
      </c>
      <c r="I210" s="26">
        <f>IF(NOT(ISNUMBER(T210)),"",IF(T210=2,"ROJO",IF(T210=1,"ÁMBAR","VERDE")))</f>
      </c>
      <c r="J210" s="26">
        <f>IF(NOT(ISNUMBER(O210)),"",IF(O210=2,"ROJO",IF(O210=1,"ÁMBAR","VERDE")))</f>
      </c>
      <c r="K210" s="26">
        <f>IFERROR(IF(AND(N210=1,LEN(TRIM('DATOS'!N210&amp;""))&gt;0),'DATOS'!N210,""),"Hay una entrada con error. Corregimos el dato antes de cerrar la comprobación.")</f>
      </c>
      <c r="L210" s="26">
        <f>IFERROR(IF(N210=0,"",IF(O210&gt;0,"Completamos datos, claves o motivo. ","")&amp;IF(P210&gt;0,"Cotejamos precios e importe. ","")&amp;IF(Q210&gt;0,"Aclaramos el cero. ","")&amp;IF(R210&gt;0,"Comprobamos el texto. ","")&amp;IF(S210&gt;0,"Revisamos decimales visibles. ","")&amp;IF(T210&gt;0,"Confirmamos la unidad.","")),"Hay una entrada con error. Corregimos el dato antes de cerrar la comprobación.")</f>
      </c>
      <c r="N210" s="29" t="n">
        <f>IF(COUNTA('DATOS'!B210:O210)&gt;0,1,0)</f>
        <v>0</v>
      </c>
      <c r="O210" s="29">
        <f>IFERROR(IF(N210=0,"",IF(OR(NOT(AND(LEN(TRIM('DATOS'!B210&amp;""))&gt;0,TRIM('DATOS'!B210&amp;"")&lt;&gt;"Pendiente",TRIM('DATOS'!B210&amp;"")&lt;&gt;"Por confirmar",TRIM('DATOS'!B210&amp;"")&lt;&gt;"No consta",TRIM('DATOS'!B210&amp;"")&lt;&gt;"Desconocido",TRIM('DATOS'!B210&amp;"")&lt;&gt;"Sin confirmar",TRIM('DATOS'!B210&amp;"")&lt;&gt;"Por decidir",TRIM('DATOS'!B210&amp;"")&lt;&gt;"Por comprobar")),NOT(AND(LEN(TRIM('DATOS'!C210&amp;""))&gt;0,TRIM('DATOS'!C210&amp;"")&lt;&gt;"Pendiente",TRIM('DATOS'!C210&amp;"")&lt;&gt;"Por confirmar",TRIM('DATOS'!C210&amp;"")&lt;&gt;"No consta",TRIM('DATOS'!C210&amp;"")&lt;&gt;"Desconocido",TRIM('DATOS'!C210&amp;"")&lt;&gt;"Sin confirmar",TRIM('DATOS'!C210&amp;"")&lt;&gt;"Por decidir",TRIM('DATOS'!C210&amp;"")&lt;&gt;"Por comprobar")),NOT(AND(LEN(TRIM('DATOS'!D210&amp;""))&gt;0,TRIM('DATOS'!D210&amp;"")&lt;&gt;"Pendiente",TRIM('DATOS'!D210&amp;"")&lt;&gt;"Por confirmar",TRIM('DATOS'!D210&amp;"")&lt;&gt;"No consta",TRIM('DATOS'!D210&amp;"")&lt;&gt;"Desconocido",TRIM('DATOS'!D210&amp;"")&lt;&gt;"Sin confirmar",TRIM('DATOS'!D210&amp;"")&lt;&gt;"Por decidir",TRIM('DATOS'!D210&amp;"")&lt;&gt;"Por comprobar")),NOT(AND(LEN(TRIM('DATOS'!E210&amp;""))&gt;0,TRIM('DATOS'!E210&amp;"")&lt;&gt;"Pendiente",TRIM('DATOS'!E210&amp;"")&lt;&gt;"Por confirmar",TRIM('DATOS'!E210&amp;"")&lt;&gt;"No consta",TRIM('DATOS'!E210&amp;"")&lt;&gt;"Desconocido",TRIM('DATOS'!E210&amp;"")&lt;&gt;"Sin confirmar",TRIM('DATOS'!E210&amp;"")&lt;&gt;"Por decidir",TRIM('DATOS'!E210&amp;"")&lt;&gt;"Por comprobar")),NOT(AND(LEN(TRIM('DATOS'!F210&amp;""))&gt;0,TRIM('DATOS'!F210&amp;"")&lt;&gt;"Pendiente",TRIM('DATOS'!F210&amp;"")&lt;&gt;"Por confirmar",TRIM('DATOS'!F210&amp;"")&lt;&gt;"No consta",TRIM('DATOS'!F210&amp;"")&lt;&gt;"Desconocido",TRIM('DATOS'!F210&amp;"")&lt;&gt;"Sin confirmar",TRIM('DATOS'!F210&amp;"")&lt;&gt;"Por decidir",TRIM('DATOS'!F210&amp;"")&lt;&gt;"Por comprobar")),NOT(AND(LEN(TRIM('DATOS'!N210&amp;""))&gt;0,TRIM('DATOS'!N210&amp;"")&lt;&gt;"Pendiente",TRIM('DATOS'!N210&amp;"")&lt;&gt;"Por confirmar",TRIM('DATOS'!N210&amp;"")&lt;&gt;"No consta",TRIM('DATOS'!N210&amp;"")&lt;&gt;"Desconocido",TRIM('DATOS'!N210&amp;"")&lt;&gt;"Sin confirmar",TRIM('DATOS'!N210&amp;"")&lt;&gt;"Por decidir",TRIM('DATOS'!N210&amp;"")&lt;&gt;"Por comprobar")),NOT(Y210=1),W210&lt;&gt;1,X210&gt;1,NOT(OR(LEN(TRIM('DATOS'!K210&amp;""))=0,'DATOS'!K210="Sin valorar",'DATOS'!K210="Sin coste documentado",'DATOS'!K210="Incluido en otra partida",'DATOS'!K210="Por confirmar")),NOT(OR(LEN(TRIM('DATOS'!M210&amp;""))=0,'DATOS'!M210="Sí",'DATOS'!M210="No",'DATOS'!M210="Por confirmar")),NOT(OR(LEN(TRIM('DATOS'!O210&amp;""))=0,'DATOS'!O210="Comparamos",'DATOS'!O210="No existe",'DATOS'!O210="Por confirmar"))),2,IF(AND(OR('DATOS'!G210&lt;0,'DATOS'!H210&lt;0,'DATOS'!J210&lt;0),NOT(AND(LEN(TRIM('DATOS'!L210&amp;""))&gt;0,TRIM('DATOS'!L210&amp;"")&lt;&gt;"Pendiente",TRIM('DATOS'!L210&amp;"")&lt;&gt;"Por confirmar",TRIM('DATOS'!L210&amp;"")&lt;&gt;"No consta",TRIM('DATOS'!L210&amp;"")&lt;&gt;"Desconocido",TRIM('DATOS'!L210&amp;"")&lt;&gt;"Sin confirmar",TRIM('DATOS'!L210&amp;"")&lt;&gt;"Por decidir",TRIM('DATOS'!L210&amp;"")&lt;&gt;"Por comprobar"))),1,0))),2)</f>
      </c>
      <c r="P210" s="29">
        <f>IFERROR(IF(N210=0,"",IF(NOT(Y210=1),1,IF('REFERENCIAS'!$Q$8&lt;&gt;1,2,IF(ABS('DATOS'!J210-ROUND('DATOS'!G210*'DATOS'!H210,'REFERENCIAS'!$K$8))&gt;0.00000001,2,IF('DATOS'!O210="No existe",IF(LEN(TRIM('DATOS'!I210&amp;""))=0,0,2),IF('DATOS'!O210="Comparamos",IF(LEN(TRIM('DATOS'!I210&amp;""))=0,1,IF(ISNUMBER('DATOS'!I210),IF(ABS('DATOS'!H210-'DATOS'!I210)&gt;0.00000001,2,0),2)),1)))))),2)</f>
      </c>
      <c r="Q210" s="29">
        <f>IFERROR(IF(N210=0,"",IF(NOT(Y210=1),1,IF('DATOS'!K210="Sin valorar",2,IF('DATOS'!G210=0,1,IF(OR('DATOS'!H210=0,'DATOS'!J210=0),IF(AND(OR('DATOS'!K210="Sin coste documentado",'DATOS'!K210="Incluido en otra partida"),AND(LEN(TRIM('DATOS'!L210&amp;""))&gt;0,TRIM('DATOS'!L210&amp;"")&lt;&gt;"Pendiente",TRIM('DATOS'!L210&amp;"")&lt;&gt;"Por confirmar",TRIM('DATOS'!L210&amp;"")&lt;&gt;"No consta",TRIM('DATOS'!L210&amp;"")&lt;&gt;"Desconocido",TRIM('DATOS'!L210&amp;"")&lt;&gt;"Sin confirmar",TRIM('DATOS'!L210&amp;"")&lt;&gt;"Por decidir",TRIM('DATOS'!L210&amp;"")&lt;&gt;"Por comprobar")),0,1),0))))),2)</f>
      </c>
      <c r="R210" s="29">
        <f>IFERROR(IF(N210=0,"",IF(OR(NOT(AND(LEN(TRIM('DATOS'!D210&amp;""))&gt;0,TRIM('DATOS'!D210&amp;"")&lt;&gt;"Pendiente",TRIM('DATOS'!D210&amp;"")&lt;&gt;"Por confirmar",TRIM('DATOS'!D210&amp;"")&lt;&gt;"No consta",TRIM('DATOS'!D210&amp;"")&lt;&gt;"Desconocido",TRIM('DATOS'!D210&amp;"")&lt;&gt;"Sin confirmar",TRIM('DATOS'!D210&amp;"")&lt;&gt;"Por decidir",TRIM('DATOS'!D210&amp;"")&lt;&gt;"Por comprobar")),NOT(AND(LEN(TRIM('DATOS'!E210&amp;""))&gt;0,TRIM('DATOS'!E210&amp;"")&lt;&gt;"Pendiente",TRIM('DATOS'!E210&amp;"")&lt;&gt;"Por confirmar",TRIM('DATOS'!E210&amp;"")&lt;&gt;"No consta",TRIM('DATOS'!E210&amp;"")&lt;&gt;"Desconocido",TRIM('DATOS'!E210&amp;"")&lt;&gt;"Sin confirmar",TRIM('DATOS'!E210&amp;"")&lt;&gt;"Por decidir",TRIM('DATOS'!E210&amp;"")&lt;&gt;"Por comprobar"))),2,IF('DATOS'!M210="No",2,IF('DATOS'!M210="Sí",0,IF(OR('DATOS'!D210&lt;&gt;'DATOS'!E210,LEN('DATOS'!E210)&gt;300,RIGHT(TRIM('DATOS'!E210),3)="...",RIGHT(TRIM('DATOS'!E210),1)="…"),1,0))))),2)</f>
      </c>
      <c r="S210" s="29">
        <f>IFERROR(IF(N210=0,"",IF('REFERENCIAS'!$Q$8&lt;&gt;1,2,IF(NOT(Y210=1),1,IF(OR(ABS('DATOS'!G210-ROUND('DATOS'!G210,'REFERENCIAS'!$E$8))&gt;0.00000001,ABS('DATOS'!H210-ROUND('DATOS'!H210,'REFERENCIAS'!$H$8))&gt;0.00000001,ABS('DATOS'!J210-ROUND('DATOS'!J210,'REFERENCIAS'!$K$8))&gt;0.00000001,IF(ISNUMBER('DATOS'!I210),ABS('DATOS'!I210-ROUND('DATOS'!I210,'REFERENCIAS'!$H$8))&gt;0.00000001,FALSE)),1,0)))),2)</f>
      </c>
      <c r="T210" s="29">
        <f>IFERROR(IF(N210=0,"",IF(NOT(AND(LEN(TRIM('DATOS'!F210&amp;""))&gt;0,TRIM('DATOS'!F210&amp;"")&lt;&gt;"Pendiente",TRIM('DATOS'!F210&amp;"")&lt;&gt;"Por confirmar",TRIM('DATOS'!F210&amp;"")&lt;&gt;"No consta",TRIM('DATOS'!F210&amp;"")&lt;&gt;"Desconocido",TRIM('DATOS'!F210&amp;"")&lt;&gt;"Sin confirmar",TRIM('DATOS'!F210&amp;"")&lt;&gt;"Por decidir",TRIM('DATOS'!F210&amp;"")&lt;&gt;"Por comprobar")),2,IF(COUNTIFS('REFERENCIAS'!$T$15:$T$34,"ID:"&amp;SUBSTITUTE(SUBSTITUTE(SUBSTITUTE(SUBSTITUTE(UPPER(TRIM('DATOS'!F210&amp;"")),"!","!E"),"*","!A"),"?","!B"),"~","!C"),'REFERENCIAS'!$H$15:$H$34,"&lt;&gt;")&gt;0,0,1))),2)</f>
      </c>
      <c r="U210" s="29" t="str">
        <f>'DATOS'!R210</f>
        <v>ID:</v>
      </c>
      <c r="V210" s="29" t="str">
        <f>'DATOS'!S210</f>
        <v>ID:</v>
      </c>
      <c r="W210" s="29" t="n">
        <f>IF(N210=0,0,COUNTIFS('REFERENCIAS'!$R$15:$R$64,U210))</f>
        <v>0</v>
      </c>
      <c r="X210" s="29" t="n">
        <f>IF(N210=0,0,COUNTIFS('DATOS'!$R$10:$R$509,U210,'DATOS'!$S$10:$S$509,V210))</f>
        <v>0</v>
      </c>
      <c r="Y210" s="29" t="n">
        <f>IF(AND(ISNUMBER('DATOS'!G210),ISNUMBER('DATOS'!H210),ISNUMBER('DATOS'!J210)),1,0)</f>
        <v>0</v>
      </c>
    </row>
    <row r="211" ht="64" customHeight="1">
      <c r="B211" s="26">
        <f>IF(N211=1,202,"")</f>
      </c>
      <c r="C211" s="26">
        <f>IF(AND(N211=1,LEN(TRIM('DATOS'!B211&amp;""))&gt;0),'DATOS'!B211,"")</f>
      </c>
      <c r="D211" s="26">
        <f>IF(AND(N211=1,LEN(TRIM('DATOS'!C211&amp;""))&gt;0),'DATOS'!C211,"")</f>
      </c>
      <c r="E211" s="26">
        <f>IF(NOT(ISNUMBER(P211)),"",IF(P211=2,"ROJO",IF(P211=1,"ÁMBAR","VERDE")))</f>
      </c>
      <c r="F211" s="26">
        <f>IF(NOT(ISNUMBER(Q211)),"",IF(Q211=2,"ROJO",IF(Q211=1,"ÁMBAR","VERDE")))</f>
      </c>
      <c r="G211" s="26">
        <f>IF(NOT(ISNUMBER(R211)),"",IF(R211=2,"ROJO",IF(R211=1,"ÁMBAR","VERDE")))</f>
      </c>
      <c r="H211" s="26">
        <f>IF(NOT(ISNUMBER(S211)),"",IF(S211=2,"ROJO",IF(S211=1,"ÁMBAR","VERDE")))</f>
      </c>
      <c r="I211" s="26">
        <f>IF(NOT(ISNUMBER(T211)),"",IF(T211=2,"ROJO",IF(T211=1,"ÁMBAR","VERDE")))</f>
      </c>
      <c r="J211" s="26">
        <f>IF(NOT(ISNUMBER(O211)),"",IF(O211=2,"ROJO",IF(O211=1,"ÁMBAR","VERDE")))</f>
      </c>
      <c r="K211" s="26">
        <f>IFERROR(IF(AND(N211=1,LEN(TRIM('DATOS'!N211&amp;""))&gt;0),'DATOS'!N211,""),"Hay una entrada con error. Corregimos el dato antes de cerrar la comprobación.")</f>
      </c>
      <c r="L211" s="26">
        <f>IFERROR(IF(N211=0,"",IF(O211&gt;0,"Completamos datos, claves o motivo. ","")&amp;IF(P211&gt;0,"Cotejamos precios e importe. ","")&amp;IF(Q211&gt;0,"Aclaramos el cero. ","")&amp;IF(R211&gt;0,"Comprobamos el texto. ","")&amp;IF(S211&gt;0,"Revisamos decimales visibles. ","")&amp;IF(T211&gt;0,"Confirmamos la unidad.","")),"Hay una entrada con error. Corregimos el dato antes de cerrar la comprobación.")</f>
      </c>
      <c r="N211" s="29" t="n">
        <f>IF(COUNTA('DATOS'!B211:O211)&gt;0,1,0)</f>
        <v>0</v>
      </c>
      <c r="O211" s="29">
        <f>IFERROR(IF(N211=0,"",IF(OR(NOT(AND(LEN(TRIM('DATOS'!B211&amp;""))&gt;0,TRIM('DATOS'!B211&amp;"")&lt;&gt;"Pendiente",TRIM('DATOS'!B211&amp;"")&lt;&gt;"Por confirmar",TRIM('DATOS'!B211&amp;"")&lt;&gt;"No consta",TRIM('DATOS'!B211&amp;"")&lt;&gt;"Desconocido",TRIM('DATOS'!B211&amp;"")&lt;&gt;"Sin confirmar",TRIM('DATOS'!B211&amp;"")&lt;&gt;"Por decidir",TRIM('DATOS'!B211&amp;"")&lt;&gt;"Por comprobar")),NOT(AND(LEN(TRIM('DATOS'!C211&amp;""))&gt;0,TRIM('DATOS'!C211&amp;"")&lt;&gt;"Pendiente",TRIM('DATOS'!C211&amp;"")&lt;&gt;"Por confirmar",TRIM('DATOS'!C211&amp;"")&lt;&gt;"No consta",TRIM('DATOS'!C211&amp;"")&lt;&gt;"Desconocido",TRIM('DATOS'!C211&amp;"")&lt;&gt;"Sin confirmar",TRIM('DATOS'!C211&amp;"")&lt;&gt;"Por decidir",TRIM('DATOS'!C211&amp;"")&lt;&gt;"Por comprobar")),NOT(AND(LEN(TRIM('DATOS'!D211&amp;""))&gt;0,TRIM('DATOS'!D211&amp;"")&lt;&gt;"Pendiente",TRIM('DATOS'!D211&amp;"")&lt;&gt;"Por confirmar",TRIM('DATOS'!D211&amp;"")&lt;&gt;"No consta",TRIM('DATOS'!D211&amp;"")&lt;&gt;"Desconocido",TRIM('DATOS'!D211&amp;"")&lt;&gt;"Sin confirmar",TRIM('DATOS'!D211&amp;"")&lt;&gt;"Por decidir",TRIM('DATOS'!D211&amp;"")&lt;&gt;"Por comprobar")),NOT(AND(LEN(TRIM('DATOS'!E211&amp;""))&gt;0,TRIM('DATOS'!E211&amp;"")&lt;&gt;"Pendiente",TRIM('DATOS'!E211&amp;"")&lt;&gt;"Por confirmar",TRIM('DATOS'!E211&amp;"")&lt;&gt;"No consta",TRIM('DATOS'!E211&amp;"")&lt;&gt;"Desconocido",TRIM('DATOS'!E211&amp;"")&lt;&gt;"Sin confirmar",TRIM('DATOS'!E211&amp;"")&lt;&gt;"Por decidir",TRIM('DATOS'!E211&amp;"")&lt;&gt;"Por comprobar")),NOT(AND(LEN(TRIM('DATOS'!F211&amp;""))&gt;0,TRIM('DATOS'!F211&amp;"")&lt;&gt;"Pendiente",TRIM('DATOS'!F211&amp;"")&lt;&gt;"Por confirmar",TRIM('DATOS'!F211&amp;"")&lt;&gt;"No consta",TRIM('DATOS'!F211&amp;"")&lt;&gt;"Desconocido",TRIM('DATOS'!F211&amp;"")&lt;&gt;"Sin confirmar",TRIM('DATOS'!F211&amp;"")&lt;&gt;"Por decidir",TRIM('DATOS'!F211&amp;"")&lt;&gt;"Por comprobar")),NOT(AND(LEN(TRIM('DATOS'!N211&amp;""))&gt;0,TRIM('DATOS'!N211&amp;"")&lt;&gt;"Pendiente",TRIM('DATOS'!N211&amp;"")&lt;&gt;"Por confirmar",TRIM('DATOS'!N211&amp;"")&lt;&gt;"No consta",TRIM('DATOS'!N211&amp;"")&lt;&gt;"Desconocido",TRIM('DATOS'!N211&amp;"")&lt;&gt;"Sin confirmar",TRIM('DATOS'!N211&amp;"")&lt;&gt;"Por decidir",TRIM('DATOS'!N211&amp;"")&lt;&gt;"Por comprobar")),NOT(Y211=1),W211&lt;&gt;1,X211&gt;1,NOT(OR(LEN(TRIM('DATOS'!K211&amp;""))=0,'DATOS'!K211="Sin valorar",'DATOS'!K211="Sin coste documentado",'DATOS'!K211="Incluido en otra partida",'DATOS'!K211="Por confirmar")),NOT(OR(LEN(TRIM('DATOS'!M211&amp;""))=0,'DATOS'!M211="Sí",'DATOS'!M211="No",'DATOS'!M211="Por confirmar")),NOT(OR(LEN(TRIM('DATOS'!O211&amp;""))=0,'DATOS'!O211="Comparamos",'DATOS'!O211="No existe",'DATOS'!O211="Por confirmar"))),2,IF(AND(OR('DATOS'!G211&lt;0,'DATOS'!H211&lt;0,'DATOS'!J211&lt;0),NOT(AND(LEN(TRIM('DATOS'!L211&amp;""))&gt;0,TRIM('DATOS'!L211&amp;"")&lt;&gt;"Pendiente",TRIM('DATOS'!L211&amp;"")&lt;&gt;"Por confirmar",TRIM('DATOS'!L211&amp;"")&lt;&gt;"No consta",TRIM('DATOS'!L211&amp;"")&lt;&gt;"Desconocido",TRIM('DATOS'!L211&amp;"")&lt;&gt;"Sin confirmar",TRIM('DATOS'!L211&amp;"")&lt;&gt;"Por decidir",TRIM('DATOS'!L211&amp;"")&lt;&gt;"Por comprobar"))),1,0))),2)</f>
      </c>
      <c r="P211" s="29">
        <f>IFERROR(IF(N211=0,"",IF(NOT(Y211=1),1,IF('REFERENCIAS'!$Q$8&lt;&gt;1,2,IF(ABS('DATOS'!J211-ROUND('DATOS'!G211*'DATOS'!H211,'REFERENCIAS'!$K$8))&gt;0.00000001,2,IF('DATOS'!O211="No existe",IF(LEN(TRIM('DATOS'!I211&amp;""))=0,0,2),IF('DATOS'!O211="Comparamos",IF(LEN(TRIM('DATOS'!I211&amp;""))=0,1,IF(ISNUMBER('DATOS'!I211),IF(ABS('DATOS'!H211-'DATOS'!I211)&gt;0.00000001,2,0),2)),1)))))),2)</f>
      </c>
      <c r="Q211" s="29">
        <f>IFERROR(IF(N211=0,"",IF(NOT(Y211=1),1,IF('DATOS'!K211="Sin valorar",2,IF('DATOS'!G211=0,1,IF(OR('DATOS'!H211=0,'DATOS'!J211=0),IF(AND(OR('DATOS'!K211="Sin coste documentado",'DATOS'!K211="Incluido en otra partida"),AND(LEN(TRIM('DATOS'!L211&amp;""))&gt;0,TRIM('DATOS'!L211&amp;"")&lt;&gt;"Pendiente",TRIM('DATOS'!L211&amp;"")&lt;&gt;"Por confirmar",TRIM('DATOS'!L211&amp;"")&lt;&gt;"No consta",TRIM('DATOS'!L211&amp;"")&lt;&gt;"Desconocido",TRIM('DATOS'!L211&amp;"")&lt;&gt;"Sin confirmar",TRIM('DATOS'!L211&amp;"")&lt;&gt;"Por decidir",TRIM('DATOS'!L211&amp;"")&lt;&gt;"Por comprobar")),0,1),0))))),2)</f>
      </c>
      <c r="R211" s="29">
        <f>IFERROR(IF(N211=0,"",IF(OR(NOT(AND(LEN(TRIM('DATOS'!D211&amp;""))&gt;0,TRIM('DATOS'!D211&amp;"")&lt;&gt;"Pendiente",TRIM('DATOS'!D211&amp;"")&lt;&gt;"Por confirmar",TRIM('DATOS'!D211&amp;"")&lt;&gt;"No consta",TRIM('DATOS'!D211&amp;"")&lt;&gt;"Desconocido",TRIM('DATOS'!D211&amp;"")&lt;&gt;"Sin confirmar",TRIM('DATOS'!D211&amp;"")&lt;&gt;"Por decidir",TRIM('DATOS'!D211&amp;"")&lt;&gt;"Por comprobar")),NOT(AND(LEN(TRIM('DATOS'!E211&amp;""))&gt;0,TRIM('DATOS'!E211&amp;"")&lt;&gt;"Pendiente",TRIM('DATOS'!E211&amp;"")&lt;&gt;"Por confirmar",TRIM('DATOS'!E211&amp;"")&lt;&gt;"No consta",TRIM('DATOS'!E211&amp;"")&lt;&gt;"Desconocido",TRIM('DATOS'!E211&amp;"")&lt;&gt;"Sin confirmar",TRIM('DATOS'!E211&amp;"")&lt;&gt;"Por decidir",TRIM('DATOS'!E211&amp;"")&lt;&gt;"Por comprobar"))),2,IF('DATOS'!M211="No",2,IF('DATOS'!M211="Sí",0,IF(OR('DATOS'!D211&lt;&gt;'DATOS'!E211,LEN('DATOS'!E211)&gt;300,RIGHT(TRIM('DATOS'!E211),3)="...",RIGHT(TRIM('DATOS'!E211),1)="…"),1,0))))),2)</f>
      </c>
      <c r="S211" s="29">
        <f>IFERROR(IF(N211=0,"",IF('REFERENCIAS'!$Q$8&lt;&gt;1,2,IF(NOT(Y211=1),1,IF(OR(ABS('DATOS'!G211-ROUND('DATOS'!G211,'REFERENCIAS'!$E$8))&gt;0.00000001,ABS('DATOS'!H211-ROUND('DATOS'!H211,'REFERENCIAS'!$H$8))&gt;0.00000001,ABS('DATOS'!J211-ROUND('DATOS'!J211,'REFERENCIAS'!$K$8))&gt;0.00000001,IF(ISNUMBER('DATOS'!I211),ABS('DATOS'!I211-ROUND('DATOS'!I211,'REFERENCIAS'!$H$8))&gt;0.00000001,FALSE)),1,0)))),2)</f>
      </c>
      <c r="T211" s="29">
        <f>IFERROR(IF(N211=0,"",IF(NOT(AND(LEN(TRIM('DATOS'!F211&amp;""))&gt;0,TRIM('DATOS'!F211&amp;"")&lt;&gt;"Pendiente",TRIM('DATOS'!F211&amp;"")&lt;&gt;"Por confirmar",TRIM('DATOS'!F211&amp;"")&lt;&gt;"No consta",TRIM('DATOS'!F211&amp;"")&lt;&gt;"Desconocido",TRIM('DATOS'!F211&amp;"")&lt;&gt;"Sin confirmar",TRIM('DATOS'!F211&amp;"")&lt;&gt;"Por decidir",TRIM('DATOS'!F211&amp;"")&lt;&gt;"Por comprobar")),2,IF(COUNTIFS('REFERENCIAS'!$T$15:$T$34,"ID:"&amp;SUBSTITUTE(SUBSTITUTE(SUBSTITUTE(SUBSTITUTE(UPPER(TRIM('DATOS'!F211&amp;"")),"!","!E"),"*","!A"),"?","!B"),"~","!C"),'REFERENCIAS'!$H$15:$H$34,"&lt;&gt;")&gt;0,0,1))),2)</f>
      </c>
      <c r="U211" s="29" t="str">
        <f>'DATOS'!R211</f>
        <v>ID:</v>
      </c>
      <c r="V211" s="29" t="str">
        <f>'DATOS'!S211</f>
        <v>ID:</v>
      </c>
      <c r="W211" s="29" t="n">
        <f>IF(N211=0,0,COUNTIFS('REFERENCIAS'!$R$15:$R$64,U211))</f>
        <v>0</v>
      </c>
      <c r="X211" s="29" t="n">
        <f>IF(N211=0,0,COUNTIFS('DATOS'!$R$10:$R$509,U211,'DATOS'!$S$10:$S$509,V211))</f>
        <v>0</v>
      </c>
      <c r="Y211" s="29" t="n">
        <f>IF(AND(ISNUMBER('DATOS'!G211),ISNUMBER('DATOS'!H211),ISNUMBER('DATOS'!J211)),1,0)</f>
        <v>0</v>
      </c>
    </row>
    <row r="212" ht="64" customHeight="1">
      <c r="B212" s="26">
        <f>IF(N212=1,203,"")</f>
      </c>
      <c r="C212" s="26">
        <f>IF(AND(N212=1,LEN(TRIM('DATOS'!B212&amp;""))&gt;0),'DATOS'!B212,"")</f>
      </c>
      <c r="D212" s="26">
        <f>IF(AND(N212=1,LEN(TRIM('DATOS'!C212&amp;""))&gt;0),'DATOS'!C212,"")</f>
      </c>
      <c r="E212" s="26">
        <f>IF(NOT(ISNUMBER(P212)),"",IF(P212=2,"ROJO",IF(P212=1,"ÁMBAR","VERDE")))</f>
      </c>
      <c r="F212" s="26">
        <f>IF(NOT(ISNUMBER(Q212)),"",IF(Q212=2,"ROJO",IF(Q212=1,"ÁMBAR","VERDE")))</f>
      </c>
      <c r="G212" s="26">
        <f>IF(NOT(ISNUMBER(R212)),"",IF(R212=2,"ROJO",IF(R212=1,"ÁMBAR","VERDE")))</f>
      </c>
      <c r="H212" s="26">
        <f>IF(NOT(ISNUMBER(S212)),"",IF(S212=2,"ROJO",IF(S212=1,"ÁMBAR","VERDE")))</f>
      </c>
      <c r="I212" s="26">
        <f>IF(NOT(ISNUMBER(T212)),"",IF(T212=2,"ROJO",IF(T212=1,"ÁMBAR","VERDE")))</f>
      </c>
      <c r="J212" s="26">
        <f>IF(NOT(ISNUMBER(O212)),"",IF(O212=2,"ROJO",IF(O212=1,"ÁMBAR","VERDE")))</f>
      </c>
      <c r="K212" s="26">
        <f>IFERROR(IF(AND(N212=1,LEN(TRIM('DATOS'!N212&amp;""))&gt;0),'DATOS'!N212,""),"Hay una entrada con error. Corregimos el dato antes de cerrar la comprobación.")</f>
      </c>
      <c r="L212" s="26">
        <f>IFERROR(IF(N212=0,"",IF(O212&gt;0,"Completamos datos, claves o motivo. ","")&amp;IF(P212&gt;0,"Cotejamos precios e importe. ","")&amp;IF(Q212&gt;0,"Aclaramos el cero. ","")&amp;IF(R212&gt;0,"Comprobamos el texto. ","")&amp;IF(S212&gt;0,"Revisamos decimales visibles. ","")&amp;IF(T212&gt;0,"Confirmamos la unidad.","")),"Hay una entrada con error. Corregimos el dato antes de cerrar la comprobación.")</f>
      </c>
      <c r="N212" s="29" t="n">
        <f>IF(COUNTA('DATOS'!B212:O212)&gt;0,1,0)</f>
        <v>0</v>
      </c>
      <c r="O212" s="29">
        <f>IFERROR(IF(N212=0,"",IF(OR(NOT(AND(LEN(TRIM('DATOS'!B212&amp;""))&gt;0,TRIM('DATOS'!B212&amp;"")&lt;&gt;"Pendiente",TRIM('DATOS'!B212&amp;"")&lt;&gt;"Por confirmar",TRIM('DATOS'!B212&amp;"")&lt;&gt;"No consta",TRIM('DATOS'!B212&amp;"")&lt;&gt;"Desconocido",TRIM('DATOS'!B212&amp;"")&lt;&gt;"Sin confirmar",TRIM('DATOS'!B212&amp;"")&lt;&gt;"Por decidir",TRIM('DATOS'!B212&amp;"")&lt;&gt;"Por comprobar")),NOT(AND(LEN(TRIM('DATOS'!C212&amp;""))&gt;0,TRIM('DATOS'!C212&amp;"")&lt;&gt;"Pendiente",TRIM('DATOS'!C212&amp;"")&lt;&gt;"Por confirmar",TRIM('DATOS'!C212&amp;"")&lt;&gt;"No consta",TRIM('DATOS'!C212&amp;"")&lt;&gt;"Desconocido",TRIM('DATOS'!C212&amp;"")&lt;&gt;"Sin confirmar",TRIM('DATOS'!C212&amp;"")&lt;&gt;"Por decidir",TRIM('DATOS'!C212&amp;"")&lt;&gt;"Por comprobar")),NOT(AND(LEN(TRIM('DATOS'!D212&amp;""))&gt;0,TRIM('DATOS'!D212&amp;"")&lt;&gt;"Pendiente",TRIM('DATOS'!D212&amp;"")&lt;&gt;"Por confirmar",TRIM('DATOS'!D212&amp;"")&lt;&gt;"No consta",TRIM('DATOS'!D212&amp;"")&lt;&gt;"Desconocido",TRIM('DATOS'!D212&amp;"")&lt;&gt;"Sin confirmar",TRIM('DATOS'!D212&amp;"")&lt;&gt;"Por decidir",TRIM('DATOS'!D212&amp;"")&lt;&gt;"Por comprobar")),NOT(AND(LEN(TRIM('DATOS'!E212&amp;""))&gt;0,TRIM('DATOS'!E212&amp;"")&lt;&gt;"Pendiente",TRIM('DATOS'!E212&amp;"")&lt;&gt;"Por confirmar",TRIM('DATOS'!E212&amp;"")&lt;&gt;"No consta",TRIM('DATOS'!E212&amp;"")&lt;&gt;"Desconocido",TRIM('DATOS'!E212&amp;"")&lt;&gt;"Sin confirmar",TRIM('DATOS'!E212&amp;"")&lt;&gt;"Por decidir",TRIM('DATOS'!E212&amp;"")&lt;&gt;"Por comprobar")),NOT(AND(LEN(TRIM('DATOS'!F212&amp;""))&gt;0,TRIM('DATOS'!F212&amp;"")&lt;&gt;"Pendiente",TRIM('DATOS'!F212&amp;"")&lt;&gt;"Por confirmar",TRIM('DATOS'!F212&amp;"")&lt;&gt;"No consta",TRIM('DATOS'!F212&amp;"")&lt;&gt;"Desconocido",TRIM('DATOS'!F212&amp;"")&lt;&gt;"Sin confirmar",TRIM('DATOS'!F212&amp;"")&lt;&gt;"Por decidir",TRIM('DATOS'!F212&amp;"")&lt;&gt;"Por comprobar")),NOT(AND(LEN(TRIM('DATOS'!N212&amp;""))&gt;0,TRIM('DATOS'!N212&amp;"")&lt;&gt;"Pendiente",TRIM('DATOS'!N212&amp;"")&lt;&gt;"Por confirmar",TRIM('DATOS'!N212&amp;"")&lt;&gt;"No consta",TRIM('DATOS'!N212&amp;"")&lt;&gt;"Desconocido",TRIM('DATOS'!N212&amp;"")&lt;&gt;"Sin confirmar",TRIM('DATOS'!N212&amp;"")&lt;&gt;"Por decidir",TRIM('DATOS'!N212&amp;"")&lt;&gt;"Por comprobar")),NOT(Y212=1),W212&lt;&gt;1,X212&gt;1,NOT(OR(LEN(TRIM('DATOS'!K212&amp;""))=0,'DATOS'!K212="Sin valorar",'DATOS'!K212="Sin coste documentado",'DATOS'!K212="Incluido en otra partida",'DATOS'!K212="Por confirmar")),NOT(OR(LEN(TRIM('DATOS'!M212&amp;""))=0,'DATOS'!M212="Sí",'DATOS'!M212="No",'DATOS'!M212="Por confirmar")),NOT(OR(LEN(TRIM('DATOS'!O212&amp;""))=0,'DATOS'!O212="Comparamos",'DATOS'!O212="No existe",'DATOS'!O212="Por confirmar"))),2,IF(AND(OR('DATOS'!G212&lt;0,'DATOS'!H212&lt;0,'DATOS'!J212&lt;0),NOT(AND(LEN(TRIM('DATOS'!L212&amp;""))&gt;0,TRIM('DATOS'!L212&amp;"")&lt;&gt;"Pendiente",TRIM('DATOS'!L212&amp;"")&lt;&gt;"Por confirmar",TRIM('DATOS'!L212&amp;"")&lt;&gt;"No consta",TRIM('DATOS'!L212&amp;"")&lt;&gt;"Desconocido",TRIM('DATOS'!L212&amp;"")&lt;&gt;"Sin confirmar",TRIM('DATOS'!L212&amp;"")&lt;&gt;"Por decidir",TRIM('DATOS'!L212&amp;"")&lt;&gt;"Por comprobar"))),1,0))),2)</f>
      </c>
      <c r="P212" s="29">
        <f>IFERROR(IF(N212=0,"",IF(NOT(Y212=1),1,IF('REFERENCIAS'!$Q$8&lt;&gt;1,2,IF(ABS('DATOS'!J212-ROUND('DATOS'!G212*'DATOS'!H212,'REFERENCIAS'!$K$8))&gt;0.00000001,2,IF('DATOS'!O212="No existe",IF(LEN(TRIM('DATOS'!I212&amp;""))=0,0,2),IF('DATOS'!O212="Comparamos",IF(LEN(TRIM('DATOS'!I212&amp;""))=0,1,IF(ISNUMBER('DATOS'!I212),IF(ABS('DATOS'!H212-'DATOS'!I212)&gt;0.00000001,2,0),2)),1)))))),2)</f>
      </c>
      <c r="Q212" s="29">
        <f>IFERROR(IF(N212=0,"",IF(NOT(Y212=1),1,IF('DATOS'!K212="Sin valorar",2,IF('DATOS'!G212=0,1,IF(OR('DATOS'!H212=0,'DATOS'!J212=0),IF(AND(OR('DATOS'!K212="Sin coste documentado",'DATOS'!K212="Incluido en otra partida"),AND(LEN(TRIM('DATOS'!L212&amp;""))&gt;0,TRIM('DATOS'!L212&amp;"")&lt;&gt;"Pendiente",TRIM('DATOS'!L212&amp;"")&lt;&gt;"Por confirmar",TRIM('DATOS'!L212&amp;"")&lt;&gt;"No consta",TRIM('DATOS'!L212&amp;"")&lt;&gt;"Desconocido",TRIM('DATOS'!L212&amp;"")&lt;&gt;"Sin confirmar",TRIM('DATOS'!L212&amp;"")&lt;&gt;"Por decidir",TRIM('DATOS'!L212&amp;"")&lt;&gt;"Por comprobar")),0,1),0))))),2)</f>
      </c>
      <c r="R212" s="29">
        <f>IFERROR(IF(N212=0,"",IF(OR(NOT(AND(LEN(TRIM('DATOS'!D212&amp;""))&gt;0,TRIM('DATOS'!D212&amp;"")&lt;&gt;"Pendiente",TRIM('DATOS'!D212&amp;"")&lt;&gt;"Por confirmar",TRIM('DATOS'!D212&amp;"")&lt;&gt;"No consta",TRIM('DATOS'!D212&amp;"")&lt;&gt;"Desconocido",TRIM('DATOS'!D212&amp;"")&lt;&gt;"Sin confirmar",TRIM('DATOS'!D212&amp;"")&lt;&gt;"Por decidir",TRIM('DATOS'!D212&amp;"")&lt;&gt;"Por comprobar")),NOT(AND(LEN(TRIM('DATOS'!E212&amp;""))&gt;0,TRIM('DATOS'!E212&amp;"")&lt;&gt;"Pendiente",TRIM('DATOS'!E212&amp;"")&lt;&gt;"Por confirmar",TRIM('DATOS'!E212&amp;"")&lt;&gt;"No consta",TRIM('DATOS'!E212&amp;"")&lt;&gt;"Desconocido",TRIM('DATOS'!E212&amp;"")&lt;&gt;"Sin confirmar",TRIM('DATOS'!E212&amp;"")&lt;&gt;"Por decidir",TRIM('DATOS'!E212&amp;"")&lt;&gt;"Por comprobar"))),2,IF('DATOS'!M212="No",2,IF('DATOS'!M212="Sí",0,IF(OR('DATOS'!D212&lt;&gt;'DATOS'!E212,LEN('DATOS'!E212)&gt;300,RIGHT(TRIM('DATOS'!E212),3)="...",RIGHT(TRIM('DATOS'!E212),1)="…"),1,0))))),2)</f>
      </c>
      <c r="S212" s="29">
        <f>IFERROR(IF(N212=0,"",IF('REFERENCIAS'!$Q$8&lt;&gt;1,2,IF(NOT(Y212=1),1,IF(OR(ABS('DATOS'!G212-ROUND('DATOS'!G212,'REFERENCIAS'!$E$8))&gt;0.00000001,ABS('DATOS'!H212-ROUND('DATOS'!H212,'REFERENCIAS'!$H$8))&gt;0.00000001,ABS('DATOS'!J212-ROUND('DATOS'!J212,'REFERENCIAS'!$K$8))&gt;0.00000001,IF(ISNUMBER('DATOS'!I212),ABS('DATOS'!I212-ROUND('DATOS'!I212,'REFERENCIAS'!$H$8))&gt;0.00000001,FALSE)),1,0)))),2)</f>
      </c>
      <c r="T212" s="29">
        <f>IFERROR(IF(N212=0,"",IF(NOT(AND(LEN(TRIM('DATOS'!F212&amp;""))&gt;0,TRIM('DATOS'!F212&amp;"")&lt;&gt;"Pendiente",TRIM('DATOS'!F212&amp;"")&lt;&gt;"Por confirmar",TRIM('DATOS'!F212&amp;"")&lt;&gt;"No consta",TRIM('DATOS'!F212&amp;"")&lt;&gt;"Desconocido",TRIM('DATOS'!F212&amp;"")&lt;&gt;"Sin confirmar",TRIM('DATOS'!F212&amp;"")&lt;&gt;"Por decidir",TRIM('DATOS'!F212&amp;"")&lt;&gt;"Por comprobar")),2,IF(COUNTIFS('REFERENCIAS'!$T$15:$T$34,"ID:"&amp;SUBSTITUTE(SUBSTITUTE(SUBSTITUTE(SUBSTITUTE(UPPER(TRIM('DATOS'!F212&amp;"")),"!","!E"),"*","!A"),"?","!B"),"~","!C"),'REFERENCIAS'!$H$15:$H$34,"&lt;&gt;")&gt;0,0,1))),2)</f>
      </c>
      <c r="U212" s="29" t="str">
        <f>'DATOS'!R212</f>
        <v>ID:</v>
      </c>
      <c r="V212" s="29" t="str">
        <f>'DATOS'!S212</f>
        <v>ID:</v>
      </c>
      <c r="W212" s="29" t="n">
        <f>IF(N212=0,0,COUNTIFS('REFERENCIAS'!$R$15:$R$64,U212))</f>
        <v>0</v>
      </c>
      <c r="X212" s="29" t="n">
        <f>IF(N212=0,0,COUNTIFS('DATOS'!$R$10:$R$509,U212,'DATOS'!$S$10:$S$509,V212))</f>
        <v>0</v>
      </c>
      <c r="Y212" s="29" t="n">
        <f>IF(AND(ISNUMBER('DATOS'!G212),ISNUMBER('DATOS'!H212),ISNUMBER('DATOS'!J212)),1,0)</f>
        <v>0</v>
      </c>
    </row>
    <row r="213" ht="64" customHeight="1">
      <c r="B213" s="26">
        <f>IF(N213=1,204,"")</f>
      </c>
      <c r="C213" s="26">
        <f>IF(AND(N213=1,LEN(TRIM('DATOS'!B213&amp;""))&gt;0),'DATOS'!B213,"")</f>
      </c>
      <c r="D213" s="26">
        <f>IF(AND(N213=1,LEN(TRIM('DATOS'!C213&amp;""))&gt;0),'DATOS'!C213,"")</f>
      </c>
      <c r="E213" s="26">
        <f>IF(NOT(ISNUMBER(P213)),"",IF(P213=2,"ROJO",IF(P213=1,"ÁMBAR","VERDE")))</f>
      </c>
      <c r="F213" s="26">
        <f>IF(NOT(ISNUMBER(Q213)),"",IF(Q213=2,"ROJO",IF(Q213=1,"ÁMBAR","VERDE")))</f>
      </c>
      <c r="G213" s="26">
        <f>IF(NOT(ISNUMBER(R213)),"",IF(R213=2,"ROJO",IF(R213=1,"ÁMBAR","VERDE")))</f>
      </c>
      <c r="H213" s="26">
        <f>IF(NOT(ISNUMBER(S213)),"",IF(S213=2,"ROJO",IF(S213=1,"ÁMBAR","VERDE")))</f>
      </c>
      <c r="I213" s="26">
        <f>IF(NOT(ISNUMBER(T213)),"",IF(T213=2,"ROJO",IF(T213=1,"ÁMBAR","VERDE")))</f>
      </c>
      <c r="J213" s="26">
        <f>IF(NOT(ISNUMBER(O213)),"",IF(O213=2,"ROJO",IF(O213=1,"ÁMBAR","VERDE")))</f>
      </c>
      <c r="K213" s="26">
        <f>IFERROR(IF(AND(N213=1,LEN(TRIM('DATOS'!N213&amp;""))&gt;0),'DATOS'!N213,""),"Hay una entrada con error. Corregimos el dato antes de cerrar la comprobación.")</f>
      </c>
      <c r="L213" s="26">
        <f>IFERROR(IF(N213=0,"",IF(O213&gt;0,"Completamos datos, claves o motivo. ","")&amp;IF(P213&gt;0,"Cotejamos precios e importe. ","")&amp;IF(Q213&gt;0,"Aclaramos el cero. ","")&amp;IF(R213&gt;0,"Comprobamos el texto. ","")&amp;IF(S213&gt;0,"Revisamos decimales visibles. ","")&amp;IF(T213&gt;0,"Confirmamos la unidad.","")),"Hay una entrada con error. Corregimos el dato antes de cerrar la comprobación.")</f>
      </c>
      <c r="N213" s="29" t="n">
        <f>IF(COUNTA('DATOS'!B213:O213)&gt;0,1,0)</f>
        <v>0</v>
      </c>
      <c r="O213" s="29">
        <f>IFERROR(IF(N213=0,"",IF(OR(NOT(AND(LEN(TRIM('DATOS'!B213&amp;""))&gt;0,TRIM('DATOS'!B213&amp;"")&lt;&gt;"Pendiente",TRIM('DATOS'!B213&amp;"")&lt;&gt;"Por confirmar",TRIM('DATOS'!B213&amp;"")&lt;&gt;"No consta",TRIM('DATOS'!B213&amp;"")&lt;&gt;"Desconocido",TRIM('DATOS'!B213&amp;"")&lt;&gt;"Sin confirmar",TRIM('DATOS'!B213&amp;"")&lt;&gt;"Por decidir",TRIM('DATOS'!B213&amp;"")&lt;&gt;"Por comprobar")),NOT(AND(LEN(TRIM('DATOS'!C213&amp;""))&gt;0,TRIM('DATOS'!C213&amp;"")&lt;&gt;"Pendiente",TRIM('DATOS'!C213&amp;"")&lt;&gt;"Por confirmar",TRIM('DATOS'!C213&amp;"")&lt;&gt;"No consta",TRIM('DATOS'!C213&amp;"")&lt;&gt;"Desconocido",TRIM('DATOS'!C213&amp;"")&lt;&gt;"Sin confirmar",TRIM('DATOS'!C213&amp;"")&lt;&gt;"Por decidir",TRIM('DATOS'!C213&amp;"")&lt;&gt;"Por comprobar")),NOT(AND(LEN(TRIM('DATOS'!D213&amp;""))&gt;0,TRIM('DATOS'!D213&amp;"")&lt;&gt;"Pendiente",TRIM('DATOS'!D213&amp;"")&lt;&gt;"Por confirmar",TRIM('DATOS'!D213&amp;"")&lt;&gt;"No consta",TRIM('DATOS'!D213&amp;"")&lt;&gt;"Desconocido",TRIM('DATOS'!D213&amp;"")&lt;&gt;"Sin confirmar",TRIM('DATOS'!D213&amp;"")&lt;&gt;"Por decidir",TRIM('DATOS'!D213&amp;"")&lt;&gt;"Por comprobar")),NOT(AND(LEN(TRIM('DATOS'!E213&amp;""))&gt;0,TRIM('DATOS'!E213&amp;"")&lt;&gt;"Pendiente",TRIM('DATOS'!E213&amp;"")&lt;&gt;"Por confirmar",TRIM('DATOS'!E213&amp;"")&lt;&gt;"No consta",TRIM('DATOS'!E213&amp;"")&lt;&gt;"Desconocido",TRIM('DATOS'!E213&amp;"")&lt;&gt;"Sin confirmar",TRIM('DATOS'!E213&amp;"")&lt;&gt;"Por decidir",TRIM('DATOS'!E213&amp;"")&lt;&gt;"Por comprobar")),NOT(AND(LEN(TRIM('DATOS'!F213&amp;""))&gt;0,TRIM('DATOS'!F213&amp;"")&lt;&gt;"Pendiente",TRIM('DATOS'!F213&amp;"")&lt;&gt;"Por confirmar",TRIM('DATOS'!F213&amp;"")&lt;&gt;"No consta",TRIM('DATOS'!F213&amp;"")&lt;&gt;"Desconocido",TRIM('DATOS'!F213&amp;"")&lt;&gt;"Sin confirmar",TRIM('DATOS'!F213&amp;"")&lt;&gt;"Por decidir",TRIM('DATOS'!F213&amp;"")&lt;&gt;"Por comprobar")),NOT(AND(LEN(TRIM('DATOS'!N213&amp;""))&gt;0,TRIM('DATOS'!N213&amp;"")&lt;&gt;"Pendiente",TRIM('DATOS'!N213&amp;"")&lt;&gt;"Por confirmar",TRIM('DATOS'!N213&amp;"")&lt;&gt;"No consta",TRIM('DATOS'!N213&amp;"")&lt;&gt;"Desconocido",TRIM('DATOS'!N213&amp;"")&lt;&gt;"Sin confirmar",TRIM('DATOS'!N213&amp;"")&lt;&gt;"Por decidir",TRIM('DATOS'!N213&amp;"")&lt;&gt;"Por comprobar")),NOT(Y213=1),W213&lt;&gt;1,X213&gt;1,NOT(OR(LEN(TRIM('DATOS'!K213&amp;""))=0,'DATOS'!K213="Sin valorar",'DATOS'!K213="Sin coste documentado",'DATOS'!K213="Incluido en otra partida",'DATOS'!K213="Por confirmar")),NOT(OR(LEN(TRIM('DATOS'!M213&amp;""))=0,'DATOS'!M213="Sí",'DATOS'!M213="No",'DATOS'!M213="Por confirmar")),NOT(OR(LEN(TRIM('DATOS'!O213&amp;""))=0,'DATOS'!O213="Comparamos",'DATOS'!O213="No existe",'DATOS'!O213="Por confirmar"))),2,IF(AND(OR('DATOS'!G213&lt;0,'DATOS'!H213&lt;0,'DATOS'!J213&lt;0),NOT(AND(LEN(TRIM('DATOS'!L213&amp;""))&gt;0,TRIM('DATOS'!L213&amp;"")&lt;&gt;"Pendiente",TRIM('DATOS'!L213&amp;"")&lt;&gt;"Por confirmar",TRIM('DATOS'!L213&amp;"")&lt;&gt;"No consta",TRIM('DATOS'!L213&amp;"")&lt;&gt;"Desconocido",TRIM('DATOS'!L213&amp;"")&lt;&gt;"Sin confirmar",TRIM('DATOS'!L213&amp;"")&lt;&gt;"Por decidir",TRIM('DATOS'!L213&amp;"")&lt;&gt;"Por comprobar"))),1,0))),2)</f>
      </c>
      <c r="P213" s="29">
        <f>IFERROR(IF(N213=0,"",IF(NOT(Y213=1),1,IF('REFERENCIAS'!$Q$8&lt;&gt;1,2,IF(ABS('DATOS'!J213-ROUND('DATOS'!G213*'DATOS'!H213,'REFERENCIAS'!$K$8))&gt;0.00000001,2,IF('DATOS'!O213="No existe",IF(LEN(TRIM('DATOS'!I213&amp;""))=0,0,2),IF('DATOS'!O213="Comparamos",IF(LEN(TRIM('DATOS'!I213&amp;""))=0,1,IF(ISNUMBER('DATOS'!I213),IF(ABS('DATOS'!H213-'DATOS'!I213)&gt;0.00000001,2,0),2)),1)))))),2)</f>
      </c>
      <c r="Q213" s="29">
        <f>IFERROR(IF(N213=0,"",IF(NOT(Y213=1),1,IF('DATOS'!K213="Sin valorar",2,IF('DATOS'!G213=0,1,IF(OR('DATOS'!H213=0,'DATOS'!J213=0),IF(AND(OR('DATOS'!K213="Sin coste documentado",'DATOS'!K213="Incluido en otra partida"),AND(LEN(TRIM('DATOS'!L213&amp;""))&gt;0,TRIM('DATOS'!L213&amp;"")&lt;&gt;"Pendiente",TRIM('DATOS'!L213&amp;"")&lt;&gt;"Por confirmar",TRIM('DATOS'!L213&amp;"")&lt;&gt;"No consta",TRIM('DATOS'!L213&amp;"")&lt;&gt;"Desconocido",TRIM('DATOS'!L213&amp;"")&lt;&gt;"Sin confirmar",TRIM('DATOS'!L213&amp;"")&lt;&gt;"Por decidir",TRIM('DATOS'!L213&amp;"")&lt;&gt;"Por comprobar")),0,1),0))))),2)</f>
      </c>
      <c r="R213" s="29">
        <f>IFERROR(IF(N213=0,"",IF(OR(NOT(AND(LEN(TRIM('DATOS'!D213&amp;""))&gt;0,TRIM('DATOS'!D213&amp;"")&lt;&gt;"Pendiente",TRIM('DATOS'!D213&amp;"")&lt;&gt;"Por confirmar",TRIM('DATOS'!D213&amp;"")&lt;&gt;"No consta",TRIM('DATOS'!D213&amp;"")&lt;&gt;"Desconocido",TRIM('DATOS'!D213&amp;"")&lt;&gt;"Sin confirmar",TRIM('DATOS'!D213&amp;"")&lt;&gt;"Por decidir",TRIM('DATOS'!D213&amp;"")&lt;&gt;"Por comprobar")),NOT(AND(LEN(TRIM('DATOS'!E213&amp;""))&gt;0,TRIM('DATOS'!E213&amp;"")&lt;&gt;"Pendiente",TRIM('DATOS'!E213&amp;"")&lt;&gt;"Por confirmar",TRIM('DATOS'!E213&amp;"")&lt;&gt;"No consta",TRIM('DATOS'!E213&amp;"")&lt;&gt;"Desconocido",TRIM('DATOS'!E213&amp;"")&lt;&gt;"Sin confirmar",TRIM('DATOS'!E213&amp;"")&lt;&gt;"Por decidir",TRIM('DATOS'!E213&amp;"")&lt;&gt;"Por comprobar"))),2,IF('DATOS'!M213="No",2,IF('DATOS'!M213="Sí",0,IF(OR('DATOS'!D213&lt;&gt;'DATOS'!E213,LEN('DATOS'!E213)&gt;300,RIGHT(TRIM('DATOS'!E213),3)="...",RIGHT(TRIM('DATOS'!E213),1)="…"),1,0))))),2)</f>
      </c>
      <c r="S213" s="29">
        <f>IFERROR(IF(N213=0,"",IF('REFERENCIAS'!$Q$8&lt;&gt;1,2,IF(NOT(Y213=1),1,IF(OR(ABS('DATOS'!G213-ROUND('DATOS'!G213,'REFERENCIAS'!$E$8))&gt;0.00000001,ABS('DATOS'!H213-ROUND('DATOS'!H213,'REFERENCIAS'!$H$8))&gt;0.00000001,ABS('DATOS'!J213-ROUND('DATOS'!J213,'REFERENCIAS'!$K$8))&gt;0.00000001,IF(ISNUMBER('DATOS'!I213),ABS('DATOS'!I213-ROUND('DATOS'!I213,'REFERENCIAS'!$H$8))&gt;0.00000001,FALSE)),1,0)))),2)</f>
      </c>
      <c r="T213" s="29">
        <f>IFERROR(IF(N213=0,"",IF(NOT(AND(LEN(TRIM('DATOS'!F213&amp;""))&gt;0,TRIM('DATOS'!F213&amp;"")&lt;&gt;"Pendiente",TRIM('DATOS'!F213&amp;"")&lt;&gt;"Por confirmar",TRIM('DATOS'!F213&amp;"")&lt;&gt;"No consta",TRIM('DATOS'!F213&amp;"")&lt;&gt;"Desconocido",TRIM('DATOS'!F213&amp;"")&lt;&gt;"Sin confirmar",TRIM('DATOS'!F213&amp;"")&lt;&gt;"Por decidir",TRIM('DATOS'!F213&amp;"")&lt;&gt;"Por comprobar")),2,IF(COUNTIFS('REFERENCIAS'!$T$15:$T$34,"ID:"&amp;SUBSTITUTE(SUBSTITUTE(SUBSTITUTE(SUBSTITUTE(UPPER(TRIM('DATOS'!F213&amp;"")),"!","!E"),"*","!A"),"?","!B"),"~","!C"),'REFERENCIAS'!$H$15:$H$34,"&lt;&gt;")&gt;0,0,1))),2)</f>
      </c>
      <c r="U213" s="29" t="str">
        <f>'DATOS'!R213</f>
        <v>ID:</v>
      </c>
      <c r="V213" s="29" t="str">
        <f>'DATOS'!S213</f>
        <v>ID:</v>
      </c>
      <c r="W213" s="29" t="n">
        <f>IF(N213=0,0,COUNTIFS('REFERENCIAS'!$R$15:$R$64,U213))</f>
        <v>0</v>
      </c>
      <c r="X213" s="29" t="n">
        <f>IF(N213=0,0,COUNTIFS('DATOS'!$R$10:$R$509,U213,'DATOS'!$S$10:$S$509,V213))</f>
        <v>0</v>
      </c>
      <c r="Y213" s="29" t="n">
        <f>IF(AND(ISNUMBER('DATOS'!G213),ISNUMBER('DATOS'!H213),ISNUMBER('DATOS'!J213)),1,0)</f>
        <v>0</v>
      </c>
    </row>
    <row r="214" ht="64" customHeight="1">
      <c r="B214" s="26">
        <f>IF(N214=1,205,"")</f>
      </c>
      <c r="C214" s="26">
        <f>IF(AND(N214=1,LEN(TRIM('DATOS'!B214&amp;""))&gt;0),'DATOS'!B214,"")</f>
      </c>
      <c r="D214" s="26">
        <f>IF(AND(N214=1,LEN(TRIM('DATOS'!C214&amp;""))&gt;0),'DATOS'!C214,"")</f>
      </c>
      <c r="E214" s="26">
        <f>IF(NOT(ISNUMBER(P214)),"",IF(P214=2,"ROJO",IF(P214=1,"ÁMBAR","VERDE")))</f>
      </c>
      <c r="F214" s="26">
        <f>IF(NOT(ISNUMBER(Q214)),"",IF(Q214=2,"ROJO",IF(Q214=1,"ÁMBAR","VERDE")))</f>
      </c>
      <c r="G214" s="26">
        <f>IF(NOT(ISNUMBER(R214)),"",IF(R214=2,"ROJO",IF(R214=1,"ÁMBAR","VERDE")))</f>
      </c>
      <c r="H214" s="26">
        <f>IF(NOT(ISNUMBER(S214)),"",IF(S214=2,"ROJO",IF(S214=1,"ÁMBAR","VERDE")))</f>
      </c>
      <c r="I214" s="26">
        <f>IF(NOT(ISNUMBER(T214)),"",IF(T214=2,"ROJO",IF(T214=1,"ÁMBAR","VERDE")))</f>
      </c>
      <c r="J214" s="26">
        <f>IF(NOT(ISNUMBER(O214)),"",IF(O214=2,"ROJO",IF(O214=1,"ÁMBAR","VERDE")))</f>
      </c>
      <c r="K214" s="26">
        <f>IFERROR(IF(AND(N214=1,LEN(TRIM('DATOS'!N214&amp;""))&gt;0),'DATOS'!N214,""),"Hay una entrada con error. Corregimos el dato antes de cerrar la comprobación.")</f>
      </c>
      <c r="L214" s="26">
        <f>IFERROR(IF(N214=0,"",IF(O214&gt;0,"Completamos datos, claves o motivo. ","")&amp;IF(P214&gt;0,"Cotejamos precios e importe. ","")&amp;IF(Q214&gt;0,"Aclaramos el cero. ","")&amp;IF(R214&gt;0,"Comprobamos el texto. ","")&amp;IF(S214&gt;0,"Revisamos decimales visibles. ","")&amp;IF(T214&gt;0,"Confirmamos la unidad.","")),"Hay una entrada con error. Corregimos el dato antes de cerrar la comprobación.")</f>
      </c>
      <c r="N214" s="29" t="n">
        <f>IF(COUNTA('DATOS'!B214:O214)&gt;0,1,0)</f>
        <v>0</v>
      </c>
      <c r="O214" s="29">
        <f>IFERROR(IF(N214=0,"",IF(OR(NOT(AND(LEN(TRIM('DATOS'!B214&amp;""))&gt;0,TRIM('DATOS'!B214&amp;"")&lt;&gt;"Pendiente",TRIM('DATOS'!B214&amp;"")&lt;&gt;"Por confirmar",TRIM('DATOS'!B214&amp;"")&lt;&gt;"No consta",TRIM('DATOS'!B214&amp;"")&lt;&gt;"Desconocido",TRIM('DATOS'!B214&amp;"")&lt;&gt;"Sin confirmar",TRIM('DATOS'!B214&amp;"")&lt;&gt;"Por decidir",TRIM('DATOS'!B214&amp;"")&lt;&gt;"Por comprobar")),NOT(AND(LEN(TRIM('DATOS'!C214&amp;""))&gt;0,TRIM('DATOS'!C214&amp;"")&lt;&gt;"Pendiente",TRIM('DATOS'!C214&amp;"")&lt;&gt;"Por confirmar",TRIM('DATOS'!C214&amp;"")&lt;&gt;"No consta",TRIM('DATOS'!C214&amp;"")&lt;&gt;"Desconocido",TRIM('DATOS'!C214&amp;"")&lt;&gt;"Sin confirmar",TRIM('DATOS'!C214&amp;"")&lt;&gt;"Por decidir",TRIM('DATOS'!C214&amp;"")&lt;&gt;"Por comprobar")),NOT(AND(LEN(TRIM('DATOS'!D214&amp;""))&gt;0,TRIM('DATOS'!D214&amp;"")&lt;&gt;"Pendiente",TRIM('DATOS'!D214&amp;"")&lt;&gt;"Por confirmar",TRIM('DATOS'!D214&amp;"")&lt;&gt;"No consta",TRIM('DATOS'!D214&amp;"")&lt;&gt;"Desconocido",TRIM('DATOS'!D214&amp;"")&lt;&gt;"Sin confirmar",TRIM('DATOS'!D214&amp;"")&lt;&gt;"Por decidir",TRIM('DATOS'!D214&amp;"")&lt;&gt;"Por comprobar")),NOT(AND(LEN(TRIM('DATOS'!E214&amp;""))&gt;0,TRIM('DATOS'!E214&amp;"")&lt;&gt;"Pendiente",TRIM('DATOS'!E214&amp;"")&lt;&gt;"Por confirmar",TRIM('DATOS'!E214&amp;"")&lt;&gt;"No consta",TRIM('DATOS'!E214&amp;"")&lt;&gt;"Desconocido",TRIM('DATOS'!E214&amp;"")&lt;&gt;"Sin confirmar",TRIM('DATOS'!E214&amp;"")&lt;&gt;"Por decidir",TRIM('DATOS'!E214&amp;"")&lt;&gt;"Por comprobar")),NOT(AND(LEN(TRIM('DATOS'!F214&amp;""))&gt;0,TRIM('DATOS'!F214&amp;"")&lt;&gt;"Pendiente",TRIM('DATOS'!F214&amp;"")&lt;&gt;"Por confirmar",TRIM('DATOS'!F214&amp;"")&lt;&gt;"No consta",TRIM('DATOS'!F214&amp;"")&lt;&gt;"Desconocido",TRIM('DATOS'!F214&amp;"")&lt;&gt;"Sin confirmar",TRIM('DATOS'!F214&amp;"")&lt;&gt;"Por decidir",TRIM('DATOS'!F214&amp;"")&lt;&gt;"Por comprobar")),NOT(AND(LEN(TRIM('DATOS'!N214&amp;""))&gt;0,TRIM('DATOS'!N214&amp;"")&lt;&gt;"Pendiente",TRIM('DATOS'!N214&amp;"")&lt;&gt;"Por confirmar",TRIM('DATOS'!N214&amp;"")&lt;&gt;"No consta",TRIM('DATOS'!N214&amp;"")&lt;&gt;"Desconocido",TRIM('DATOS'!N214&amp;"")&lt;&gt;"Sin confirmar",TRIM('DATOS'!N214&amp;"")&lt;&gt;"Por decidir",TRIM('DATOS'!N214&amp;"")&lt;&gt;"Por comprobar")),NOT(Y214=1),W214&lt;&gt;1,X214&gt;1,NOT(OR(LEN(TRIM('DATOS'!K214&amp;""))=0,'DATOS'!K214="Sin valorar",'DATOS'!K214="Sin coste documentado",'DATOS'!K214="Incluido en otra partida",'DATOS'!K214="Por confirmar")),NOT(OR(LEN(TRIM('DATOS'!M214&amp;""))=0,'DATOS'!M214="Sí",'DATOS'!M214="No",'DATOS'!M214="Por confirmar")),NOT(OR(LEN(TRIM('DATOS'!O214&amp;""))=0,'DATOS'!O214="Comparamos",'DATOS'!O214="No existe",'DATOS'!O214="Por confirmar"))),2,IF(AND(OR('DATOS'!G214&lt;0,'DATOS'!H214&lt;0,'DATOS'!J214&lt;0),NOT(AND(LEN(TRIM('DATOS'!L214&amp;""))&gt;0,TRIM('DATOS'!L214&amp;"")&lt;&gt;"Pendiente",TRIM('DATOS'!L214&amp;"")&lt;&gt;"Por confirmar",TRIM('DATOS'!L214&amp;"")&lt;&gt;"No consta",TRIM('DATOS'!L214&amp;"")&lt;&gt;"Desconocido",TRIM('DATOS'!L214&amp;"")&lt;&gt;"Sin confirmar",TRIM('DATOS'!L214&amp;"")&lt;&gt;"Por decidir",TRIM('DATOS'!L214&amp;"")&lt;&gt;"Por comprobar"))),1,0))),2)</f>
      </c>
      <c r="P214" s="29">
        <f>IFERROR(IF(N214=0,"",IF(NOT(Y214=1),1,IF('REFERENCIAS'!$Q$8&lt;&gt;1,2,IF(ABS('DATOS'!J214-ROUND('DATOS'!G214*'DATOS'!H214,'REFERENCIAS'!$K$8))&gt;0.00000001,2,IF('DATOS'!O214="No existe",IF(LEN(TRIM('DATOS'!I214&amp;""))=0,0,2),IF('DATOS'!O214="Comparamos",IF(LEN(TRIM('DATOS'!I214&amp;""))=0,1,IF(ISNUMBER('DATOS'!I214),IF(ABS('DATOS'!H214-'DATOS'!I214)&gt;0.00000001,2,0),2)),1)))))),2)</f>
      </c>
      <c r="Q214" s="29">
        <f>IFERROR(IF(N214=0,"",IF(NOT(Y214=1),1,IF('DATOS'!K214="Sin valorar",2,IF('DATOS'!G214=0,1,IF(OR('DATOS'!H214=0,'DATOS'!J214=0),IF(AND(OR('DATOS'!K214="Sin coste documentado",'DATOS'!K214="Incluido en otra partida"),AND(LEN(TRIM('DATOS'!L214&amp;""))&gt;0,TRIM('DATOS'!L214&amp;"")&lt;&gt;"Pendiente",TRIM('DATOS'!L214&amp;"")&lt;&gt;"Por confirmar",TRIM('DATOS'!L214&amp;"")&lt;&gt;"No consta",TRIM('DATOS'!L214&amp;"")&lt;&gt;"Desconocido",TRIM('DATOS'!L214&amp;"")&lt;&gt;"Sin confirmar",TRIM('DATOS'!L214&amp;"")&lt;&gt;"Por decidir",TRIM('DATOS'!L214&amp;"")&lt;&gt;"Por comprobar")),0,1),0))))),2)</f>
      </c>
      <c r="R214" s="29">
        <f>IFERROR(IF(N214=0,"",IF(OR(NOT(AND(LEN(TRIM('DATOS'!D214&amp;""))&gt;0,TRIM('DATOS'!D214&amp;"")&lt;&gt;"Pendiente",TRIM('DATOS'!D214&amp;"")&lt;&gt;"Por confirmar",TRIM('DATOS'!D214&amp;"")&lt;&gt;"No consta",TRIM('DATOS'!D214&amp;"")&lt;&gt;"Desconocido",TRIM('DATOS'!D214&amp;"")&lt;&gt;"Sin confirmar",TRIM('DATOS'!D214&amp;"")&lt;&gt;"Por decidir",TRIM('DATOS'!D214&amp;"")&lt;&gt;"Por comprobar")),NOT(AND(LEN(TRIM('DATOS'!E214&amp;""))&gt;0,TRIM('DATOS'!E214&amp;"")&lt;&gt;"Pendiente",TRIM('DATOS'!E214&amp;"")&lt;&gt;"Por confirmar",TRIM('DATOS'!E214&amp;"")&lt;&gt;"No consta",TRIM('DATOS'!E214&amp;"")&lt;&gt;"Desconocido",TRIM('DATOS'!E214&amp;"")&lt;&gt;"Sin confirmar",TRIM('DATOS'!E214&amp;"")&lt;&gt;"Por decidir",TRIM('DATOS'!E214&amp;"")&lt;&gt;"Por comprobar"))),2,IF('DATOS'!M214="No",2,IF('DATOS'!M214="Sí",0,IF(OR('DATOS'!D214&lt;&gt;'DATOS'!E214,LEN('DATOS'!E214)&gt;300,RIGHT(TRIM('DATOS'!E214),3)="...",RIGHT(TRIM('DATOS'!E214),1)="…"),1,0))))),2)</f>
      </c>
      <c r="S214" s="29">
        <f>IFERROR(IF(N214=0,"",IF('REFERENCIAS'!$Q$8&lt;&gt;1,2,IF(NOT(Y214=1),1,IF(OR(ABS('DATOS'!G214-ROUND('DATOS'!G214,'REFERENCIAS'!$E$8))&gt;0.00000001,ABS('DATOS'!H214-ROUND('DATOS'!H214,'REFERENCIAS'!$H$8))&gt;0.00000001,ABS('DATOS'!J214-ROUND('DATOS'!J214,'REFERENCIAS'!$K$8))&gt;0.00000001,IF(ISNUMBER('DATOS'!I214),ABS('DATOS'!I214-ROUND('DATOS'!I214,'REFERENCIAS'!$H$8))&gt;0.00000001,FALSE)),1,0)))),2)</f>
      </c>
      <c r="T214" s="29">
        <f>IFERROR(IF(N214=0,"",IF(NOT(AND(LEN(TRIM('DATOS'!F214&amp;""))&gt;0,TRIM('DATOS'!F214&amp;"")&lt;&gt;"Pendiente",TRIM('DATOS'!F214&amp;"")&lt;&gt;"Por confirmar",TRIM('DATOS'!F214&amp;"")&lt;&gt;"No consta",TRIM('DATOS'!F214&amp;"")&lt;&gt;"Desconocido",TRIM('DATOS'!F214&amp;"")&lt;&gt;"Sin confirmar",TRIM('DATOS'!F214&amp;"")&lt;&gt;"Por decidir",TRIM('DATOS'!F214&amp;"")&lt;&gt;"Por comprobar")),2,IF(COUNTIFS('REFERENCIAS'!$T$15:$T$34,"ID:"&amp;SUBSTITUTE(SUBSTITUTE(SUBSTITUTE(SUBSTITUTE(UPPER(TRIM('DATOS'!F214&amp;"")),"!","!E"),"*","!A"),"?","!B"),"~","!C"),'REFERENCIAS'!$H$15:$H$34,"&lt;&gt;")&gt;0,0,1))),2)</f>
      </c>
      <c r="U214" s="29" t="str">
        <f>'DATOS'!R214</f>
        <v>ID:</v>
      </c>
      <c r="V214" s="29" t="str">
        <f>'DATOS'!S214</f>
        <v>ID:</v>
      </c>
      <c r="W214" s="29" t="n">
        <f>IF(N214=0,0,COUNTIFS('REFERENCIAS'!$R$15:$R$64,U214))</f>
        <v>0</v>
      </c>
      <c r="X214" s="29" t="n">
        <f>IF(N214=0,0,COUNTIFS('DATOS'!$R$10:$R$509,U214,'DATOS'!$S$10:$S$509,V214))</f>
        <v>0</v>
      </c>
      <c r="Y214" s="29" t="n">
        <f>IF(AND(ISNUMBER('DATOS'!G214),ISNUMBER('DATOS'!H214),ISNUMBER('DATOS'!J214)),1,0)</f>
        <v>0</v>
      </c>
    </row>
    <row r="215" ht="64" customHeight="1">
      <c r="B215" s="26">
        <f>IF(N215=1,206,"")</f>
      </c>
      <c r="C215" s="26">
        <f>IF(AND(N215=1,LEN(TRIM('DATOS'!B215&amp;""))&gt;0),'DATOS'!B215,"")</f>
      </c>
      <c r="D215" s="26">
        <f>IF(AND(N215=1,LEN(TRIM('DATOS'!C215&amp;""))&gt;0),'DATOS'!C215,"")</f>
      </c>
      <c r="E215" s="26">
        <f>IF(NOT(ISNUMBER(P215)),"",IF(P215=2,"ROJO",IF(P215=1,"ÁMBAR","VERDE")))</f>
      </c>
      <c r="F215" s="26">
        <f>IF(NOT(ISNUMBER(Q215)),"",IF(Q215=2,"ROJO",IF(Q215=1,"ÁMBAR","VERDE")))</f>
      </c>
      <c r="G215" s="26">
        <f>IF(NOT(ISNUMBER(R215)),"",IF(R215=2,"ROJO",IF(R215=1,"ÁMBAR","VERDE")))</f>
      </c>
      <c r="H215" s="26">
        <f>IF(NOT(ISNUMBER(S215)),"",IF(S215=2,"ROJO",IF(S215=1,"ÁMBAR","VERDE")))</f>
      </c>
      <c r="I215" s="26">
        <f>IF(NOT(ISNUMBER(T215)),"",IF(T215=2,"ROJO",IF(T215=1,"ÁMBAR","VERDE")))</f>
      </c>
      <c r="J215" s="26">
        <f>IF(NOT(ISNUMBER(O215)),"",IF(O215=2,"ROJO",IF(O215=1,"ÁMBAR","VERDE")))</f>
      </c>
      <c r="K215" s="26">
        <f>IFERROR(IF(AND(N215=1,LEN(TRIM('DATOS'!N215&amp;""))&gt;0),'DATOS'!N215,""),"Hay una entrada con error. Corregimos el dato antes de cerrar la comprobación.")</f>
      </c>
      <c r="L215" s="26">
        <f>IFERROR(IF(N215=0,"",IF(O215&gt;0,"Completamos datos, claves o motivo. ","")&amp;IF(P215&gt;0,"Cotejamos precios e importe. ","")&amp;IF(Q215&gt;0,"Aclaramos el cero. ","")&amp;IF(R215&gt;0,"Comprobamos el texto. ","")&amp;IF(S215&gt;0,"Revisamos decimales visibles. ","")&amp;IF(T215&gt;0,"Confirmamos la unidad.","")),"Hay una entrada con error. Corregimos el dato antes de cerrar la comprobación.")</f>
      </c>
      <c r="N215" s="29" t="n">
        <f>IF(COUNTA('DATOS'!B215:O215)&gt;0,1,0)</f>
        <v>0</v>
      </c>
      <c r="O215" s="29">
        <f>IFERROR(IF(N215=0,"",IF(OR(NOT(AND(LEN(TRIM('DATOS'!B215&amp;""))&gt;0,TRIM('DATOS'!B215&amp;"")&lt;&gt;"Pendiente",TRIM('DATOS'!B215&amp;"")&lt;&gt;"Por confirmar",TRIM('DATOS'!B215&amp;"")&lt;&gt;"No consta",TRIM('DATOS'!B215&amp;"")&lt;&gt;"Desconocido",TRIM('DATOS'!B215&amp;"")&lt;&gt;"Sin confirmar",TRIM('DATOS'!B215&amp;"")&lt;&gt;"Por decidir",TRIM('DATOS'!B215&amp;"")&lt;&gt;"Por comprobar")),NOT(AND(LEN(TRIM('DATOS'!C215&amp;""))&gt;0,TRIM('DATOS'!C215&amp;"")&lt;&gt;"Pendiente",TRIM('DATOS'!C215&amp;"")&lt;&gt;"Por confirmar",TRIM('DATOS'!C215&amp;"")&lt;&gt;"No consta",TRIM('DATOS'!C215&amp;"")&lt;&gt;"Desconocido",TRIM('DATOS'!C215&amp;"")&lt;&gt;"Sin confirmar",TRIM('DATOS'!C215&amp;"")&lt;&gt;"Por decidir",TRIM('DATOS'!C215&amp;"")&lt;&gt;"Por comprobar")),NOT(AND(LEN(TRIM('DATOS'!D215&amp;""))&gt;0,TRIM('DATOS'!D215&amp;"")&lt;&gt;"Pendiente",TRIM('DATOS'!D215&amp;"")&lt;&gt;"Por confirmar",TRIM('DATOS'!D215&amp;"")&lt;&gt;"No consta",TRIM('DATOS'!D215&amp;"")&lt;&gt;"Desconocido",TRIM('DATOS'!D215&amp;"")&lt;&gt;"Sin confirmar",TRIM('DATOS'!D215&amp;"")&lt;&gt;"Por decidir",TRIM('DATOS'!D215&amp;"")&lt;&gt;"Por comprobar")),NOT(AND(LEN(TRIM('DATOS'!E215&amp;""))&gt;0,TRIM('DATOS'!E215&amp;"")&lt;&gt;"Pendiente",TRIM('DATOS'!E215&amp;"")&lt;&gt;"Por confirmar",TRIM('DATOS'!E215&amp;"")&lt;&gt;"No consta",TRIM('DATOS'!E215&amp;"")&lt;&gt;"Desconocido",TRIM('DATOS'!E215&amp;"")&lt;&gt;"Sin confirmar",TRIM('DATOS'!E215&amp;"")&lt;&gt;"Por decidir",TRIM('DATOS'!E215&amp;"")&lt;&gt;"Por comprobar")),NOT(AND(LEN(TRIM('DATOS'!F215&amp;""))&gt;0,TRIM('DATOS'!F215&amp;"")&lt;&gt;"Pendiente",TRIM('DATOS'!F215&amp;"")&lt;&gt;"Por confirmar",TRIM('DATOS'!F215&amp;"")&lt;&gt;"No consta",TRIM('DATOS'!F215&amp;"")&lt;&gt;"Desconocido",TRIM('DATOS'!F215&amp;"")&lt;&gt;"Sin confirmar",TRIM('DATOS'!F215&amp;"")&lt;&gt;"Por decidir",TRIM('DATOS'!F215&amp;"")&lt;&gt;"Por comprobar")),NOT(AND(LEN(TRIM('DATOS'!N215&amp;""))&gt;0,TRIM('DATOS'!N215&amp;"")&lt;&gt;"Pendiente",TRIM('DATOS'!N215&amp;"")&lt;&gt;"Por confirmar",TRIM('DATOS'!N215&amp;"")&lt;&gt;"No consta",TRIM('DATOS'!N215&amp;"")&lt;&gt;"Desconocido",TRIM('DATOS'!N215&amp;"")&lt;&gt;"Sin confirmar",TRIM('DATOS'!N215&amp;"")&lt;&gt;"Por decidir",TRIM('DATOS'!N215&amp;"")&lt;&gt;"Por comprobar")),NOT(Y215=1),W215&lt;&gt;1,X215&gt;1,NOT(OR(LEN(TRIM('DATOS'!K215&amp;""))=0,'DATOS'!K215="Sin valorar",'DATOS'!K215="Sin coste documentado",'DATOS'!K215="Incluido en otra partida",'DATOS'!K215="Por confirmar")),NOT(OR(LEN(TRIM('DATOS'!M215&amp;""))=0,'DATOS'!M215="Sí",'DATOS'!M215="No",'DATOS'!M215="Por confirmar")),NOT(OR(LEN(TRIM('DATOS'!O215&amp;""))=0,'DATOS'!O215="Comparamos",'DATOS'!O215="No existe",'DATOS'!O215="Por confirmar"))),2,IF(AND(OR('DATOS'!G215&lt;0,'DATOS'!H215&lt;0,'DATOS'!J215&lt;0),NOT(AND(LEN(TRIM('DATOS'!L215&amp;""))&gt;0,TRIM('DATOS'!L215&amp;"")&lt;&gt;"Pendiente",TRIM('DATOS'!L215&amp;"")&lt;&gt;"Por confirmar",TRIM('DATOS'!L215&amp;"")&lt;&gt;"No consta",TRIM('DATOS'!L215&amp;"")&lt;&gt;"Desconocido",TRIM('DATOS'!L215&amp;"")&lt;&gt;"Sin confirmar",TRIM('DATOS'!L215&amp;"")&lt;&gt;"Por decidir",TRIM('DATOS'!L215&amp;"")&lt;&gt;"Por comprobar"))),1,0))),2)</f>
      </c>
      <c r="P215" s="29">
        <f>IFERROR(IF(N215=0,"",IF(NOT(Y215=1),1,IF('REFERENCIAS'!$Q$8&lt;&gt;1,2,IF(ABS('DATOS'!J215-ROUND('DATOS'!G215*'DATOS'!H215,'REFERENCIAS'!$K$8))&gt;0.00000001,2,IF('DATOS'!O215="No existe",IF(LEN(TRIM('DATOS'!I215&amp;""))=0,0,2),IF('DATOS'!O215="Comparamos",IF(LEN(TRIM('DATOS'!I215&amp;""))=0,1,IF(ISNUMBER('DATOS'!I215),IF(ABS('DATOS'!H215-'DATOS'!I215)&gt;0.00000001,2,0),2)),1)))))),2)</f>
      </c>
      <c r="Q215" s="29">
        <f>IFERROR(IF(N215=0,"",IF(NOT(Y215=1),1,IF('DATOS'!K215="Sin valorar",2,IF('DATOS'!G215=0,1,IF(OR('DATOS'!H215=0,'DATOS'!J215=0),IF(AND(OR('DATOS'!K215="Sin coste documentado",'DATOS'!K215="Incluido en otra partida"),AND(LEN(TRIM('DATOS'!L215&amp;""))&gt;0,TRIM('DATOS'!L215&amp;"")&lt;&gt;"Pendiente",TRIM('DATOS'!L215&amp;"")&lt;&gt;"Por confirmar",TRIM('DATOS'!L215&amp;"")&lt;&gt;"No consta",TRIM('DATOS'!L215&amp;"")&lt;&gt;"Desconocido",TRIM('DATOS'!L215&amp;"")&lt;&gt;"Sin confirmar",TRIM('DATOS'!L215&amp;"")&lt;&gt;"Por decidir",TRIM('DATOS'!L215&amp;"")&lt;&gt;"Por comprobar")),0,1),0))))),2)</f>
      </c>
      <c r="R215" s="29">
        <f>IFERROR(IF(N215=0,"",IF(OR(NOT(AND(LEN(TRIM('DATOS'!D215&amp;""))&gt;0,TRIM('DATOS'!D215&amp;"")&lt;&gt;"Pendiente",TRIM('DATOS'!D215&amp;"")&lt;&gt;"Por confirmar",TRIM('DATOS'!D215&amp;"")&lt;&gt;"No consta",TRIM('DATOS'!D215&amp;"")&lt;&gt;"Desconocido",TRIM('DATOS'!D215&amp;"")&lt;&gt;"Sin confirmar",TRIM('DATOS'!D215&amp;"")&lt;&gt;"Por decidir",TRIM('DATOS'!D215&amp;"")&lt;&gt;"Por comprobar")),NOT(AND(LEN(TRIM('DATOS'!E215&amp;""))&gt;0,TRIM('DATOS'!E215&amp;"")&lt;&gt;"Pendiente",TRIM('DATOS'!E215&amp;"")&lt;&gt;"Por confirmar",TRIM('DATOS'!E215&amp;"")&lt;&gt;"No consta",TRIM('DATOS'!E215&amp;"")&lt;&gt;"Desconocido",TRIM('DATOS'!E215&amp;"")&lt;&gt;"Sin confirmar",TRIM('DATOS'!E215&amp;"")&lt;&gt;"Por decidir",TRIM('DATOS'!E215&amp;"")&lt;&gt;"Por comprobar"))),2,IF('DATOS'!M215="No",2,IF('DATOS'!M215="Sí",0,IF(OR('DATOS'!D215&lt;&gt;'DATOS'!E215,LEN('DATOS'!E215)&gt;300,RIGHT(TRIM('DATOS'!E215),3)="...",RIGHT(TRIM('DATOS'!E215),1)="…"),1,0))))),2)</f>
      </c>
      <c r="S215" s="29">
        <f>IFERROR(IF(N215=0,"",IF('REFERENCIAS'!$Q$8&lt;&gt;1,2,IF(NOT(Y215=1),1,IF(OR(ABS('DATOS'!G215-ROUND('DATOS'!G215,'REFERENCIAS'!$E$8))&gt;0.00000001,ABS('DATOS'!H215-ROUND('DATOS'!H215,'REFERENCIAS'!$H$8))&gt;0.00000001,ABS('DATOS'!J215-ROUND('DATOS'!J215,'REFERENCIAS'!$K$8))&gt;0.00000001,IF(ISNUMBER('DATOS'!I215),ABS('DATOS'!I215-ROUND('DATOS'!I215,'REFERENCIAS'!$H$8))&gt;0.00000001,FALSE)),1,0)))),2)</f>
      </c>
      <c r="T215" s="29">
        <f>IFERROR(IF(N215=0,"",IF(NOT(AND(LEN(TRIM('DATOS'!F215&amp;""))&gt;0,TRIM('DATOS'!F215&amp;"")&lt;&gt;"Pendiente",TRIM('DATOS'!F215&amp;"")&lt;&gt;"Por confirmar",TRIM('DATOS'!F215&amp;"")&lt;&gt;"No consta",TRIM('DATOS'!F215&amp;"")&lt;&gt;"Desconocido",TRIM('DATOS'!F215&amp;"")&lt;&gt;"Sin confirmar",TRIM('DATOS'!F215&amp;"")&lt;&gt;"Por decidir",TRIM('DATOS'!F215&amp;"")&lt;&gt;"Por comprobar")),2,IF(COUNTIFS('REFERENCIAS'!$T$15:$T$34,"ID:"&amp;SUBSTITUTE(SUBSTITUTE(SUBSTITUTE(SUBSTITUTE(UPPER(TRIM('DATOS'!F215&amp;"")),"!","!E"),"*","!A"),"?","!B"),"~","!C"),'REFERENCIAS'!$H$15:$H$34,"&lt;&gt;")&gt;0,0,1))),2)</f>
      </c>
      <c r="U215" s="29" t="str">
        <f>'DATOS'!R215</f>
        <v>ID:</v>
      </c>
      <c r="V215" s="29" t="str">
        <f>'DATOS'!S215</f>
        <v>ID:</v>
      </c>
      <c r="W215" s="29" t="n">
        <f>IF(N215=0,0,COUNTIFS('REFERENCIAS'!$R$15:$R$64,U215))</f>
        <v>0</v>
      </c>
      <c r="X215" s="29" t="n">
        <f>IF(N215=0,0,COUNTIFS('DATOS'!$R$10:$R$509,U215,'DATOS'!$S$10:$S$509,V215))</f>
        <v>0</v>
      </c>
      <c r="Y215" s="29" t="n">
        <f>IF(AND(ISNUMBER('DATOS'!G215),ISNUMBER('DATOS'!H215),ISNUMBER('DATOS'!J215)),1,0)</f>
        <v>0</v>
      </c>
    </row>
    <row r="216" ht="64" customHeight="1">
      <c r="B216" s="26">
        <f>IF(N216=1,207,"")</f>
      </c>
      <c r="C216" s="26">
        <f>IF(AND(N216=1,LEN(TRIM('DATOS'!B216&amp;""))&gt;0),'DATOS'!B216,"")</f>
      </c>
      <c r="D216" s="26">
        <f>IF(AND(N216=1,LEN(TRIM('DATOS'!C216&amp;""))&gt;0),'DATOS'!C216,"")</f>
      </c>
      <c r="E216" s="26">
        <f>IF(NOT(ISNUMBER(P216)),"",IF(P216=2,"ROJO",IF(P216=1,"ÁMBAR","VERDE")))</f>
      </c>
      <c r="F216" s="26">
        <f>IF(NOT(ISNUMBER(Q216)),"",IF(Q216=2,"ROJO",IF(Q216=1,"ÁMBAR","VERDE")))</f>
      </c>
      <c r="G216" s="26">
        <f>IF(NOT(ISNUMBER(R216)),"",IF(R216=2,"ROJO",IF(R216=1,"ÁMBAR","VERDE")))</f>
      </c>
      <c r="H216" s="26">
        <f>IF(NOT(ISNUMBER(S216)),"",IF(S216=2,"ROJO",IF(S216=1,"ÁMBAR","VERDE")))</f>
      </c>
      <c r="I216" s="26">
        <f>IF(NOT(ISNUMBER(T216)),"",IF(T216=2,"ROJO",IF(T216=1,"ÁMBAR","VERDE")))</f>
      </c>
      <c r="J216" s="26">
        <f>IF(NOT(ISNUMBER(O216)),"",IF(O216=2,"ROJO",IF(O216=1,"ÁMBAR","VERDE")))</f>
      </c>
      <c r="K216" s="26">
        <f>IFERROR(IF(AND(N216=1,LEN(TRIM('DATOS'!N216&amp;""))&gt;0),'DATOS'!N216,""),"Hay una entrada con error. Corregimos el dato antes de cerrar la comprobación.")</f>
      </c>
      <c r="L216" s="26">
        <f>IFERROR(IF(N216=0,"",IF(O216&gt;0,"Completamos datos, claves o motivo. ","")&amp;IF(P216&gt;0,"Cotejamos precios e importe. ","")&amp;IF(Q216&gt;0,"Aclaramos el cero. ","")&amp;IF(R216&gt;0,"Comprobamos el texto. ","")&amp;IF(S216&gt;0,"Revisamos decimales visibles. ","")&amp;IF(T216&gt;0,"Confirmamos la unidad.","")),"Hay una entrada con error. Corregimos el dato antes de cerrar la comprobación.")</f>
      </c>
      <c r="N216" s="29" t="n">
        <f>IF(COUNTA('DATOS'!B216:O216)&gt;0,1,0)</f>
        <v>0</v>
      </c>
      <c r="O216" s="29">
        <f>IFERROR(IF(N216=0,"",IF(OR(NOT(AND(LEN(TRIM('DATOS'!B216&amp;""))&gt;0,TRIM('DATOS'!B216&amp;"")&lt;&gt;"Pendiente",TRIM('DATOS'!B216&amp;"")&lt;&gt;"Por confirmar",TRIM('DATOS'!B216&amp;"")&lt;&gt;"No consta",TRIM('DATOS'!B216&amp;"")&lt;&gt;"Desconocido",TRIM('DATOS'!B216&amp;"")&lt;&gt;"Sin confirmar",TRIM('DATOS'!B216&amp;"")&lt;&gt;"Por decidir",TRIM('DATOS'!B216&amp;"")&lt;&gt;"Por comprobar")),NOT(AND(LEN(TRIM('DATOS'!C216&amp;""))&gt;0,TRIM('DATOS'!C216&amp;"")&lt;&gt;"Pendiente",TRIM('DATOS'!C216&amp;"")&lt;&gt;"Por confirmar",TRIM('DATOS'!C216&amp;"")&lt;&gt;"No consta",TRIM('DATOS'!C216&amp;"")&lt;&gt;"Desconocido",TRIM('DATOS'!C216&amp;"")&lt;&gt;"Sin confirmar",TRIM('DATOS'!C216&amp;"")&lt;&gt;"Por decidir",TRIM('DATOS'!C216&amp;"")&lt;&gt;"Por comprobar")),NOT(AND(LEN(TRIM('DATOS'!D216&amp;""))&gt;0,TRIM('DATOS'!D216&amp;"")&lt;&gt;"Pendiente",TRIM('DATOS'!D216&amp;"")&lt;&gt;"Por confirmar",TRIM('DATOS'!D216&amp;"")&lt;&gt;"No consta",TRIM('DATOS'!D216&amp;"")&lt;&gt;"Desconocido",TRIM('DATOS'!D216&amp;"")&lt;&gt;"Sin confirmar",TRIM('DATOS'!D216&amp;"")&lt;&gt;"Por decidir",TRIM('DATOS'!D216&amp;"")&lt;&gt;"Por comprobar")),NOT(AND(LEN(TRIM('DATOS'!E216&amp;""))&gt;0,TRIM('DATOS'!E216&amp;"")&lt;&gt;"Pendiente",TRIM('DATOS'!E216&amp;"")&lt;&gt;"Por confirmar",TRIM('DATOS'!E216&amp;"")&lt;&gt;"No consta",TRIM('DATOS'!E216&amp;"")&lt;&gt;"Desconocido",TRIM('DATOS'!E216&amp;"")&lt;&gt;"Sin confirmar",TRIM('DATOS'!E216&amp;"")&lt;&gt;"Por decidir",TRIM('DATOS'!E216&amp;"")&lt;&gt;"Por comprobar")),NOT(AND(LEN(TRIM('DATOS'!F216&amp;""))&gt;0,TRIM('DATOS'!F216&amp;"")&lt;&gt;"Pendiente",TRIM('DATOS'!F216&amp;"")&lt;&gt;"Por confirmar",TRIM('DATOS'!F216&amp;"")&lt;&gt;"No consta",TRIM('DATOS'!F216&amp;"")&lt;&gt;"Desconocido",TRIM('DATOS'!F216&amp;"")&lt;&gt;"Sin confirmar",TRIM('DATOS'!F216&amp;"")&lt;&gt;"Por decidir",TRIM('DATOS'!F216&amp;"")&lt;&gt;"Por comprobar")),NOT(AND(LEN(TRIM('DATOS'!N216&amp;""))&gt;0,TRIM('DATOS'!N216&amp;"")&lt;&gt;"Pendiente",TRIM('DATOS'!N216&amp;"")&lt;&gt;"Por confirmar",TRIM('DATOS'!N216&amp;"")&lt;&gt;"No consta",TRIM('DATOS'!N216&amp;"")&lt;&gt;"Desconocido",TRIM('DATOS'!N216&amp;"")&lt;&gt;"Sin confirmar",TRIM('DATOS'!N216&amp;"")&lt;&gt;"Por decidir",TRIM('DATOS'!N216&amp;"")&lt;&gt;"Por comprobar")),NOT(Y216=1),W216&lt;&gt;1,X216&gt;1,NOT(OR(LEN(TRIM('DATOS'!K216&amp;""))=0,'DATOS'!K216="Sin valorar",'DATOS'!K216="Sin coste documentado",'DATOS'!K216="Incluido en otra partida",'DATOS'!K216="Por confirmar")),NOT(OR(LEN(TRIM('DATOS'!M216&amp;""))=0,'DATOS'!M216="Sí",'DATOS'!M216="No",'DATOS'!M216="Por confirmar")),NOT(OR(LEN(TRIM('DATOS'!O216&amp;""))=0,'DATOS'!O216="Comparamos",'DATOS'!O216="No existe",'DATOS'!O216="Por confirmar"))),2,IF(AND(OR('DATOS'!G216&lt;0,'DATOS'!H216&lt;0,'DATOS'!J216&lt;0),NOT(AND(LEN(TRIM('DATOS'!L216&amp;""))&gt;0,TRIM('DATOS'!L216&amp;"")&lt;&gt;"Pendiente",TRIM('DATOS'!L216&amp;"")&lt;&gt;"Por confirmar",TRIM('DATOS'!L216&amp;"")&lt;&gt;"No consta",TRIM('DATOS'!L216&amp;"")&lt;&gt;"Desconocido",TRIM('DATOS'!L216&amp;"")&lt;&gt;"Sin confirmar",TRIM('DATOS'!L216&amp;"")&lt;&gt;"Por decidir",TRIM('DATOS'!L216&amp;"")&lt;&gt;"Por comprobar"))),1,0))),2)</f>
      </c>
      <c r="P216" s="29">
        <f>IFERROR(IF(N216=0,"",IF(NOT(Y216=1),1,IF('REFERENCIAS'!$Q$8&lt;&gt;1,2,IF(ABS('DATOS'!J216-ROUND('DATOS'!G216*'DATOS'!H216,'REFERENCIAS'!$K$8))&gt;0.00000001,2,IF('DATOS'!O216="No existe",IF(LEN(TRIM('DATOS'!I216&amp;""))=0,0,2),IF('DATOS'!O216="Comparamos",IF(LEN(TRIM('DATOS'!I216&amp;""))=0,1,IF(ISNUMBER('DATOS'!I216),IF(ABS('DATOS'!H216-'DATOS'!I216)&gt;0.00000001,2,0),2)),1)))))),2)</f>
      </c>
      <c r="Q216" s="29">
        <f>IFERROR(IF(N216=0,"",IF(NOT(Y216=1),1,IF('DATOS'!K216="Sin valorar",2,IF('DATOS'!G216=0,1,IF(OR('DATOS'!H216=0,'DATOS'!J216=0),IF(AND(OR('DATOS'!K216="Sin coste documentado",'DATOS'!K216="Incluido en otra partida"),AND(LEN(TRIM('DATOS'!L216&amp;""))&gt;0,TRIM('DATOS'!L216&amp;"")&lt;&gt;"Pendiente",TRIM('DATOS'!L216&amp;"")&lt;&gt;"Por confirmar",TRIM('DATOS'!L216&amp;"")&lt;&gt;"No consta",TRIM('DATOS'!L216&amp;"")&lt;&gt;"Desconocido",TRIM('DATOS'!L216&amp;"")&lt;&gt;"Sin confirmar",TRIM('DATOS'!L216&amp;"")&lt;&gt;"Por decidir",TRIM('DATOS'!L216&amp;"")&lt;&gt;"Por comprobar")),0,1),0))))),2)</f>
      </c>
      <c r="R216" s="29">
        <f>IFERROR(IF(N216=0,"",IF(OR(NOT(AND(LEN(TRIM('DATOS'!D216&amp;""))&gt;0,TRIM('DATOS'!D216&amp;"")&lt;&gt;"Pendiente",TRIM('DATOS'!D216&amp;"")&lt;&gt;"Por confirmar",TRIM('DATOS'!D216&amp;"")&lt;&gt;"No consta",TRIM('DATOS'!D216&amp;"")&lt;&gt;"Desconocido",TRIM('DATOS'!D216&amp;"")&lt;&gt;"Sin confirmar",TRIM('DATOS'!D216&amp;"")&lt;&gt;"Por decidir",TRIM('DATOS'!D216&amp;"")&lt;&gt;"Por comprobar")),NOT(AND(LEN(TRIM('DATOS'!E216&amp;""))&gt;0,TRIM('DATOS'!E216&amp;"")&lt;&gt;"Pendiente",TRIM('DATOS'!E216&amp;"")&lt;&gt;"Por confirmar",TRIM('DATOS'!E216&amp;"")&lt;&gt;"No consta",TRIM('DATOS'!E216&amp;"")&lt;&gt;"Desconocido",TRIM('DATOS'!E216&amp;"")&lt;&gt;"Sin confirmar",TRIM('DATOS'!E216&amp;"")&lt;&gt;"Por decidir",TRIM('DATOS'!E216&amp;"")&lt;&gt;"Por comprobar"))),2,IF('DATOS'!M216="No",2,IF('DATOS'!M216="Sí",0,IF(OR('DATOS'!D216&lt;&gt;'DATOS'!E216,LEN('DATOS'!E216)&gt;300,RIGHT(TRIM('DATOS'!E216),3)="...",RIGHT(TRIM('DATOS'!E216),1)="…"),1,0))))),2)</f>
      </c>
      <c r="S216" s="29">
        <f>IFERROR(IF(N216=0,"",IF('REFERENCIAS'!$Q$8&lt;&gt;1,2,IF(NOT(Y216=1),1,IF(OR(ABS('DATOS'!G216-ROUND('DATOS'!G216,'REFERENCIAS'!$E$8))&gt;0.00000001,ABS('DATOS'!H216-ROUND('DATOS'!H216,'REFERENCIAS'!$H$8))&gt;0.00000001,ABS('DATOS'!J216-ROUND('DATOS'!J216,'REFERENCIAS'!$K$8))&gt;0.00000001,IF(ISNUMBER('DATOS'!I216),ABS('DATOS'!I216-ROUND('DATOS'!I216,'REFERENCIAS'!$H$8))&gt;0.00000001,FALSE)),1,0)))),2)</f>
      </c>
      <c r="T216" s="29">
        <f>IFERROR(IF(N216=0,"",IF(NOT(AND(LEN(TRIM('DATOS'!F216&amp;""))&gt;0,TRIM('DATOS'!F216&amp;"")&lt;&gt;"Pendiente",TRIM('DATOS'!F216&amp;"")&lt;&gt;"Por confirmar",TRIM('DATOS'!F216&amp;"")&lt;&gt;"No consta",TRIM('DATOS'!F216&amp;"")&lt;&gt;"Desconocido",TRIM('DATOS'!F216&amp;"")&lt;&gt;"Sin confirmar",TRIM('DATOS'!F216&amp;"")&lt;&gt;"Por decidir",TRIM('DATOS'!F216&amp;"")&lt;&gt;"Por comprobar")),2,IF(COUNTIFS('REFERENCIAS'!$T$15:$T$34,"ID:"&amp;SUBSTITUTE(SUBSTITUTE(SUBSTITUTE(SUBSTITUTE(UPPER(TRIM('DATOS'!F216&amp;"")),"!","!E"),"*","!A"),"?","!B"),"~","!C"),'REFERENCIAS'!$H$15:$H$34,"&lt;&gt;")&gt;0,0,1))),2)</f>
      </c>
      <c r="U216" s="29" t="str">
        <f>'DATOS'!R216</f>
        <v>ID:</v>
      </c>
      <c r="V216" s="29" t="str">
        <f>'DATOS'!S216</f>
        <v>ID:</v>
      </c>
      <c r="W216" s="29" t="n">
        <f>IF(N216=0,0,COUNTIFS('REFERENCIAS'!$R$15:$R$64,U216))</f>
        <v>0</v>
      </c>
      <c r="X216" s="29" t="n">
        <f>IF(N216=0,0,COUNTIFS('DATOS'!$R$10:$R$509,U216,'DATOS'!$S$10:$S$509,V216))</f>
        <v>0</v>
      </c>
      <c r="Y216" s="29" t="n">
        <f>IF(AND(ISNUMBER('DATOS'!G216),ISNUMBER('DATOS'!H216),ISNUMBER('DATOS'!J216)),1,0)</f>
        <v>0</v>
      </c>
    </row>
    <row r="217" ht="64" customHeight="1">
      <c r="B217" s="26">
        <f>IF(N217=1,208,"")</f>
      </c>
      <c r="C217" s="26">
        <f>IF(AND(N217=1,LEN(TRIM('DATOS'!B217&amp;""))&gt;0),'DATOS'!B217,"")</f>
      </c>
      <c r="D217" s="26">
        <f>IF(AND(N217=1,LEN(TRIM('DATOS'!C217&amp;""))&gt;0),'DATOS'!C217,"")</f>
      </c>
      <c r="E217" s="26">
        <f>IF(NOT(ISNUMBER(P217)),"",IF(P217=2,"ROJO",IF(P217=1,"ÁMBAR","VERDE")))</f>
      </c>
      <c r="F217" s="26">
        <f>IF(NOT(ISNUMBER(Q217)),"",IF(Q217=2,"ROJO",IF(Q217=1,"ÁMBAR","VERDE")))</f>
      </c>
      <c r="G217" s="26">
        <f>IF(NOT(ISNUMBER(R217)),"",IF(R217=2,"ROJO",IF(R217=1,"ÁMBAR","VERDE")))</f>
      </c>
      <c r="H217" s="26">
        <f>IF(NOT(ISNUMBER(S217)),"",IF(S217=2,"ROJO",IF(S217=1,"ÁMBAR","VERDE")))</f>
      </c>
      <c r="I217" s="26">
        <f>IF(NOT(ISNUMBER(T217)),"",IF(T217=2,"ROJO",IF(T217=1,"ÁMBAR","VERDE")))</f>
      </c>
      <c r="J217" s="26">
        <f>IF(NOT(ISNUMBER(O217)),"",IF(O217=2,"ROJO",IF(O217=1,"ÁMBAR","VERDE")))</f>
      </c>
      <c r="K217" s="26">
        <f>IFERROR(IF(AND(N217=1,LEN(TRIM('DATOS'!N217&amp;""))&gt;0),'DATOS'!N217,""),"Hay una entrada con error. Corregimos el dato antes de cerrar la comprobación.")</f>
      </c>
      <c r="L217" s="26">
        <f>IFERROR(IF(N217=0,"",IF(O217&gt;0,"Completamos datos, claves o motivo. ","")&amp;IF(P217&gt;0,"Cotejamos precios e importe. ","")&amp;IF(Q217&gt;0,"Aclaramos el cero. ","")&amp;IF(R217&gt;0,"Comprobamos el texto. ","")&amp;IF(S217&gt;0,"Revisamos decimales visibles. ","")&amp;IF(T217&gt;0,"Confirmamos la unidad.","")),"Hay una entrada con error. Corregimos el dato antes de cerrar la comprobación.")</f>
      </c>
      <c r="N217" s="29" t="n">
        <f>IF(COUNTA('DATOS'!B217:O217)&gt;0,1,0)</f>
        <v>0</v>
      </c>
      <c r="O217" s="29">
        <f>IFERROR(IF(N217=0,"",IF(OR(NOT(AND(LEN(TRIM('DATOS'!B217&amp;""))&gt;0,TRIM('DATOS'!B217&amp;"")&lt;&gt;"Pendiente",TRIM('DATOS'!B217&amp;"")&lt;&gt;"Por confirmar",TRIM('DATOS'!B217&amp;"")&lt;&gt;"No consta",TRIM('DATOS'!B217&amp;"")&lt;&gt;"Desconocido",TRIM('DATOS'!B217&amp;"")&lt;&gt;"Sin confirmar",TRIM('DATOS'!B217&amp;"")&lt;&gt;"Por decidir",TRIM('DATOS'!B217&amp;"")&lt;&gt;"Por comprobar")),NOT(AND(LEN(TRIM('DATOS'!C217&amp;""))&gt;0,TRIM('DATOS'!C217&amp;"")&lt;&gt;"Pendiente",TRIM('DATOS'!C217&amp;"")&lt;&gt;"Por confirmar",TRIM('DATOS'!C217&amp;"")&lt;&gt;"No consta",TRIM('DATOS'!C217&amp;"")&lt;&gt;"Desconocido",TRIM('DATOS'!C217&amp;"")&lt;&gt;"Sin confirmar",TRIM('DATOS'!C217&amp;"")&lt;&gt;"Por decidir",TRIM('DATOS'!C217&amp;"")&lt;&gt;"Por comprobar")),NOT(AND(LEN(TRIM('DATOS'!D217&amp;""))&gt;0,TRIM('DATOS'!D217&amp;"")&lt;&gt;"Pendiente",TRIM('DATOS'!D217&amp;"")&lt;&gt;"Por confirmar",TRIM('DATOS'!D217&amp;"")&lt;&gt;"No consta",TRIM('DATOS'!D217&amp;"")&lt;&gt;"Desconocido",TRIM('DATOS'!D217&amp;"")&lt;&gt;"Sin confirmar",TRIM('DATOS'!D217&amp;"")&lt;&gt;"Por decidir",TRIM('DATOS'!D217&amp;"")&lt;&gt;"Por comprobar")),NOT(AND(LEN(TRIM('DATOS'!E217&amp;""))&gt;0,TRIM('DATOS'!E217&amp;"")&lt;&gt;"Pendiente",TRIM('DATOS'!E217&amp;"")&lt;&gt;"Por confirmar",TRIM('DATOS'!E217&amp;"")&lt;&gt;"No consta",TRIM('DATOS'!E217&amp;"")&lt;&gt;"Desconocido",TRIM('DATOS'!E217&amp;"")&lt;&gt;"Sin confirmar",TRIM('DATOS'!E217&amp;"")&lt;&gt;"Por decidir",TRIM('DATOS'!E217&amp;"")&lt;&gt;"Por comprobar")),NOT(AND(LEN(TRIM('DATOS'!F217&amp;""))&gt;0,TRIM('DATOS'!F217&amp;"")&lt;&gt;"Pendiente",TRIM('DATOS'!F217&amp;"")&lt;&gt;"Por confirmar",TRIM('DATOS'!F217&amp;"")&lt;&gt;"No consta",TRIM('DATOS'!F217&amp;"")&lt;&gt;"Desconocido",TRIM('DATOS'!F217&amp;"")&lt;&gt;"Sin confirmar",TRIM('DATOS'!F217&amp;"")&lt;&gt;"Por decidir",TRIM('DATOS'!F217&amp;"")&lt;&gt;"Por comprobar")),NOT(AND(LEN(TRIM('DATOS'!N217&amp;""))&gt;0,TRIM('DATOS'!N217&amp;"")&lt;&gt;"Pendiente",TRIM('DATOS'!N217&amp;"")&lt;&gt;"Por confirmar",TRIM('DATOS'!N217&amp;"")&lt;&gt;"No consta",TRIM('DATOS'!N217&amp;"")&lt;&gt;"Desconocido",TRIM('DATOS'!N217&amp;"")&lt;&gt;"Sin confirmar",TRIM('DATOS'!N217&amp;"")&lt;&gt;"Por decidir",TRIM('DATOS'!N217&amp;"")&lt;&gt;"Por comprobar")),NOT(Y217=1),W217&lt;&gt;1,X217&gt;1,NOT(OR(LEN(TRIM('DATOS'!K217&amp;""))=0,'DATOS'!K217="Sin valorar",'DATOS'!K217="Sin coste documentado",'DATOS'!K217="Incluido en otra partida",'DATOS'!K217="Por confirmar")),NOT(OR(LEN(TRIM('DATOS'!M217&amp;""))=0,'DATOS'!M217="Sí",'DATOS'!M217="No",'DATOS'!M217="Por confirmar")),NOT(OR(LEN(TRIM('DATOS'!O217&amp;""))=0,'DATOS'!O217="Comparamos",'DATOS'!O217="No existe",'DATOS'!O217="Por confirmar"))),2,IF(AND(OR('DATOS'!G217&lt;0,'DATOS'!H217&lt;0,'DATOS'!J217&lt;0),NOT(AND(LEN(TRIM('DATOS'!L217&amp;""))&gt;0,TRIM('DATOS'!L217&amp;"")&lt;&gt;"Pendiente",TRIM('DATOS'!L217&amp;"")&lt;&gt;"Por confirmar",TRIM('DATOS'!L217&amp;"")&lt;&gt;"No consta",TRIM('DATOS'!L217&amp;"")&lt;&gt;"Desconocido",TRIM('DATOS'!L217&amp;"")&lt;&gt;"Sin confirmar",TRIM('DATOS'!L217&amp;"")&lt;&gt;"Por decidir",TRIM('DATOS'!L217&amp;"")&lt;&gt;"Por comprobar"))),1,0))),2)</f>
      </c>
      <c r="P217" s="29">
        <f>IFERROR(IF(N217=0,"",IF(NOT(Y217=1),1,IF('REFERENCIAS'!$Q$8&lt;&gt;1,2,IF(ABS('DATOS'!J217-ROUND('DATOS'!G217*'DATOS'!H217,'REFERENCIAS'!$K$8))&gt;0.00000001,2,IF('DATOS'!O217="No existe",IF(LEN(TRIM('DATOS'!I217&amp;""))=0,0,2),IF('DATOS'!O217="Comparamos",IF(LEN(TRIM('DATOS'!I217&amp;""))=0,1,IF(ISNUMBER('DATOS'!I217),IF(ABS('DATOS'!H217-'DATOS'!I217)&gt;0.00000001,2,0),2)),1)))))),2)</f>
      </c>
      <c r="Q217" s="29">
        <f>IFERROR(IF(N217=0,"",IF(NOT(Y217=1),1,IF('DATOS'!K217="Sin valorar",2,IF('DATOS'!G217=0,1,IF(OR('DATOS'!H217=0,'DATOS'!J217=0),IF(AND(OR('DATOS'!K217="Sin coste documentado",'DATOS'!K217="Incluido en otra partida"),AND(LEN(TRIM('DATOS'!L217&amp;""))&gt;0,TRIM('DATOS'!L217&amp;"")&lt;&gt;"Pendiente",TRIM('DATOS'!L217&amp;"")&lt;&gt;"Por confirmar",TRIM('DATOS'!L217&amp;"")&lt;&gt;"No consta",TRIM('DATOS'!L217&amp;"")&lt;&gt;"Desconocido",TRIM('DATOS'!L217&amp;"")&lt;&gt;"Sin confirmar",TRIM('DATOS'!L217&amp;"")&lt;&gt;"Por decidir",TRIM('DATOS'!L217&amp;"")&lt;&gt;"Por comprobar")),0,1),0))))),2)</f>
      </c>
      <c r="R217" s="29">
        <f>IFERROR(IF(N217=0,"",IF(OR(NOT(AND(LEN(TRIM('DATOS'!D217&amp;""))&gt;0,TRIM('DATOS'!D217&amp;"")&lt;&gt;"Pendiente",TRIM('DATOS'!D217&amp;"")&lt;&gt;"Por confirmar",TRIM('DATOS'!D217&amp;"")&lt;&gt;"No consta",TRIM('DATOS'!D217&amp;"")&lt;&gt;"Desconocido",TRIM('DATOS'!D217&amp;"")&lt;&gt;"Sin confirmar",TRIM('DATOS'!D217&amp;"")&lt;&gt;"Por decidir",TRIM('DATOS'!D217&amp;"")&lt;&gt;"Por comprobar")),NOT(AND(LEN(TRIM('DATOS'!E217&amp;""))&gt;0,TRIM('DATOS'!E217&amp;"")&lt;&gt;"Pendiente",TRIM('DATOS'!E217&amp;"")&lt;&gt;"Por confirmar",TRIM('DATOS'!E217&amp;"")&lt;&gt;"No consta",TRIM('DATOS'!E217&amp;"")&lt;&gt;"Desconocido",TRIM('DATOS'!E217&amp;"")&lt;&gt;"Sin confirmar",TRIM('DATOS'!E217&amp;"")&lt;&gt;"Por decidir",TRIM('DATOS'!E217&amp;"")&lt;&gt;"Por comprobar"))),2,IF('DATOS'!M217="No",2,IF('DATOS'!M217="Sí",0,IF(OR('DATOS'!D217&lt;&gt;'DATOS'!E217,LEN('DATOS'!E217)&gt;300,RIGHT(TRIM('DATOS'!E217),3)="...",RIGHT(TRIM('DATOS'!E217),1)="…"),1,0))))),2)</f>
      </c>
      <c r="S217" s="29">
        <f>IFERROR(IF(N217=0,"",IF('REFERENCIAS'!$Q$8&lt;&gt;1,2,IF(NOT(Y217=1),1,IF(OR(ABS('DATOS'!G217-ROUND('DATOS'!G217,'REFERENCIAS'!$E$8))&gt;0.00000001,ABS('DATOS'!H217-ROUND('DATOS'!H217,'REFERENCIAS'!$H$8))&gt;0.00000001,ABS('DATOS'!J217-ROUND('DATOS'!J217,'REFERENCIAS'!$K$8))&gt;0.00000001,IF(ISNUMBER('DATOS'!I217),ABS('DATOS'!I217-ROUND('DATOS'!I217,'REFERENCIAS'!$H$8))&gt;0.00000001,FALSE)),1,0)))),2)</f>
      </c>
      <c r="T217" s="29">
        <f>IFERROR(IF(N217=0,"",IF(NOT(AND(LEN(TRIM('DATOS'!F217&amp;""))&gt;0,TRIM('DATOS'!F217&amp;"")&lt;&gt;"Pendiente",TRIM('DATOS'!F217&amp;"")&lt;&gt;"Por confirmar",TRIM('DATOS'!F217&amp;"")&lt;&gt;"No consta",TRIM('DATOS'!F217&amp;"")&lt;&gt;"Desconocido",TRIM('DATOS'!F217&amp;"")&lt;&gt;"Sin confirmar",TRIM('DATOS'!F217&amp;"")&lt;&gt;"Por decidir",TRIM('DATOS'!F217&amp;"")&lt;&gt;"Por comprobar")),2,IF(COUNTIFS('REFERENCIAS'!$T$15:$T$34,"ID:"&amp;SUBSTITUTE(SUBSTITUTE(SUBSTITUTE(SUBSTITUTE(UPPER(TRIM('DATOS'!F217&amp;"")),"!","!E"),"*","!A"),"?","!B"),"~","!C"),'REFERENCIAS'!$H$15:$H$34,"&lt;&gt;")&gt;0,0,1))),2)</f>
      </c>
      <c r="U217" s="29" t="str">
        <f>'DATOS'!R217</f>
        <v>ID:</v>
      </c>
      <c r="V217" s="29" t="str">
        <f>'DATOS'!S217</f>
        <v>ID:</v>
      </c>
      <c r="W217" s="29" t="n">
        <f>IF(N217=0,0,COUNTIFS('REFERENCIAS'!$R$15:$R$64,U217))</f>
        <v>0</v>
      </c>
      <c r="X217" s="29" t="n">
        <f>IF(N217=0,0,COUNTIFS('DATOS'!$R$10:$R$509,U217,'DATOS'!$S$10:$S$509,V217))</f>
        <v>0</v>
      </c>
      <c r="Y217" s="29" t="n">
        <f>IF(AND(ISNUMBER('DATOS'!G217),ISNUMBER('DATOS'!H217),ISNUMBER('DATOS'!J217)),1,0)</f>
        <v>0</v>
      </c>
    </row>
    <row r="218" ht="64" customHeight="1">
      <c r="B218" s="26">
        <f>IF(N218=1,209,"")</f>
      </c>
      <c r="C218" s="26">
        <f>IF(AND(N218=1,LEN(TRIM('DATOS'!B218&amp;""))&gt;0),'DATOS'!B218,"")</f>
      </c>
      <c r="D218" s="26">
        <f>IF(AND(N218=1,LEN(TRIM('DATOS'!C218&amp;""))&gt;0),'DATOS'!C218,"")</f>
      </c>
      <c r="E218" s="26">
        <f>IF(NOT(ISNUMBER(P218)),"",IF(P218=2,"ROJO",IF(P218=1,"ÁMBAR","VERDE")))</f>
      </c>
      <c r="F218" s="26">
        <f>IF(NOT(ISNUMBER(Q218)),"",IF(Q218=2,"ROJO",IF(Q218=1,"ÁMBAR","VERDE")))</f>
      </c>
      <c r="G218" s="26">
        <f>IF(NOT(ISNUMBER(R218)),"",IF(R218=2,"ROJO",IF(R218=1,"ÁMBAR","VERDE")))</f>
      </c>
      <c r="H218" s="26">
        <f>IF(NOT(ISNUMBER(S218)),"",IF(S218=2,"ROJO",IF(S218=1,"ÁMBAR","VERDE")))</f>
      </c>
      <c r="I218" s="26">
        <f>IF(NOT(ISNUMBER(T218)),"",IF(T218=2,"ROJO",IF(T218=1,"ÁMBAR","VERDE")))</f>
      </c>
      <c r="J218" s="26">
        <f>IF(NOT(ISNUMBER(O218)),"",IF(O218=2,"ROJO",IF(O218=1,"ÁMBAR","VERDE")))</f>
      </c>
      <c r="K218" s="26">
        <f>IFERROR(IF(AND(N218=1,LEN(TRIM('DATOS'!N218&amp;""))&gt;0),'DATOS'!N218,""),"Hay una entrada con error. Corregimos el dato antes de cerrar la comprobación.")</f>
      </c>
      <c r="L218" s="26">
        <f>IFERROR(IF(N218=0,"",IF(O218&gt;0,"Completamos datos, claves o motivo. ","")&amp;IF(P218&gt;0,"Cotejamos precios e importe. ","")&amp;IF(Q218&gt;0,"Aclaramos el cero. ","")&amp;IF(R218&gt;0,"Comprobamos el texto. ","")&amp;IF(S218&gt;0,"Revisamos decimales visibles. ","")&amp;IF(T218&gt;0,"Confirmamos la unidad.","")),"Hay una entrada con error. Corregimos el dato antes de cerrar la comprobación.")</f>
      </c>
      <c r="N218" s="29" t="n">
        <f>IF(COUNTA('DATOS'!B218:O218)&gt;0,1,0)</f>
        <v>0</v>
      </c>
      <c r="O218" s="29">
        <f>IFERROR(IF(N218=0,"",IF(OR(NOT(AND(LEN(TRIM('DATOS'!B218&amp;""))&gt;0,TRIM('DATOS'!B218&amp;"")&lt;&gt;"Pendiente",TRIM('DATOS'!B218&amp;"")&lt;&gt;"Por confirmar",TRIM('DATOS'!B218&amp;"")&lt;&gt;"No consta",TRIM('DATOS'!B218&amp;"")&lt;&gt;"Desconocido",TRIM('DATOS'!B218&amp;"")&lt;&gt;"Sin confirmar",TRIM('DATOS'!B218&amp;"")&lt;&gt;"Por decidir",TRIM('DATOS'!B218&amp;"")&lt;&gt;"Por comprobar")),NOT(AND(LEN(TRIM('DATOS'!C218&amp;""))&gt;0,TRIM('DATOS'!C218&amp;"")&lt;&gt;"Pendiente",TRIM('DATOS'!C218&amp;"")&lt;&gt;"Por confirmar",TRIM('DATOS'!C218&amp;"")&lt;&gt;"No consta",TRIM('DATOS'!C218&amp;"")&lt;&gt;"Desconocido",TRIM('DATOS'!C218&amp;"")&lt;&gt;"Sin confirmar",TRIM('DATOS'!C218&amp;"")&lt;&gt;"Por decidir",TRIM('DATOS'!C218&amp;"")&lt;&gt;"Por comprobar")),NOT(AND(LEN(TRIM('DATOS'!D218&amp;""))&gt;0,TRIM('DATOS'!D218&amp;"")&lt;&gt;"Pendiente",TRIM('DATOS'!D218&amp;"")&lt;&gt;"Por confirmar",TRIM('DATOS'!D218&amp;"")&lt;&gt;"No consta",TRIM('DATOS'!D218&amp;"")&lt;&gt;"Desconocido",TRIM('DATOS'!D218&amp;"")&lt;&gt;"Sin confirmar",TRIM('DATOS'!D218&amp;"")&lt;&gt;"Por decidir",TRIM('DATOS'!D218&amp;"")&lt;&gt;"Por comprobar")),NOT(AND(LEN(TRIM('DATOS'!E218&amp;""))&gt;0,TRIM('DATOS'!E218&amp;"")&lt;&gt;"Pendiente",TRIM('DATOS'!E218&amp;"")&lt;&gt;"Por confirmar",TRIM('DATOS'!E218&amp;"")&lt;&gt;"No consta",TRIM('DATOS'!E218&amp;"")&lt;&gt;"Desconocido",TRIM('DATOS'!E218&amp;"")&lt;&gt;"Sin confirmar",TRIM('DATOS'!E218&amp;"")&lt;&gt;"Por decidir",TRIM('DATOS'!E218&amp;"")&lt;&gt;"Por comprobar")),NOT(AND(LEN(TRIM('DATOS'!F218&amp;""))&gt;0,TRIM('DATOS'!F218&amp;"")&lt;&gt;"Pendiente",TRIM('DATOS'!F218&amp;"")&lt;&gt;"Por confirmar",TRIM('DATOS'!F218&amp;"")&lt;&gt;"No consta",TRIM('DATOS'!F218&amp;"")&lt;&gt;"Desconocido",TRIM('DATOS'!F218&amp;"")&lt;&gt;"Sin confirmar",TRIM('DATOS'!F218&amp;"")&lt;&gt;"Por decidir",TRIM('DATOS'!F218&amp;"")&lt;&gt;"Por comprobar")),NOT(AND(LEN(TRIM('DATOS'!N218&amp;""))&gt;0,TRIM('DATOS'!N218&amp;"")&lt;&gt;"Pendiente",TRIM('DATOS'!N218&amp;"")&lt;&gt;"Por confirmar",TRIM('DATOS'!N218&amp;"")&lt;&gt;"No consta",TRIM('DATOS'!N218&amp;"")&lt;&gt;"Desconocido",TRIM('DATOS'!N218&amp;"")&lt;&gt;"Sin confirmar",TRIM('DATOS'!N218&amp;"")&lt;&gt;"Por decidir",TRIM('DATOS'!N218&amp;"")&lt;&gt;"Por comprobar")),NOT(Y218=1),W218&lt;&gt;1,X218&gt;1,NOT(OR(LEN(TRIM('DATOS'!K218&amp;""))=0,'DATOS'!K218="Sin valorar",'DATOS'!K218="Sin coste documentado",'DATOS'!K218="Incluido en otra partida",'DATOS'!K218="Por confirmar")),NOT(OR(LEN(TRIM('DATOS'!M218&amp;""))=0,'DATOS'!M218="Sí",'DATOS'!M218="No",'DATOS'!M218="Por confirmar")),NOT(OR(LEN(TRIM('DATOS'!O218&amp;""))=0,'DATOS'!O218="Comparamos",'DATOS'!O218="No existe",'DATOS'!O218="Por confirmar"))),2,IF(AND(OR('DATOS'!G218&lt;0,'DATOS'!H218&lt;0,'DATOS'!J218&lt;0),NOT(AND(LEN(TRIM('DATOS'!L218&amp;""))&gt;0,TRIM('DATOS'!L218&amp;"")&lt;&gt;"Pendiente",TRIM('DATOS'!L218&amp;"")&lt;&gt;"Por confirmar",TRIM('DATOS'!L218&amp;"")&lt;&gt;"No consta",TRIM('DATOS'!L218&amp;"")&lt;&gt;"Desconocido",TRIM('DATOS'!L218&amp;"")&lt;&gt;"Sin confirmar",TRIM('DATOS'!L218&amp;"")&lt;&gt;"Por decidir",TRIM('DATOS'!L218&amp;"")&lt;&gt;"Por comprobar"))),1,0))),2)</f>
      </c>
      <c r="P218" s="29">
        <f>IFERROR(IF(N218=0,"",IF(NOT(Y218=1),1,IF('REFERENCIAS'!$Q$8&lt;&gt;1,2,IF(ABS('DATOS'!J218-ROUND('DATOS'!G218*'DATOS'!H218,'REFERENCIAS'!$K$8))&gt;0.00000001,2,IF('DATOS'!O218="No existe",IF(LEN(TRIM('DATOS'!I218&amp;""))=0,0,2),IF('DATOS'!O218="Comparamos",IF(LEN(TRIM('DATOS'!I218&amp;""))=0,1,IF(ISNUMBER('DATOS'!I218),IF(ABS('DATOS'!H218-'DATOS'!I218)&gt;0.00000001,2,0),2)),1)))))),2)</f>
      </c>
      <c r="Q218" s="29">
        <f>IFERROR(IF(N218=0,"",IF(NOT(Y218=1),1,IF('DATOS'!K218="Sin valorar",2,IF('DATOS'!G218=0,1,IF(OR('DATOS'!H218=0,'DATOS'!J218=0),IF(AND(OR('DATOS'!K218="Sin coste documentado",'DATOS'!K218="Incluido en otra partida"),AND(LEN(TRIM('DATOS'!L218&amp;""))&gt;0,TRIM('DATOS'!L218&amp;"")&lt;&gt;"Pendiente",TRIM('DATOS'!L218&amp;"")&lt;&gt;"Por confirmar",TRIM('DATOS'!L218&amp;"")&lt;&gt;"No consta",TRIM('DATOS'!L218&amp;"")&lt;&gt;"Desconocido",TRIM('DATOS'!L218&amp;"")&lt;&gt;"Sin confirmar",TRIM('DATOS'!L218&amp;"")&lt;&gt;"Por decidir",TRIM('DATOS'!L218&amp;"")&lt;&gt;"Por comprobar")),0,1),0))))),2)</f>
      </c>
      <c r="R218" s="29">
        <f>IFERROR(IF(N218=0,"",IF(OR(NOT(AND(LEN(TRIM('DATOS'!D218&amp;""))&gt;0,TRIM('DATOS'!D218&amp;"")&lt;&gt;"Pendiente",TRIM('DATOS'!D218&amp;"")&lt;&gt;"Por confirmar",TRIM('DATOS'!D218&amp;"")&lt;&gt;"No consta",TRIM('DATOS'!D218&amp;"")&lt;&gt;"Desconocido",TRIM('DATOS'!D218&amp;"")&lt;&gt;"Sin confirmar",TRIM('DATOS'!D218&amp;"")&lt;&gt;"Por decidir",TRIM('DATOS'!D218&amp;"")&lt;&gt;"Por comprobar")),NOT(AND(LEN(TRIM('DATOS'!E218&amp;""))&gt;0,TRIM('DATOS'!E218&amp;"")&lt;&gt;"Pendiente",TRIM('DATOS'!E218&amp;"")&lt;&gt;"Por confirmar",TRIM('DATOS'!E218&amp;"")&lt;&gt;"No consta",TRIM('DATOS'!E218&amp;"")&lt;&gt;"Desconocido",TRIM('DATOS'!E218&amp;"")&lt;&gt;"Sin confirmar",TRIM('DATOS'!E218&amp;"")&lt;&gt;"Por decidir",TRIM('DATOS'!E218&amp;"")&lt;&gt;"Por comprobar"))),2,IF('DATOS'!M218="No",2,IF('DATOS'!M218="Sí",0,IF(OR('DATOS'!D218&lt;&gt;'DATOS'!E218,LEN('DATOS'!E218)&gt;300,RIGHT(TRIM('DATOS'!E218),3)="...",RIGHT(TRIM('DATOS'!E218),1)="…"),1,0))))),2)</f>
      </c>
      <c r="S218" s="29">
        <f>IFERROR(IF(N218=0,"",IF('REFERENCIAS'!$Q$8&lt;&gt;1,2,IF(NOT(Y218=1),1,IF(OR(ABS('DATOS'!G218-ROUND('DATOS'!G218,'REFERENCIAS'!$E$8))&gt;0.00000001,ABS('DATOS'!H218-ROUND('DATOS'!H218,'REFERENCIAS'!$H$8))&gt;0.00000001,ABS('DATOS'!J218-ROUND('DATOS'!J218,'REFERENCIAS'!$K$8))&gt;0.00000001,IF(ISNUMBER('DATOS'!I218),ABS('DATOS'!I218-ROUND('DATOS'!I218,'REFERENCIAS'!$H$8))&gt;0.00000001,FALSE)),1,0)))),2)</f>
      </c>
      <c r="T218" s="29">
        <f>IFERROR(IF(N218=0,"",IF(NOT(AND(LEN(TRIM('DATOS'!F218&amp;""))&gt;0,TRIM('DATOS'!F218&amp;"")&lt;&gt;"Pendiente",TRIM('DATOS'!F218&amp;"")&lt;&gt;"Por confirmar",TRIM('DATOS'!F218&amp;"")&lt;&gt;"No consta",TRIM('DATOS'!F218&amp;"")&lt;&gt;"Desconocido",TRIM('DATOS'!F218&amp;"")&lt;&gt;"Sin confirmar",TRIM('DATOS'!F218&amp;"")&lt;&gt;"Por decidir",TRIM('DATOS'!F218&amp;"")&lt;&gt;"Por comprobar")),2,IF(COUNTIFS('REFERENCIAS'!$T$15:$T$34,"ID:"&amp;SUBSTITUTE(SUBSTITUTE(SUBSTITUTE(SUBSTITUTE(UPPER(TRIM('DATOS'!F218&amp;"")),"!","!E"),"*","!A"),"?","!B"),"~","!C"),'REFERENCIAS'!$H$15:$H$34,"&lt;&gt;")&gt;0,0,1))),2)</f>
      </c>
      <c r="U218" s="29" t="str">
        <f>'DATOS'!R218</f>
        <v>ID:</v>
      </c>
      <c r="V218" s="29" t="str">
        <f>'DATOS'!S218</f>
        <v>ID:</v>
      </c>
      <c r="W218" s="29" t="n">
        <f>IF(N218=0,0,COUNTIFS('REFERENCIAS'!$R$15:$R$64,U218))</f>
        <v>0</v>
      </c>
      <c r="X218" s="29" t="n">
        <f>IF(N218=0,0,COUNTIFS('DATOS'!$R$10:$R$509,U218,'DATOS'!$S$10:$S$509,V218))</f>
        <v>0</v>
      </c>
      <c r="Y218" s="29" t="n">
        <f>IF(AND(ISNUMBER('DATOS'!G218),ISNUMBER('DATOS'!H218),ISNUMBER('DATOS'!J218)),1,0)</f>
        <v>0</v>
      </c>
    </row>
    <row r="219" ht="64" customHeight="1">
      <c r="B219" s="26">
        <f>IF(N219=1,210,"")</f>
      </c>
      <c r="C219" s="26">
        <f>IF(AND(N219=1,LEN(TRIM('DATOS'!B219&amp;""))&gt;0),'DATOS'!B219,"")</f>
      </c>
      <c r="D219" s="26">
        <f>IF(AND(N219=1,LEN(TRIM('DATOS'!C219&amp;""))&gt;0),'DATOS'!C219,"")</f>
      </c>
      <c r="E219" s="26">
        <f>IF(NOT(ISNUMBER(P219)),"",IF(P219=2,"ROJO",IF(P219=1,"ÁMBAR","VERDE")))</f>
      </c>
      <c r="F219" s="26">
        <f>IF(NOT(ISNUMBER(Q219)),"",IF(Q219=2,"ROJO",IF(Q219=1,"ÁMBAR","VERDE")))</f>
      </c>
      <c r="G219" s="26">
        <f>IF(NOT(ISNUMBER(R219)),"",IF(R219=2,"ROJO",IF(R219=1,"ÁMBAR","VERDE")))</f>
      </c>
      <c r="H219" s="26">
        <f>IF(NOT(ISNUMBER(S219)),"",IF(S219=2,"ROJO",IF(S219=1,"ÁMBAR","VERDE")))</f>
      </c>
      <c r="I219" s="26">
        <f>IF(NOT(ISNUMBER(T219)),"",IF(T219=2,"ROJO",IF(T219=1,"ÁMBAR","VERDE")))</f>
      </c>
      <c r="J219" s="26">
        <f>IF(NOT(ISNUMBER(O219)),"",IF(O219=2,"ROJO",IF(O219=1,"ÁMBAR","VERDE")))</f>
      </c>
      <c r="K219" s="26">
        <f>IFERROR(IF(AND(N219=1,LEN(TRIM('DATOS'!N219&amp;""))&gt;0),'DATOS'!N219,""),"Hay una entrada con error. Corregimos el dato antes de cerrar la comprobación.")</f>
      </c>
      <c r="L219" s="26">
        <f>IFERROR(IF(N219=0,"",IF(O219&gt;0,"Completamos datos, claves o motivo. ","")&amp;IF(P219&gt;0,"Cotejamos precios e importe. ","")&amp;IF(Q219&gt;0,"Aclaramos el cero. ","")&amp;IF(R219&gt;0,"Comprobamos el texto. ","")&amp;IF(S219&gt;0,"Revisamos decimales visibles. ","")&amp;IF(T219&gt;0,"Confirmamos la unidad.","")),"Hay una entrada con error. Corregimos el dato antes de cerrar la comprobación.")</f>
      </c>
      <c r="N219" s="29" t="n">
        <f>IF(COUNTA('DATOS'!B219:O219)&gt;0,1,0)</f>
        <v>0</v>
      </c>
      <c r="O219" s="29">
        <f>IFERROR(IF(N219=0,"",IF(OR(NOT(AND(LEN(TRIM('DATOS'!B219&amp;""))&gt;0,TRIM('DATOS'!B219&amp;"")&lt;&gt;"Pendiente",TRIM('DATOS'!B219&amp;"")&lt;&gt;"Por confirmar",TRIM('DATOS'!B219&amp;"")&lt;&gt;"No consta",TRIM('DATOS'!B219&amp;"")&lt;&gt;"Desconocido",TRIM('DATOS'!B219&amp;"")&lt;&gt;"Sin confirmar",TRIM('DATOS'!B219&amp;"")&lt;&gt;"Por decidir",TRIM('DATOS'!B219&amp;"")&lt;&gt;"Por comprobar")),NOT(AND(LEN(TRIM('DATOS'!C219&amp;""))&gt;0,TRIM('DATOS'!C219&amp;"")&lt;&gt;"Pendiente",TRIM('DATOS'!C219&amp;"")&lt;&gt;"Por confirmar",TRIM('DATOS'!C219&amp;"")&lt;&gt;"No consta",TRIM('DATOS'!C219&amp;"")&lt;&gt;"Desconocido",TRIM('DATOS'!C219&amp;"")&lt;&gt;"Sin confirmar",TRIM('DATOS'!C219&amp;"")&lt;&gt;"Por decidir",TRIM('DATOS'!C219&amp;"")&lt;&gt;"Por comprobar")),NOT(AND(LEN(TRIM('DATOS'!D219&amp;""))&gt;0,TRIM('DATOS'!D219&amp;"")&lt;&gt;"Pendiente",TRIM('DATOS'!D219&amp;"")&lt;&gt;"Por confirmar",TRIM('DATOS'!D219&amp;"")&lt;&gt;"No consta",TRIM('DATOS'!D219&amp;"")&lt;&gt;"Desconocido",TRIM('DATOS'!D219&amp;"")&lt;&gt;"Sin confirmar",TRIM('DATOS'!D219&amp;"")&lt;&gt;"Por decidir",TRIM('DATOS'!D219&amp;"")&lt;&gt;"Por comprobar")),NOT(AND(LEN(TRIM('DATOS'!E219&amp;""))&gt;0,TRIM('DATOS'!E219&amp;"")&lt;&gt;"Pendiente",TRIM('DATOS'!E219&amp;"")&lt;&gt;"Por confirmar",TRIM('DATOS'!E219&amp;"")&lt;&gt;"No consta",TRIM('DATOS'!E219&amp;"")&lt;&gt;"Desconocido",TRIM('DATOS'!E219&amp;"")&lt;&gt;"Sin confirmar",TRIM('DATOS'!E219&amp;"")&lt;&gt;"Por decidir",TRIM('DATOS'!E219&amp;"")&lt;&gt;"Por comprobar")),NOT(AND(LEN(TRIM('DATOS'!F219&amp;""))&gt;0,TRIM('DATOS'!F219&amp;"")&lt;&gt;"Pendiente",TRIM('DATOS'!F219&amp;"")&lt;&gt;"Por confirmar",TRIM('DATOS'!F219&amp;"")&lt;&gt;"No consta",TRIM('DATOS'!F219&amp;"")&lt;&gt;"Desconocido",TRIM('DATOS'!F219&amp;"")&lt;&gt;"Sin confirmar",TRIM('DATOS'!F219&amp;"")&lt;&gt;"Por decidir",TRIM('DATOS'!F219&amp;"")&lt;&gt;"Por comprobar")),NOT(AND(LEN(TRIM('DATOS'!N219&amp;""))&gt;0,TRIM('DATOS'!N219&amp;"")&lt;&gt;"Pendiente",TRIM('DATOS'!N219&amp;"")&lt;&gt;"Por confirmar",TRIM('DATOS'!N219&amp;"")&lt;&gt;"No consta",TRIM('DATOS'!N219&amp;"")&lt;&gt;"Desconocido",TRIM('DATOS'!N219&amp;"")&lt;&gt;"Sin confirmar",TRIM('DATOS'!N219&amp;"")&lt;&gt;"Por decidir",TRIM('DATOS'!N219&amp;"")&lt;&gt;"Por comprobar")),NOT(Y219=1),W219&lt;&gt;1,X219&gt;1,NOT(OR(LEN(TRIM('DATOS'!K219&amp;""))=0,'DATOS'!K219="Sin valorar",'DATOS'!K219="Sin coste documentado",'DATOS'!K219="Incluido en otra partida",'DATOS'!K219="Por confirmar")),NOT(OR(LEN(TRIM('DATOS'!M219&amp;""))=0,'DATOS'!M219="Sí",'DATOS'!M219="No",'DATOS'!M219="Por confirmar")),NOT(OR(LEN(TRIM('DATOS'!O219&amp;""))=0,'DATOS'!O219="Comparamos",'DATOS'!O219="No existe",'DATOS'!O219="Por confirmar"))),2,IF(AND(OR('DATOS'!G219&lt;0,'DATOS'!H219&lt;0,'DATOS'!J219&lt;0),NOT(AND(LEN(TRIM('DATOS'!L219&amp;""))&gt;0,TRIM('DATOS'!L219&amp;"")&lt;&gt;"Pendiente",TRIM('DATOS'!L219&amp;"")&lt;&gt;"Por confirmar",TRIM('DATOS'!L219&amp;"")&lt;&gt;"No consta",TRIM('DATOS'!L219&amp;"")&lt;&gt;"Desconocido",TRIM('DATOS'!L219&amp;"")&lt;&gt;"Sin confirmar",TRIM('DATOS'!L219&amp;"")&lt;&gt;"Por decidir",TRIM('DATOS'!L219&amp;"")&lt;&gt;"Por comprobar"))),1,0))),2)</f>
      </c>
      <c r="P219" s="29">
        <f>IFERROR(IF(N219=0,"",IF(NOT(Y219=1),1,IF('REFERENCIAS'!$Q$8&lt;&gt;1,2,IF(ABS('DATOS'!J219-ROUND('DATOS'!G219*'DATOS'!H219,'REFERENCIAS'!$K$8))&gt;0.00000001,2,IF('DATOS'!O219="No existe",IF(LEN(TRIM('DATOS'!I219&amp;""))=0,0,2),IF('DATOS'!O219="Comparamos",IF(LEN(TRIM('DATOS'!I219&amp;""))=0,1,IF(ISNUMBER('DATOS'!I219),IF(ABS('DATOS'!H219-'DATOS'!I219)&gt;0.00000001,2,0),2)),1)))))),2)</f>
      </c>
      <c r="Q219" s="29">
        <f>IFERROR(IF(N219=0,"",IF(NOT(Y219=1),1,IF('DATOS'!K219="Sin valorar",2,IF('DATOS'!G219=0,1,IF(OR('DATOS'!H219=0,'DATOS'!J219=0),IF(AND(OR('DATOS'!K219="Sin coste documentado",'DATOS'!K219="Incluido en otra partida"),AND(LEN(TRIM('DATOS'!L219&amp;""))&gt;0,TRIM('DATOS'!L219&amp;"")&lt;&gt;"Pendiente",TRIM('DATOS'!L219&amp;"")&lt;&gt;"Por confirmar",TRIM('DATOS'!L219&amp;"")&lt;&gt;"No consta",TRIM('DATOS'!L219&amp;"")&lt;&gt;"Desconocido",TRIM('DATOS'!L219&amp;"")&lt;&gt;"Sin confirmar",TRIM('DATOS'!L219&amp;"")&lt;&gt;"Por decidir",TRIM('DATOS'!L219&amp;"")&lt;&gt;"Por comprobar")),0,1),0))))),2)</f>
      </c>
      <c r="R219" s="29">
        <f>IFERROR(IF(N219=0,"",IF(OR(NOT(AND(LEN(TRIM('DATOS'!D219&amp;""))&gt;0,TRIM('DATOS'!D219&amp;"")&lt;&gt;"Pendiente",TRIM('DATOS'!D219&amp;"")&lt;&gt;"Por confirmar",TRIM('DATOS'!D219&amp;"")&lt;&gt;"No consta",TRIM('DATOS'!D219&amp;"")&lt;&gt;"Desconocido",TRIM('DATOS'!D219&amp;"")&lt;&gt;"Sin confirmar",TRIM('DATOS'!D219&amp;"")&lt;&gt;"Por decidir",TRIM('DATOS'!D219&amp;"")&lt;&gt;"Por comprobar")),NOT(AND(LEN(TRIM('DATOS'!E219&amp;""))&gt;0,TRIM('DATOS'!E219&amp;"")&lt;&gt;"Pendiente",TRIM('DATOS'!E219&amp;"")&lt;&gt;"Por confirmar",TRIM('DATOS'!E219&amp;"")&lt;&gt;"No consta",TRIM('DATOS'!E219&amp;"")&lt;&gt;"Desconocido",TRIM('DATOS'!E219&amp;"")&lt;&gt;"Sin confirmar",TRIM('DATOS'!E219&amp;"")&lt;&gt;"Por decidir",TRIM('DATOS'!E219&amp;"")&lt;&gt;"Por comprobar"))),2,IF('DATOS'!M219="No",2,IF('DATOS'!M219="Sí",0,IF(OR('DATOS'!D219&lt;&gt;'DATOS'!E219,LEN('DATOS'!E219)&gt;300,RIGHT(TRIM('DATOS'!E219),3)="...",RIGHT(TRIM('DATOS'!E219),1)="…"),1,0))))),2)</f>
      </c>
      <c r="S219" s="29">
        <f>IFERROR(IF(N219=0,"",IF('REFERENCIAS'!$Q$8&lt;&gt;1,2,IF(NOT(Y219=1),1,IF(OR(ABS('DATOS'!G219-ROUND('DATOS'!G219,'REFERENCIAS'!$E$8))&gt;0.00000001,ABS('DATOS'!H219-ROUND('DATOS'!H219,'REFERENCIAS'!$H$8))&gt;0.00000001,ABS('DATOS'!J219-ROUND('DATOS'!J219,'REFERENCIAS'!$K$8))&gt;0.00000001,IF(ISNUMBER('DATOS'!I219),ABS('DATOS'!I219-ROUND('DATOS'!I219,'REFERENCIAS'!$H$8))&gt;0.00000001,FALSE)),1,0)))),2)</f>
      </c>
      <c r="T219" s="29">
        <f>IFERROR(IF(N219=0,"",IF(NOT(AND(LEN(TRIM('DATOS'!F219&amp;""))&gt;0,TRIM('DATOS'!F219&amp;"")&lt;&gt;"Pendiente",TRIM('DATOS'!F219&amp;"")&lt;&gt;"Por confirmar",TRIM('DATOS'!F219&amp;"")&lt;&gt;"No consta",TRIM('DATOS'!F219&amp;"")&lt;&gt;"Desconocido",TRIM('DATOS'!F219&amp;"")&lt;&gt;"Sin confirmar",TRIM('DATOS'!F219&amp;"")&lt;&gt;"Por decidir",TRIM('DATOS'!F219&amp;"")&lt;&gt;"Por comprobar")),2,IF(COUNTIFS('REFERENCIAS'!$T$15:$T$34,"ID:"&amp;SUBSTITUTE(SUBSTITUTE(SUBSTITUTE(SUBSTITUTE(UPPER(TRIM('DATOS'!F219&amp;"")),"!","!E"),"*","!A"),"?","!B"),"~","!C"),'REFERENCIAS'!$H$15:$H$34,"&lt;&gt;")&gt;0,0,1))),2)</f>
      </c>
      <c r="U219" s="29" t="str">
        <f>'DATOS'!R219</f>
        <v>ID:</v>
      </c>
      <c r="V219" s="29" t="str">
        <f>'DATOS'!S219</f>
        <v>ID:</v>
      </c>
      <c r="W219" s="29" t="n">
        <f>IF(N219=0,0,COUNTIFS('REFERENCIAS'!$R$15:$R$64,U219))</f>
        <v>0</v>
      </c>
      <c r="X219" s="29" t="n">
        <f>IF(N219=0,0,COUNTIFS('DATOS'!$R$10:$R$509,U219,'DATOS'!$S$10:$S$509,V219))</f>
        <v>0</v>
      </c>
      <c r="Y219" s="29" t="n">
        <f>IF(AND(ISNUMBER('DATOS'!G219),ISNUMBER('DATOS'!H219),ISNUMBER('DATOS'!J219)),1,0)</f>
        <v>0</v>
      </c>
    </row>
    <row r="220" ht="64" customHeight="1">
      <c r="B220" s="26">
        <f>IF(N220=1,211,"")</f>
      </c>
      <c r="C220" s="26">
        <f>IF(AND(N220=1,LEN(TRIM('DATOS'!B220&amp;""))&gt;0),'DATOS'!B220,"")</f>
      </c>
      <c r="D220" s="26">
        <f>IF(AND(N220=1,LEN(TRIM('DATOS'!C220&amp;""))&gt;0),'DATOS'!C220,"")</f>
      </c>
      <c r="E220" s="26">
        <f>IF(NOT(ISNUMBER(P220)),"",IF(P220=2,"ROJO",IF(P220=1,"ÁMBAR","VERDE")))</f>
      </c>
      <c r="F220" s="26">
        <f>IF(NOT(ISNUMBER(Q220)),"",IF(Q220=2,"ROJO",IF(Q220=1,"ÁMBAR","VERDE")))</f>
      </c>
      <c r="G220" s="26">
        <f>IF(NOT(ISNUMBER(R220)),"",IF(R220=2,"ROJO",IF(R220=1,"ÁMBAR","VERDE")))</f>
      </c>
      <c r="H220" s="26">
        <f>IF(NOT(ISNUMBER(S220)),"",IF(S220=2,"ROJO",IF(S220=1,"ÁMBAR","VERDE")))</f>
      </c>
      <c r="I220" s="26">
        <f>IF(NOT(ISNUMBER(T220)),"",IF(T220=2,"ROJO",IF(T220=1,"ÁMBAR","VERDE")))</f>
      </c>
      <c r="J220" s="26">
        <f>IF(NOT(ISNUMBER(O220)),"",IF(O220=2,"ROJO",IF(O220=1,"ÁMBAR","VERDE")))</f>
      </c>
      <c r="K220" s="26">
        <f>IFERROR(IF(AND(N220=1,LEN(TRIM('DATOS'!N220&amp;""))&gt;0),'DATOS'!N220,""),"Hay una entrada con error. Corregimos el dato antes de cerrar la comprobación.")</f>
      </c>
      <c r="L220" s="26">
        <f>IFERROR(IF(N220=0,"",IF(O220&gt;0,"Completamos datos, claves o motivo. ","")&amp;IF(P220&gt;0,"Cotejamos precios e importe. ","")&amp;IF(Q220&gt;0,"Aclaramos el cero. ","")&amp;IF(R220&gt;0,"Comprobamos el texto. ","")&amp;IF(S220&gt;0,"Revisamos decimales visibles. ","")&amp;IF(T220&gt;0,"Confirmamos la unidad.","")),"Hay una entrada con error. Corregimos el dato antes de cerrar la comprobación.")</f>
      </c>
      <c r="N220" s="29" t="n">
        <f>IF(COUNTA('DATOS'!B220:O220)&gt;0,1,0)</f>
        <v>0</v>
      </c>
      <c r="O220" s="29">
        <f>IFERROR(IF(N220=0,"",IF(OR(NOT(AND(LEN(TRIM('DATOS'!B220&amp;""))&gt;0,TRIM('DATOS'!B220&amp;"")&lt;&gt;"Pendiente",TRIM('DATOS'!B220&amp;"")&lt;&gt;"Por confirmar",TRIM('DATOS'!B220&amp;"")&lt;&gt;"No consta",TRIM('DATOS'!B220&amp;"")&lt;&gt;"Desconocido",TRIM('DATOS'!B220&amp;"")&lt;&gt;"Sin confirmar",TRIM('DATOS'!B220&amp;"")&lt;&gt;"Por decidir",TRIM('DATOS'!B220&amp;"")&lt;&gt;"Por comprobar")),NOT(AND(LEN(TRIM('DATOS'!C220&amp;""))&gt;0,TRIM('DATOS'!C220&amp;"")&lt;&gt;"Pendiente",TRIM('DATOS'!C220&amp;"")&lt;&gt;"Por confirmar",TRIM('DATOS'!C220&amp;"")&lt;&gt;"No consta",TRIM('DATOS'!C220&amp;"")&lt;&gt;"Desconocido",TRIM('DATOS'!C220&amp;"")&lt;&gt;"Sin confirmar",TRIM('DATOS'!C220&amp;"")&lt;&gt;"Por decidir",TRIM('DATOS'!C220&amp;"")&lt;&gt;"Por comprobar")),NOT(AND(LEN(TRIM('DATOS'!D220&amp;""))&gt;0,TRIM('DATOS'!D220&amp;"")&lt;&gt;"Pendiente",TRIM('DATOS'!D220&amp;"")&lt;&gt;"Por confirmar",TRIM('DATOS'!D220&amp;"")&lt;&gt;"No consta",TRIM('DATOS'!D220&amp;"")&lt;&gt;"Desconocido",TRIM('DATOS'!D220&amp;"")&lt;&gt;"Sin confirmar",TRIM('DATOS'!D220&amp;"")&lt;&gt;"Por decidir",TRIM('DATOS'!D220&amp;"")&lt;&gt;"Por comprobar")),NOT(AND(LEN(TRIM('DATOS'!E220&amp;""))&gt;0,TRIM('DATOS'!E220&amp;"")&lt;&gt;"Pendiente",TRIM('DATOS'!E220&amp;"")&lt;&gt;"Por confirmar",TRIM('DATOS'!E220&amp;"")&lt;&gt;"No consta",TRIM('DATOS'!E220&amp;"")&lt;&gt;"Desconocido",TRIM('DATOS'!E220&amp;"")&lt;&gt;"Sin confirmar",TRIM('DATOS'!E220&amp;"")&lt;&gt;"Por decidir",TRIM('DATOS'!E220&amp;"")&lt;&gt;"Por comprobar")),NOT(AND(LEN(TRIM('DATOS'!F220&amp;""))&gt;0,TRIM('DATOS'!F220&amp;"")&lt;&gt;"Pendiente",TRIM('DATOS'!F220&amp;"")&lt;&gt;"Por confirmar",TRIM('DATOS'!F220&amp;"")&lt;&gt;"No consta",TRIM('DATOS'!F220&amp;"")&lt;&gt;"Desconocido",TRIM('DATOS'!F220&amp;"")&lt;&gt;"Sin confirmar",TRIM('DATOS'!F220&amp;"")&lt;&gt;"Por decidir",TRIM('DATOS'!F220&amp;"")&lt;&gt;"Por comprobar")),NOT(AND(LEN(TRIM('DATOS'!N220&amp;""))&gt;0,TRIM('DATOS'!N220&amp;"")&lt;&gt;"Pendiente",TRIM('DATOS'!N220&amp;"")&lt;&gt;"Por confirmar",TRIM('DATOS'!N220&amp;"")&lt;&gt;"No consta",TRIM('DATOS'!N220&amp;"")&lt;&gt;"Desconocido",TRIM('DATOS'!N220&amp;"")&lt;&gt;"Sin confirmar",TRIM('DATOS'!N220&amp;"")&lt;&gt;"Por decidir",TRIM('DATOS'!N220&amp;"")&lt;&gt;"Por comprobar")),NOT(Y220=1),W220&lt;&gt;1,X220&gt;1,NOT(OR(LEN(TRIM('DATOS'!K220&amp;""))=0,'DATOS'!K220="Sin valorar",'DATOS'!K220="Sin coste documentado",'DATOS'!K220="Incluido en otra partida",'DATOS'!K220="Por confirmar")),NOT(OR(LEN(TRIM('DATOS'!M220&amp;""))=0,'DATOS'!M220="Sí",'DATOS'!M220="No",'DATOS'!M220="Por confirmar")),NOT(OR(LEN(TRIM('DATOS'!O220&amp;""))=0,'DATOS'!O220="Comparamos",'DATOS'!O220="No existe",'DATOS'!O220="Por confirmar"))),2,IF(AND(OR('DATOS'!G220&lt;0,'DATOS'!H220&lt;0,'DATOS'!J220&lt;0),NOT(AND(LEN(TRIM('DATOS'!L220&amp;""))&gt;0,TRIM('DATOS'!L220&amp;"")&lt;&gt;"Pendiente",TRIM('DATOS'!L220&amp;"")&lt;&gt;"Por confirmar",TRIM('DATOS'!L220&amp;"")&lt;&gt;"No consta",TRIM('DATOS'!L220&amp;"")&lt;&gt;"Desconocido",TRIM('DATOS'!L220&amp;"")&lt;&gt;"Sin confirmar",TRIM('DATOS'!L220&amp;"")&lt;&gt;"Por decidir",TRIM('DATOS'!L220&amp;"")&lt;&gt;"Por comprobar"))),1,0))),2)</f>
      </c>
      <c r="P220" s="29">
        <f>IFERROR(IF(N220=0,"",IF(NOT(Y220=1),1,IF('REFERENCIAS'!$Q$8&lt;&gt;1,2,IF(ABS('DATOS'!J220-ROUND('DATOS'!G220*'DATOS'!H220,'REFERENCIAS'!$K$8))&gt;0.00000001,2,IF('DATOS'!O220="No existe",IF(LEN(TRIM('DATOS'!I220&amp;""))=0,0,2),IF('DATOS'!O220="Comparamos",IF(LEN(TRIM('DATOS'!I220&amp;""))=0,1,IF(ISNUMBER('DATOS'!I220),IF(ABS('DATOS'!H220-'DATOS'!I220)&gt;0.00000001,2,0),2)),1)))))),2)</f>
      </c>
      <c r="Q220" s="29">
        <f>IFERROR(IF(N220=0,"",IF(NOT(Y220=1),1,IF('DATOS'!K220="Sin valorar",2,IF('DATOS'!G220=0,1,IF(OR('DATOS'!H220=0,'DATOS'!J220=0),IF(AND(OR('DATOS'!K220="Sin coste documentado",'DATOS'!K220="Incluido en otra partida"),AND(LEN(TRIM('DATOS'!L220&amp;""))&gt;0,TRIM('DATOS'!L220&amp;"")&lt;&gt;"Pendiente",TRIM('DATOS'!L220&amp;"")&lt;&gt;"Por confirmar",TRIM('DATOS'!L220&amp;"")&lt;&gt;"No consta",TRIM('DATOS'!L220&amp;"")&lt;&gt;"Desconocido",TRIM('DATOS'!L220&amp;"")&lt;&gt;"Sin confirmar",TRIM('DATOS'!L220&amp;"")&lt;&gt;"Por decidir",TRIM('DATOS'!L220&amp;"")&lt;&gt;"Por comprobar")),0,1),0))))),2)</f>
      </c>
      <c r="R220" s="29">
        <f>IFERROR(IF(N220=0,"",IF(OR(NOT(AND(LEN(TRIM('DATOS'!D220&amp;""))&gt;0,TRIM('DATOS'!D220&amp;"")&lt;&gt;"Pendiente",TRIM('DATOS'!D220&amp;"")&lt;&gt;"Por confirmar",TRIM('DATOS'!D220&amp;"")&lt;&gt;"No consta",TRIM('DATOS'!D220&amp;"")&lt;&gt;"Desconocido",TRIM('DATOS'!D220&amp;"")&lt;&gt;"Sin confirmar",TRIM('DATOS'!D220&amp;"")&lt;&gt;"Por decidir",TRIM('DATOS'!D220&amp;"")&lt;&gt;"Por comprobar")),NOT(AND(LEN(TRIM('DATOS'!E220&amp;""))&gt;0,TRIM('DATOS'!E220&amp;"")&lt;&gt;"Pendiente",TRIM('DATOS'!E220&amp;"")&lt;&gt;"Por confirmar",TRIM('DATOS'!E220&amp;"")&lt;&gt;"No consta",TRIM('DATOS'!E220&amp;"")&lt;&gt;"Desconocido",TRIM('DATOS'!E220&amp;"")&lt;&gt;"Sin confirmar",TRIM('DATOS'!E220&amp;"")&lt;&gt;"Por decidir",TRIM('DATOS'!E220&amp;"")&lt;&gt;"Por comprobar"))),2,IF('DATOS'!M220="No",2,IF('DATOS'!M220="Sí",0,IF(OR('DATOS'!D220&lt;&gt;'DATOS'!E220,LEN('DATOS'!E220)&gt;300,RIGHT(TRIM('DATOS'!E220),3)="...",RIGHT(TRIM('DATOS'!E220),1)="…"),1,0))))),2)</f>
      </c>
      <c r="S220" s="29">
        <f>IFERROR(IF(N220=0,"",IF('REFERENCIAS'!$Q$8&lt;&gt;1,2,IF(NOT(Y220=1),1,IF(OR(ABS('DATOS'!G220-ROUND('DATOS'!G220,'REFERENCIAS'!$E$8))&gt;0.00000001,ABS('DATOS'!H220-ROUND('DATOS'!H220,'REFERENCIAS'!$H$8))&gt;0.00000001,ABS('DATOS'!J220-ROUND('DATOS'!J220,'REFERENCIAS'!$K$8))&gt;0.00000001,IF(ISNUMBER('DATOS'!I220),ABS('DATOS'!I220-ROUND('DATOS'!I220,'REFERENCIAS'!$H$8))&gt;0.00000001,FALSE)),1,0)))),2)</f>
      </c>
      <c r="T220" s="29">
        <f>IFERROR(IF(N220=0,"",IF(NOT(AND(LEN(TRIM('DATOS'!F220&amp;""))&gt;0,TRIM('DATOS'!F220&amp;"")&lt;&gt;"Pendiente",TRIM('DATOS'!F220&amp;"")&lt;&gt;"Por confirmar",TRIM('DATOS'!F220&amp;"")&lt;&gt;"No consta",TRIM('DATOS'!F220&amp;"")&lt;&gt;"Desconocido",TRIM('DATOS'!F220&amp;"")&lt;&gt;"Sin confirmar",TRIM('DATOS'!F220&amp;"")&lt;&gt;"Por decidir",TRIM('DATOS'!F220&amp;"")&lt;&gt;"Por comprobar")),2,IF(COUNTIFS('REFERENCIAS'!$T$15:$T$34,"ID:"&amp;SUBSTITUTE(SUBSTITUTE(SUBSTITUTE(SUBSTITUTE(UPPER(TRIM('DATOS'!F220&amp;"")),"!","!E"),"*","!A"),"?","!B"),"~","!C"),'REFERENCIAS'!$H$15:$H$34,"&lt;&gt;")&gt;0,0,1))),2)</f>
      </c>
      <c r="U220" s="29" t="str">
        <f>'DATOS'!R220</f>
        <v>ID:</v>
      </c>
      <c r="V220" s="29" t="str">
        <f>'DATOS'!S220</f>
        <v>ID:</v>
      </c>
      <c r="W220" s="29" t="n">
        <f>IF(N220=0,0,COUNTIFS('REFERENCIAS'!$R$15:$R$64,U220))</f>
        <v>0</v>
      </c>
      <c r="X220" s="29" t="n">
        <f>IF(N220=0,0,COUNTIFS('DATOS'!$R$10:$R$509,U220,'DATOS'!$S$10:$S$509,V220))</f>
        <v>0</v>
      </c>
      <c r="Y220" s="29" t="n">
        <f>IF(AND(ISNUMBER('DATOS'!G220),ISNUMBER('DATOS'!H220),ISNUMBER('DATOS'!J220)),1,0)</f>
        <v>0</v>
      </c>
    </row>
    <row r="221" ht="64" customHeight="1">
      <c r="B221" s="26">
        <f>IF(N221=1,212,"")</f>
      </c>
      <c r="C221" s="26">
        <f>IF(AND(N221=1,LEN(TRIM('DATOS'!B221&amp;""))&gt;0),'DATOS'!B221,"")</f>
      </c>
      <c r="D221" s="26">
        <f>IF(AND(N221=1,LEN(TRIM('DATOS'!C221&amp;""))&gt;0),'DATOS'!C221,"")</f>
      </c>
      <c r="E221" s="26">
        <f>IF(NOT(ISNUMBER(P221)),"",IF(P221=2,"ROJO",IF(P221=1,"ÁMBAR","VERDE")))</f>
      </c>
      <c r="F221" s="26">
        <f>IF(NOT(ISNUMBER(Q221)),"",IF(Q221=2,"ROJO",IF(Q221=1,"ÁMBAR","VERDE")))</f>
      </c>
      <c r="G221" s="26">
        <f>IF(NOT(ISNUMBER(R221)),"",IF(R221=2,"ROJO",IF(R221=1,"ÁMBAR","VERDE")))</f>
      </c>
      <c r="H221" s="26">
        <f>IF(NOT(ISNUMBER(S221)),"",IF(S221=2,"ROJO",IF(S221=1,"ÁMBAR","VERDE")))</f>
      </c>
      <c r="I221" s="26">
        <f>IF(NOT(ISNUMBER(T221)),"",IF(T221=2,"ROJO",IF(T221=1,"ÁMBAR","VERDE")))</f>
      </c>
      <c r="J221" s="26">
        <f>IF(NOT(ISNUMBER(O221)),"",IF(O221=2,"ROJO",IF(O221=1,"ÁMBAR","VERDE")))</f>
      </c>
      <c r="K221" s="26">
        <f>IFERROR(IF(AND(N221=1,LEN(TRIM('DATOS'!N221&amp;""))&gt;0),'DATOS'!N221,""),"Hay una entrada con error. Corregimos el dato antes de cerrar la comprobación.")</f>
      </c>
      <c r="L221" s="26">
        <f>IFERROR(IF(N221=0,"",IF(O221&gt;0,"Completamos datos, claves o motivo. ","")&amp;IF(P221&gt;0,"Cotejamos precios e importe. ","")&amp;IF(Q221&gt;0,"Aclaramos el cero. ","")&amp;IF(R221&gt;0,"Comprobamos el texto. ","")&amp;IF(S221&gt;0,"Revisamos decimales visibles. ","")&amp;IF(T221&gt;0,"Confirmamos la unidad.","")),"Hay una entrada con error. Corregimos el dato antes de cerrar la comprobación.")</f>
      </c>
      <c r="N221" s="29" t="n">
        <f>IF(COUNTA('DATOS'!B221:O221)&gt;0,1,0)</f>
        <v>0</v>
      </c>
      <c r="O221" s="29">
        <f>IFERROR(IF(N221=0,"",IF(OR(NOT(AND(LEN(TRIM('DATOS'!B221&amp;""))&gt;0,TRIM('DATOS'!B221&amp;"")&lt;&gt;"Pendiente",TRIM('DATOS'!B221&amp;"")&lt;&gt;"Por confirmar",TRIM('DATOS'!B221&amp;"")&lt;&gt;"No consta",TRIM('DATOS'!B221&amp;"")&lt;&gt;"Desconocido",TRIM('DATOS'!B221&amp;"")&lt;&gt;"Sin confirmar",TRIM('DATOS'!B221&amp;"")&lt;&gt;"Por decidir",TRIM('DATOS'!B221&amp;"")&lt;&gt;"Por comprobar")),NOT(AND(LEN(TRIM('DATOS'!C221&amp;""))&gt;0,TRIM('DATOS'!C221&amp;"")&lt;&gt;"Pendiente",TRIM('DATOS'!C221&amp;"")&lt;&gt;"Por confirmar",TRIM('DATOS'!C221&amp;"")&lt;&gt;"No consta",TRIM('DATOS'!C221&amp;"")&lt;&gt;"Desconocido",TRIM('DATOS'!C221&amp;"")&lt;&gt;"Sin confirmar",TRIM('DATOS'!C221&amp;"")&lt;&gt;"Por decidir",TRIM('DATOS'!C221&amp;"")&lt;&gt;"Por comprobar")),NOT(AND(LEN(TRIM('DATOS'!D221&amp;""))&gt;0,TRIM('DATOS'!D221&amp;"")&lt;&gt;"Pendiente",TRIM('DATOS'!D221&amp;"")&lt;&gt;"Por confirmar",TRIM('DATOS'!D221&amp;"")&lt;&gt;"No consta",TRIM('DATOS'!D221&amp;"")&lt;&gt;"Desconocido",TRIM('DATOS'!D221&amp;"")&lt;&gt;"Sin confirmar",TRIM('DATOS'!D221&amp;"")&lt;&gt;"Por decidir",TRIM('DATOS'!D221&amp;"")&lt;&gt;"Por comprobar")),NOT(AND(LEN(TRIM('DATOS'!E221&amp;""))&gt;0,TRIM('DATOS'!E221&amp;"")&lt;&gt;"Pendiente",TRIM('DATOS'!E221&amp;"")&lt;&gt;"Por confirmar",TRIM('DATOS'!E221&amp;"")&lt;&gt;"No consta",TRIM('DATOS'!E221&amp;"")&lt;&gt;"Desconocido",TRIM('DATOS'!E221&amp;"")&lt;&gt;"Sin confirmar",TRIM('DATOS'!E221&amp;"")&lt;&gt;"Por decidir",TRIM('DATOS'!E221&amp;"")&lt;&gt;"Por comprobar")),NOT(AND(LEN(TRIM('DATOS'!F221&amp;""))&gt;0,TRIM('DATOS'!F221&amp;"")&lt;&gt;"Pendiente",TRIM('DATOS'!F221&amp;"")&lt;&gt;"Por confirmar",TRIM('DATOS'!F221&amp;"")&lt;&gt;"No consta",TRIM('DATOS'!F221&amp;"")&lt;&gt;"Desconocido",TRIM('DATOS'!F221&amp;"")&lt;&gt;"Sin confirmar",TRIM('DATOS'!F221&amp;"")&lt;&gt;"Por decidir",TRIM('DATOS'!F221&amp;"")&lt;&gt;"Por comprobar")),NOT(AND(LEN(TRIM('DATOS'!N221&amp;""))&gt;0,TRIM('DATOS'!N221&amp;"")&lt;&gt;"Pendiente",TRIM('DATOS'!N221&amp;"")&lt;&gt;"Por confirmar",TRIM('DATOS'!N221&amp;"")&lt;&gt;"No consta",TRIM('DATOS'!N221&amp;"")&lt;&gt;"Desconocido",TRIM('DATOS'!N221&amp;"")&lt;&gt;"Sin confirmar",TRIM('DATOS'!N221&amp;"")&lt;&gt;"Por decidir",TRIM('DATOS'!N221&amp;"")&lt;&gt;"Por comprobar")),NOT(Y221=1),W221&lt;&gt;1,X221&gt;1,NOT(OR(LEN(TRIM('DATOS'!K221&amp;""))=0,'DATOS'!K221="Sin valorar",'DATOS'!K221="Sin coste documentado",'DATOS'!K221="Incluido en otra partida",'DATOS'!K221="Por confirmar")),NOT(OR(LEN(TRIM('DATOS'!M221&amp;""))=0,'DATOS'!M221="Sí",'DATOS'!M221="No",'DATOS'!M221="Por confirmar")),NOT(OR(LEN(TRIM('DATOS'!O221&amp;""))=0,'DATOS'!O221="Comparamos",'DATOS'!O221="No existe",'DATOS'!O221="Por confirmar"))),2,IF(AND(OR('DATOS'!G221&lt;0,'DATOS'!H221&lt;0,'DATOS'!J221&lt;0),NOT(AND(LEN(TRIM('DATOS'!L221&amp;""))&gt;0,TRIM('DATOS'!L221&amp;"")&lt;&gt;"Pendiente",TRIM('DATOS'!L221&amp;"")&lt;&gt;"Por confirmar",TRIM('DATOS'!L221&amp;"")&lt;&gt;"No consta",TRIM('DATOS'!L221&amp;"")&lt;&gt;"Desconocido",TRIM('DATOS'!L221&amp;"")&lt;&gt;"Sin confirmar",TRIM('DATOS'!L221&amp;"")&lt;&gt;"Por decidir",TRIM('DATOS'!L221&amp;"")&lt;&gt;"Por comprobar"))),1,0))),2)</f>
      </c>
      <c r="P221" s="29">
        <f>IFERROR(IF(N221=0,"",IF(NOT(Y221=1),1,IF('REFERENCIAS'!$Q$8&lt;&gt;1,2,IF(ABS('DATOS'!J221-ROUND('DATOS'!G221*'DATOS'!H221,'REFERENCIAS'!$K$8))&gt;0.00000001,2,IF('DATOS'!O221="No existe",IF(LEN(TRIM('DATOS'!I221&amp;""))=0,0,2),IF('DATOS'!O221="Comparamos",IF(LEN(TRIM('DATOS'!I221&amp;""))=0,1,IF(ISNUMBER('DATOS'!I221),IF(ABS('DATOS'!H221-'DATOS'!I221)&gt;0.00000001,2,0),2)),1)))))),2)</f>
      </c>
      <c r="Q221" s="29">
        <f>IFERROR(IF(N221=0,"",IF(NOT(Y221=1),1,IF('DATOS'!K221="Sin valorar",2,IF('DATOS'!G221=0,1,IF(OR('DATOS'!H221=0,'DATOS'!J221=0),IF(AND(OR('DATOS'!K221="Sin coste documentado",'DATOS'!K221="Incluido en otra partida"),AND(LEN(TRIM('DATOS'!L221&amp;""))&gt;0,TRIM('DATOS'!L221&amp;"")&lt;&gt;"Pendiente",TRIM('DATOS'!L221&amp;"")&lt;&gt;"Por confirmar",TRIM('DATOS'!L221&amp;"")&lt;&gt;"No consta",TRIM('DATOS'!L221&amp;"")&lt;&gt;"Desconocido",TRIM('DATOS'!L221&amp;"")&lt;&gt;"Sin confirmar",TRIM('DATOS'!L221&amp;"")&lt;&gt;"Por decidir",TRIM('DATOS'!L221&amp;"")&lt;&gt;"Por comprobar")),0,1),0))))),2)</f>
      </c>
      <c r="R221" s="29">
        <f>IFERROR(IF(N221=0,"",IF(OR(NOT(AND(LEN(TRIM('DATOS'!D221&amp;""))&gt;0,TRIM('DATOS'!D221&amp;"")&lt;&gt;"Pendiente",TRIM('DATOS'!D221&amp;"")&lt;&gt;"Por confirmar",TRIM('DATOS'!D221&amp;"")&lt;&gt;"No consta",TRIM('DATOS'!D221&amp;"")&lt;&gt;"Desconocido",TRIM('DATOS'!D221&amp;"")&lt;&gt;"Sin confirmar",TRIM('DATOS'!D221&amp;"")&lt;&gt;"Por decidir",TRIM('DATOS'!D221&amp;"")&lt;&gt;"Por comprobar")),NOT(AND(LEN(TRIM('DATOS'!E221&amp;""))&gt;0,TRIM('DATOS'!E221&amp;"")&lt;&gt;"Pendiente",TRIM('DATOS'!E221&amp;"")&lt;&gt;"Por confirmar",TRIM('DATOS'!E221&amp;"")&lt;&gt;"No consta",TRIM('DATOS'!E221&amp;"")&lt;&gt;"Desconocido",TRIM('DATOS'!E221&amp;"")&lt;&gt;"Sin confirmar",TRIM('DATOS'!E221&amp;"")&lt;&gt;"Por decidir",TRIM('DATOS'!E221&amp;"")&lt;&gt;"Por comprobar"))),2,IF('DATOS'!M221="No",2,IF('DATOS'!M221="Sí",0,IF(OR('DATOS'!D221&lt;&gt;'DATOS'!E221,LEN('DATOS'!E221)&gt;300,RIGHT(TRIM('DATOS'!E221),3)="...",RIGHT(TRIM('DATOS'!E221),1)="…"),1,0))))),2)</f>
      </c>
      <c r="S221" s="29">
        <f>IFERROR(IF(N221=0,"",IF('REFERENCIAS'!$Q$8&lt;&gt;1,2,IF(NOT(Y221=1),1,IF(OR(ABS('DATOS'!G221-ROUND('DATOS'!G221,'REFERENCIAS'!$E$8))&gt;0.00000001,ABS('DATOS'!H221-ROUND('DATOS'!H221,'REFERENCIAS'!$H$8))&gt;0.00000001,ABS('DATOS'!J221-ROUND('DATOS'!J221,'REFERENCIAS'!$K$8))&gt;0.00000001,IF(ISNUMBER('DATOS'!I221),ABS('DATOS'!I221-ROUND('DATOS'!I221,'REFERENCIAS'!$H$8))&gt;0.00000001,FALSE)),1,0)))),2)</f>
      </c>
      <c r="T221" s="29">
        <f>IFERROR(IF(N221=0,"",IF(NOT(AND(LEN(TRIM('DATOS'!F221&amp;""))&gt;0,TRIM('DATOS'!F221&amp;"")&lt;&gt;"Pendiente",TRIM('DATOS'!F221&amp;"")&lt;&gt;"Por confirmar",TRIM('DATOS'!F221&amp;"")&lt;&gt;"No consta",TRIM('DATOS'!F221&amp;"")&lt;&gt;"Desconocido",TRIM('DATOS'!F221&amp;"")&lt;&gt;"Sin confirmar",TRIM('DATOS'!F221&amp;"")&lt;&gt;"Por decidir",TRIM('DATOS'!F221&amp;"")&lt;&gt;"Por comprobar")),2,IF(COUNTIFS('REFERENCIAS'!$T$15:$T$34,"ID:"&amp;SUBSTITUTE(SUBSTITUTE(SUBSTITUTE(SUBSTITUTE(UPPER(TRIM('DATOS'!F221&amp;"")),"!","!E"),"*","!A"),"?","!B"),"~","!C"),'REFERENCIAS'!$H$15:$H$34,"&lt;&gt;")&gt;0,0,1))),2)</f>
      </c>
      <c r="U221" s="29" t="str">
        <f>'DATOS'!R221</f>
        <v>ID:</v>
      </c>
      <c r="V221" s="29" t="str">
        <f>'DATOS'!S221</f>
        <v>ID:</v>
      </c>
      <c r="W221" s="29" t="n">
        <f>IF(N221=0,0,COUNTIFS('REFERENCIAS'!$R$15:$R$64,U221))</f>
        <v>0</v>
      </c>
      <c r="X221" s="29" t="n">
        <f>IF(N221=0,0,COUNTIFS('DATOS'!$R$10:$R$509,U221,'DATOS'!$S$10:$S$509,V221))</f>
        <v>0</v>
      </c>
      <c r="Y221" s="29" t="n">
        <f>IF(AND(ISNUMBER('DATOS'!G221),ISNUMBER('DATOS'!H221),ISNUMBER('DATOS'!J221)),1,0)</f>
        <v>0</v>
      </c>
    </row>
    <row r="222" ht="64" customHeight="1">
      <c r="B222" s="26">
        <f>IF(N222=1,213,"")</f>
      </c>
      <c r="C222" s="26">
        <f>IF(AND(N222=1,LEN(TRIM('DATOS'!B222&amp;""))&gt;0),'DATOS'!B222,"")</f>
      </c>
      <c r="D222" s="26">
        <f>IF(AND(N222=1,LEN(TRIM('DATOS'!C222&amp;""))&gt;0),'DATOS'!C222,"")</f>
      </c>
      <c r="E222" s="26">
        <f>IF(NOT(ISNUMBER(P222)),"",IF(P222=2,"ROJO",IF(P222=1,"ÁMBAR","VERDE")))</f>
      </c>
      <c r="F222" s="26">
        <f>IF(NOT(ISNUMBER(Q222)),"",IF(Q222=2,"ROJO",IF(Q222=1,"ÁMBAR","VERDE")))</f>
      </c>
      <c r="G222" s="26">
        <f>IF(NOT(ISNUMBER(R222)),"",IF(R222=2,"ROJO",IF(R222=1,"ÁMBAR","VERDE")))</f>
      </c>
      <c r="H222" s="26">
        <f>IF(NOT(ISNUMBER(S222)),"",IF(S222=2,"ROJO",IF(S222=1,"ÁMBAR","VERDE")))</f>
      </c>
      <c r="I222" s="26">
        <f>IF(NOT(ISNUMBER(T222)),"",IF(T222=2,"ROJO",IF(T222=1,"ÁMBAR","VERDE")))</f>
      </c>
      <c r="J222" s="26">
        <f>IF(NOT(ISNUMBER(O222)),"",IF(O222=2,"ROJO",IF(O222=1,"ÁMBAR","VERDE")))</f>
      </c>
      <c r="K222" s="26">
        <f>IFERROR(IF(AND(N222=1,LEN(TRIM('DATOS'!N222&amp;""))&gt;0),'DATOS'!N222,""),"Hay una entrada con error. Corregimos el dato antes de cerrar la comprobación.")</f>
      </c>
      <c r="L222" s="26">
        <f>IFERROR(IF(N222=0,"",IF(O222&gt;0,"Completamos datos, claves o motivo. ","")&amp;IF(P222&gt;0,"Cotejamos precios e importe. ","")&amp;IF(Q222&gt;0,"Aclaramos el cero. ","")&amp;IF(R222&gt;0,"Comprobamos el texto. ","")&amp;IF(S222&gt;0,"Revisamos decimales visibles. ","")&amp;IF(T222&gt;0,"Confirmamos la unidad.","")),"Hay una entrada con error. Corregimos el dato antes de cerrar la comprobación.")</f>
      </c>
      <c r="N222" s="29" t="n">
        <f>IF(COUNTA('DATOS'!B222:O222)&gt;0,1,0)</f>
        <v>0</v>
      </c>
      <c r="O222" s="29">
        <f>IFERROR(IF(N222=0,"",IF(OR(NOT(AND(LEN(TRIM('DATOS'!B222&amp;""))&gt;0,TRIM('DATOS'!B222&amp;"")&lt;&gt;"Pendiente",TRIM('DATOS'!B222&amp;"")&lt;&gt;"Por confirmar",TRIM('DATOS'!B222&amp;"")&lt;&gt;"No consta",TRIM('DATOS'!B222&amp;"")&lt;&gt;"Desconocido",TRIM('DATOS'!B222&amp;"")&lt;&gt;"Sin confirmar",TRIM('DATOS'!B222&amp;"")&lt;&gt;"Por decidir",TRIM('DATOS'!B222&amp;"")&lt;&gt;"Por comprobar")),NOT(AND(LEN(TRIM('DATOS'!C222&amp;""))&gt;0,TRIM('DATOS'!C222&amp;"")&lt;&gt;"Pendiente",TRIM('DATOS'!C222&amp;"")&lt;&gt;"Por confirmar",TRIM('DATOS'!C222&amp;"")&lt;&gt;"No consta",TRIM('DATOS'!C222&amp;"")&lt;&gt;"Desconocido",TRIM('DATOS'!C222&amp;"")&lt;&gt;"Sin confirmar",TRIM('DATOS'!C222&amp;"")&lt;&gt;"Por decidir",TRIM('DATOS'!C222&amp;"")&lt;&gt;"Por comprobar")),NOT(AND(LEN(TRIM('DATOS'!D222&amp;""))&gt;0,TRIM('DATOS'!D222&amp;"")&lt;&gt;"Pendiente",TRIM('DATOS'!D222&amp;"")&lt;&gt;"Por confirmar",TRIM('DATOS'!D222&amp;"")&lt;&gt;"No consta",TRIM('DATOS'!D222&amp;"")&lt;&gt;"Desconocido",TRIM('DATOS'!D222&amp;"")&lt;&gt;"Sin confirmar",TRIM('DATOS'!D222&amp;"")&lt;&gt;"Por decidir",TRIM('DATOS'!D222&amp;"")&lt;&gt;"Por comprobar")),NOT(AND(LEN(TRIM('DATOS'!E222&amp;""))&gt;0,TRIM('DATOS'!E222&amp;"")&lt;&gt;"Pendiente",TRIM('DATOS'!E222&amp;"")&lt;&gt;"Por confirmar",TRIM('DATOS'!E222&amp;"")&lt;&gt;"No consta",TRIM('DATOS'!E222&amp;"")&lt;&gt;"Desconocido",TRIM('DATOS'!E222&amp;"")&lt;&gt;"Sin confirmar",TRIM('DATOS'!E222&amp;"")&lt;&gt;"Por decidir",TRIM('DATOS'!E222&amp;"")&lt;&gt;"Por comprobar")),NOT(AND(LEN(TRIM('DATOS'!F222&amp;""))&gt;0,TRIM('DATOS'!F222&amp;"")&lt;&gt;"Pendiente",TRIM('DATOS'!F222&amp;"")&lt;&gt;"Por confirmar",TRIM('DATOS'!F222&amp;"")&lt;&gt;"No consta",TRIM('DATOS'!F222&amp;"")&lt;&gt;"Desconocido",TRIM('DATOS'!F222&amp;"")&lt;&gt;"Sin confirmar",TRIM('DATOS'!F222&amp;"")&lt;&gt;"Por decidir",TRIM('DATOS'!F222&amp;"")&lt;&gt;"Por comprobar")),NOT(AND(LEN(TRIM('DATOS'!N222&amp;""))&gt;0,TRIM('DATOS'!N222&amp;"")&lt;&gt;"Pendiente",TRIM('DATOS'!N222&amp;"")&lt;&gt;"Por confirmar",TRIM('DATOS'!N222&amp;"")&lt;&gt;"No consta",TRIM('DATOS'!N222&amp;"")&lt;&gt;"Desconocido",TRIM('DATOS'!N222&amp;"")&lt;&gt;"Sin confirmar",TRIM('DATOS'!N222&amp;"")&lt;&gt;"Por decidir",TRIM('DATOS'!N222&amp;"")&lt;&gt;"Por comprobar")),NOT(Y222=1),W222&lt;&gt;1,X222&gt;1,NOT(OR(LEN(TRIM('DATOS'!K222&amp;""))=0,'DATOS'!K222="Sin valorar",'DATOS'!K222="Sin coste documentado",'DATOS'!K222="Incluido en otra partida",'DATOS'!K222="Por confirmar")),NOT(OR(LEN(TRIM('DATOS'!M222&amp;""))=0,'DATOS'!M222="Sí",'DATOS'!M222="No",'DATOS'!M222="Por confirmar")),NOT(OR(LEN(TRIM('DATOS'!O222&amp;""))=0,'DATOS'!O222="Comparamos",'DATOS'!O222="No existe",'DATOS'!O222="Por confirmar"))),2,IF(AND(OR('DATOS'!G222&lt;0,'DATOS'!H222&lt;0,'DATOS'!J222&lt;0),NOT(AND(LEN(TRIM('DATOS'!L222&amp;""))&gt;0,TRIM('DATOS'!L222&amp;"")&lt;&gt;"Pendiente",TRIM('DATOS'!L222&amp;"")&lt;&gt;"Por confirmar",TRIM('DATOS'!L222&amp;"")&lt;&gt;"No consta",TRIM('DATOS'!L222&amp;"")&lt;&gt;"Desconocido",TRIM('DATOS'!L222&amp;"")&lt;&gt;"Sin confirmar",TRIM('DATOS'!L222&amp;"")&lt;&gt;"Por decidir",TRIM('DATOS'!L222&amp;"")&lt;&gt;"Por comprobar"))),1,0))),2)</f>
      </c>
      <c r="P222" s="29">
        <f>IFERROR(IF(N222=0,"",IF(NOT(Y222=1),1,IF('REFERENCIAS'!$Q$8&lt;&gt;1,2,IF(ABS('DATOS'!J222-ROUND('DATOS'!G222*'DATOS'!H222,'REFERENCIAS'!$K$8))&gt;0.00000001,2,IF('DATOS'!O222="No existe",IF(LEN(TRIM('DATOS'!I222&amp;""))=0,0,2),IF('DATOS'!O222="Comparamos",IF(LEN(TRIM('DATOS'!I222&amp;""))=0,1,IF(ISNUMBER('DATOS'!I222),IF(ABS('DATOS'!H222-'DATOS'!I222)&gt;0.00000001,2,0),2)),1)))))),2)</f>
      </c>
      <c r="Q222" s="29">
        <f>IFERROR(IF(N222=0,"",IF(NOT(Y222=1),1,IF('DATOS'!K222="Sin valorar",2,IF('DATOS'!G222=0,1,IF(OR('DATOS'!H222=0,'DATOS'!J222=0),IF(AND(OR('DATOS'!K222="Sin coste documentado",'DATOS'!K222="Incluido en otra partida"),AND(LEN(TRIM('DATOS'!L222&amp;""))&gt;0,TRIM('DATOS'!L222&amp;"")&lt;&gt;"Pendiente",TRIM('DATOS'!L222&amp;"")&lt;&gt;"Por confirmar",TRIM('DATOS'!L222&amp;"")&lt;&gt;"No consta",TRIM('DATOS'!L222&amp;"")&lt;&gt;"Desconocido",TRIM('DATOS'!L222&amp;"")&lt;&gt;"Sin confirmar",TRIM('DATOS'!L222&amp;"")&lt;&gt;"Por decidir",TRIM('DATOS'!L222&amp;"")&lt;&gt;"Por comprobar")),0,1),0))))),2)</f>
      </c>
      <c r="R222" s="29">
        <f>IFERROR(IF(N222=0,"",IF(OR(NOT(AND(LEN(TRIM('DATOS'!D222&amp;""))&gt;0,TRIM('DATOS'!D222&amp;"")&lt;&gt;"Pendiente",TRIM('DATOS'!D222&amp;"")&lt;&gt;"Por confirmar",TRIM('DATOS'!D222&amp;"")&lt;&gt;"No consta",TRIM('DATOS'!D222&amp;"")&lt;&gt;"Desconocido",TRIM('DATOS'!D222&amp;"")&lt;&gt;"Sin confirmar",TRIM('DATOS'!D222&amp;"")&lt;&gt;"Por decidir",TRIM('DATOS'!D222&amp;"")&lt;&gt;"Por comprobar")),NOT(AND(LEN(TRIM('DATOS'!E222&amp;""))&gt;0,TRIM('DATOS'!E222&amp;"")&lt;&gt;"Pendiente",TRIM('DATOS'!E222&amp;"")&lt;&gt;"Por confirmar",TRIM('DATOS'!E222&amp;"")&lt;&gt;"No consta",TRIM('DATOS'!E222&amp;"")&lt;&gt;"Desconocido",TRIM('DATOS'!E222&amp;"")&lt;&gt;"Sin confirmar",TRIM('DATOS'!E222&amp;"")&lt;&gt;"Por decidir",TRIM('DATOS'!E222&amp;"")&lt;&gt;"Por comprobar"))),2,IF('DATOS'!M222="No",2,IF('DATOS'!M222="Sí",0,IF(OR('DATOS'!D222&lt;&gt;'DATOS'!E222,LEN('DATOS'!E222)&gt;300,RIGHT(TRIM('DATOS'!E222),3)="...",RIGHT(TRIM('DATOS'!E222),1)="…"),1,0))))),2)</f>
      </c>
      <c r="S222" s="29">
        <f>IFERROR(IF(N222=0,"",IF('REFERENCIAS'!$Q$8&lt;&gt;1,2,IF(NOT(Y222=1),1,IF(OR(ABS('DATOS'!G222-ROUND('DATOS'!G222,'REFERENCIAS'!$E$8))&gt;0.00000001,ABS('DATOS'!H222-ROUND('DATOS'!H222,'REFERENCIAS'!$H$8))&gt;0.00000001,ABS('DATOS'!J222-ROUND('DATOS'!J222,'REFERENCIAS'!$K$8))&gt;0.00000001,IF(ISNUMBER('DATOS'!I222),ABS('DATOS'!I222-ROUND('DATOS'!I222,'REFERENCIAS'!$H$8))&gt;0.00000001,FALSE)),1,0)))),2)</f>
      </c>
      <c r="T222" s="29">
        <f>IFERROR(IF(N222=0,"",IF(NOT(AND(LEN(TRIM('DATOS'!F222&amp;""))&gt;0,TRIM('DATOS'!F222&amp;"")&lt;&gt;"Pendiente",TRIM('DATOS'!F222&amp;"")&lt;&gt;"Por confirmar",TRIM('DATOS'!F222&amp;"")&lt;&gt;"No consta",TRIM('DATOS'!F222&amp;"")&lt;&gt;"Desconocido",TRIM('DATOS'!F222&amp;"")&lt;&gt;"Sin confirmar",TRIM('DATOS'!F222&amp;"")&lt;&gt;"Por decidir",TRIM('DATOS'!F222&amp;"")&lt;&gt;"Por comprobar")),2,IF(COUNTIFS('REFERENCIAS'!$T$15:$T$34,"ID:"&amp;SUBSTITUTE(SUBSTITUTE(SUBSTITUTE(SUBSTITUTE(UPPER(TRIM('DATOS'!F222&amp;"")),"!","!E"),"*","!A"),"?","!B"),"~","!C"),'REFERENCIAS'!$H$15:$H$34,"&lt;&gt;")&gt;0,0,1))),2)</f>
      </c>
      <c r="U222" s="29" t="str">
        <f>'DATOS'!R222</f>
        <v>ID:</v>
      </c>
      <c r="V222" s="29" t="str">
        <f>'DATOS'!S222</f>
        <v>ID:</v>
      </c>
      <c r="W222" s="29" t="n">
        <f>IF(N222=0,0,COUNTIFS('REFERENCIAS'!$R$15:$R$64,U222))</f>
        <v>0</v>
      </c>
      <c r="X222" s="29" t="n">
        <f>IF(N222=0,0,COUNTIFS('DATOS'!$R$10:$R$509,U222,'DATOS'!$S$10:$S$509,V222))</f>
        <v>0</v>
      </c>
      <c r="Y222" s="29" t="n">
        <f>IF(AND(ISNUMBER('DATOS'!G222),ISNUMBER('DATOS'!H222),ISNUMBER('DATOS'!J222)),1,0)</f>
        <v>0</v>
      </c>
    </row>
    <row r="223" ht="64" customHeight="1">
      <c r="B223" s="26">
        <f>IF(N223=1,214,"")</f>
      </c>
      <c r="C223" s="26">
        <f>IF(AND(N223=1,LEN(TRIM('DATOS'!B223&amp;""))&gt;0),'DATOS'!B223,"")</f>
      </c>
      <c r="D223" s="26">
        <f>IF(AND(N223=1,LEN(TRIM('DATOS'!C223&amp;""))&gt;0),'DATOS'!C223,"")</f>
      </c>
      <c r="E223" s="26">
        <f>IF(NOT(ISNUMBER(P223)),"",IF(P223=2,"ROJO",IF(P223=1,"ÁMBAR","VERDE")))</f>
      </c>
      <c r="F223" s="26">
        <f>IF(NOT(ISNUMBER(Q223)),"",IF(Q223=2,"ROJO",IF(Q223=1,"ÁMBAR","VERDE")))</f>
      </c>
      <c r="G223" s="26">
        <f>IF(NOT(ISNUMBER(R223)),"",IF(R223=2,"ROJO",IF(R223=1,"ÁMBAR","VERDE")))</f>
      </c>
      <c r="H223" s="26">
        <f>IF(NOT(ISNUMBER(S223)),"",IF(S223=2,"ROJO",IF(S223=1,"ÁMBAR","VERDE")))</f>
      </c>
      <c r="I223" s="26">
        <f>IF(NOT(ISNUMBER(T223)),"",IF(T223=2,"ROJO",IF(T223=1,"ÁMBAR","VERDE")))</f>
      </c>
      <c r="J223" s="26">
        <f>IF(NOT(ISNUMBER(O223)),"",IF(O223=2,"ROJO",IF(O223=1,"ÁMBAR","VERDE")))</f>
      </c>
      <c r="K223" s="26">
        <f>IFERROR(IF(AND(N223=1,LEN(TRIM('DATOS'!N223&amp;""))&gt;0),'DATOS'!N223,""),"Hay una entrada con error. Corregimos el dato antes de cerrar la comprobación.")</f>
      </c>
      <c r="L223" s="26">
        <f>IFERROR(IF(N223=0,"",IF(O223&gt;0,"Completamos datos, claves o motivo. ","")&amp;IF(P223&gt;0,"Cotejamos precios e importe. ","")&amp;IF(Q223&gt;0,"Aclaramos el cero. ","")&amp;IF(R223&gt;0,"Comprobamos el texto. ","")&amp;IF(S223&gt;0,"Revisamos decimales visibles. ","")&amp;IF(T223&gt;0,"Confirmamos la unidad.","")),"Hay una entrada con error. Corregimos el dato antes de cerrar la comprobación.")</f>
      </c>
      <c r="N223" s="29" t="n">
        <f>IF(COUNTA('DATOS'!B223:O223)&gt;0,1,0)</f>
        <v>0</v>
      </c>
      <c r="O223" s="29">
        <f>IFERROR(IF(N223=0,"",IF(OR(NOT(AND(LEN(TRIM('DATOS'!B223&amp;""))&gt;0,TRIM('DATOS'!B223&amp;"")&lt;&gt;"Pendiente",TRIM('DATOS'!B223&amp;"")&lt;&gt;"Por confirmar",TRIM('DATOS'!B223&amp;"")&lt;&gt;"No consta",TRIM('DATOS'!B223&amp;"")&lt;&gt;"Desconocido",TRIM('DATOS'!B223&amp;"")&lt;&gt;"Sin confirmar",TRIM('DATOS'!B223&amp;"")&lt;&gt;"Por decidir",TRIM('DATOS'!B223&amp;"")&lt;&gt;"Por comprobar")),NOT(AND(LEN(TRIM('DATOS'!C223&amp;""))&gt;0,TRIM('DATOS'!C223&amp;"")&lt;&gt;"Pendiente",TRIM('DATOS'!C223&amp;"")&lt;&gt;"Por confirmar",TRIM('DATOS'!C223&amp;"")&lt;&gt;"No consta",TRIM('DATOS'!C223&amp;"")&lt;&gt;"Desconocido",TRIM('DATOS'!C223&amp;"")&lt;&gt;"Sin confirmar",TRIM('DATOS'!C223&amp;"")&lt;&gt;"Por decidir",TRIM('DATOS'!C223&amp;"")&lt;&gt;"Por comprobar")),NOT(AND(LEN(TRIM('DATOS'!D223&amp;""))&gt;0,TRIM('DATOS'!D223&amp;"")&lt;&gt;"Pendiente",TRIM('DATOS'!D223&amp;"")&lt;&gt;"Por confirmar",TRIM('DATOS'!D223&amp;"")&lt;&gt;"No consta",TRIM('DATOS'!D223&amp;"")&lt;&gt;"Desconocido",TRIM('DATOS'!D223&amp;"")&lt;&gt;"Sin confirmar",TRIM('DATOS'!D223&amp;"")&lt;&gt;"Por decidir",TRIM('DATOS'!D223&amp;"")&lt;&gt;"Por comprobar")),NOT(AND(LEN(TRIM('DATOS'!E223&amp;""))&gt;0,TRIM('DATOS'!E223&amp;"")&lt;&gt;"Pendiente",TRIM('DATOS'!E223&amp;"")&lt;&gt;"Por confirmar",TRIM('DATOS'!E223&amp;"")&lt;&gt;"No consta",TRIM('DATOS'!E223&amp;"")&lt;&gt;"Desconocido",TRIM('DATOS'!E223&amp;"")&lt;&gt;"Sin confirmar",TRIM('DATOS'!E223&amp;"")&lt;&gt;"Por decidir",TRIM('DATOS'!E223&amp;"")&lt;&gt;"Por comprobar")),NOT(AND(LEN(TRIM('DATOS'!F223&amp;""))&gt;0,TRIM('DATOS'!F223&amp;"")&lt;&gt;"Pendiente",TRIM('DATOS'!F223&amp;"")&lt;&gt;"Por confirmar",TRIM('DATOS'!F223&amp;"")&lt;&gt;"No consta",TRIM('DATOS'!F223&amp;"")&lt;&gt;"Desconocido",TRIM('DATOS'!F223&amp;"")&lt;&gt;"Sin confirmar",TRIM('DATOS'!F223&amp;"")&lt;&gt;"Por decidir",TRIM('DATOS'!F223&amp;"")&lt;&gt;"Por comprobar")),NOT(AND(LEN(TRIM('DATOS'!N223&amp;""))&gt;0,TRIM('DATOS'!N223&amp;"")&lt;&gt;"Pendiente",TRIM('DATOS'!N223&amp;"")&lt;&gt;"Por confirmar",TRIM('DATOS'!N223&amp;"")&lt;&gt;"No consta",TRIM('DATOS'!N223&amp;"")&lt;&gt;"Desconocido",TRIM('DATOS'!N223&amp;"")&lt;&gt;"Sin confirmar",TRIM('DATOS'!N223&amp;"")&lt;&gt;"Por decidir",TRIM('DATOS'!N223&amp;"")&lt;&gt;"Por comprobar")),NOT(Y223=1),W223&lt;&gt;1,X223&gt;1,NOT(OR(LEN(TRIM('DATOS'!K223&amp;""))=0,'DATOS'!K223="Sin valorar",'DATOS'!K223="Sin coste documentado",'DATOS'!K223="Incluido en otra partida",'DATOS'!K223="Por confirmar")),NOT(OR(LEN(TRIM('DATOS'!M223&amp;""))=0,'DATOS'!M223="Sí",'DATOS'!M223="No",'DATOS'!M223="Por confirmar")),NOT(OR(LEN(TRIM('DATOS'!O223&amp;""))=0,'DATOS'!O223="Comparamos",'DATOS'!O223="No existe",'DATOS'!O223="Por confirmar"))),2,IF(AND(OR('DATOS'!G223&lt;0,'DATOS'!H223&lt;0,'DATOS'!J223&lt;0),NOT(AND(LEN(TRIM('DATOS'!L223&amp;""))&gt;0,TRIM('DATOS'!L223&amp;"")&lt;&gt;"Pendiente",TRIM('DATOS'!L223&amp;"")&lt;&gt;"Por confirmar",TRIM('DATOS'!L223&amp;"")&lt;&gt;"No consta",TRIM('DATOS'!L223&amp;"")&lt;&gt;"Desconocido",TRIM('DATOS'!L223&amp;"")&lt;&gt;"Sin confirmar",TRIM('DATOS'!L223&amp;"")&lt;&gt;"Por decidir",TRIM('DATOS'!L223&amp;"")&lt;&gt;"Por comprobar"))),1,0))),2)</f>
      </c>
      <c r="P223" s="29">
        <f>IFERROR(IF(N223=0,"",IF(NOT(Y223=1),1,IF('REFERENCIAS'!$Q$8&lt;&gt;1,2,IF(ABS('DATOS'!J223-ROUND('DATOS'!G223*'DATOS'!H223,'REFERENCIAS'!$K$8))&gt;0.00000001,2,IF('DATOS'!O223="No existe",IF(LEN(TRIM('DATOS'!I223&amp;""))=0,0,2),IF('DATOS'!O223="Comparamos",IF(LEN(TRIM('DATOS'!I223&amp;""))=0,1,IF(ISNUMBER('DATOS'!I223),IF(ABS('DATOS'!H223-'DATOS'!I223)&gt;0.00000001,2,0),2)),1)))))),2)</f>
      </c>
      <c r="Q223" s="29">
        <f>IFERROR(IF(N223=0,"",IF(NOT(Y223=1),1,IF('DATOS'!K223="Sin valorar",2,IF('DATOS'!G223=0,1,IF(OR('DATOS'!H223=0,'DATOS'!J223=0),IF(AND(OR('DATOS'!K223="Sin coste documentado",'DATOS'!K223="Incluido en otra partida"),AND(LEN(TRIM('DATOS'!L223&amp;""))&gt;0,TRIM('DATOS'!L223&amp;"")&lt;&gt;"Pendiente",TRIM('DATOS'!L223&amp;"")&lt;&gt;"Por confirmar",TRIM('DATOS'!L223&amp;"")&lt;&gt;"No consta",TRIM('DATOS'!L223&amp;"")&lt;&gt;"Desconocido",TRIM('DATOS'!L223&amp;"")&lt;&gt;"Sin confirmar",TRIM('DATOS'!L223&amp;"")&lt;&gt;"Por decidir",TRIM('DATOS'!L223&amp;"")&lt;&gt;"Por comprobar")),0,1),0))))),2)</f>
      </c>
      <c r="R223" s="29">
        <f>IFERROR(IF(N223=0,"",IF(OR(NOT(AND(LEN(TRIM('DATOS'!D223&amp;""))&gt;0,TRIM('DATOS'!D223&amp;"")&lt;&gt;"Pendiente",TRIM('DATOS'!D223&amp;"")&lt;&gt;"Por confirmar",TRIM('DATOS'!D223&amp;"")&lt;&gt;"No consta",TRIM('DATOS'!D223&amp;"")&lt;&gt;"Desconocido",TRIM('DATOS'!D223&amp;"")&lt;&gt;"Sin confirmar",TRIM('DATOS'!D223&amp;"")&lt;&gt;"Por decidir",TRIM('DATOS'!D223&amp;"")&lt;&gt;"Por comprobar")),NOT(AND(LEN(TRIM('DATOS'!E223&amp;""))&gt;0,TRIM('DATOS'!E223&amp;"")&lt;&gt;"Pendiente",TRIM('DATOS'!E223&amp;"")&lt;&gt;"Por confirmar",TRIM('DATOS'!E223&amp;"")&lt;&gt;"No consta",TRIM('DATOS'!E223&amp;"")&lt;&gt;"Desconocido",TRIM('DATOS'!E223&amp;"")&lt;&gt;"Sin confirmar",TRIM('DATOS'!E223&amp;"")&lt;&gt;"Por decidir",TRIM('DATOS'!E223&amp;"")&lt;&gt;"Por comprobar"))),2,IF('DATOS'!M223="No",2,IF('DATOS'!M223="Sí",0,IF(OR('DATOS'!D223&lt;&gt;'DATOS'!E223,LEN('DATOS'!E223)&gt;300,RIGHT(TRIM('DATOS'!E223),3)="...",RIGHT(TRIM('DATOS'!E223),1)="…"),1,0))))),2)</f>
      </c>
      <c r="S223" s="29">
        <f>IFERROR(IF(N223=0,"",IF('REFERENCIAS'!$Q$8&lt;&gt;1,2,IF(NOT(Y223=1),1,IF(OR(ABS('DATOS'!G223-ROUND('DATOS'!G223,'REFERENCIAS'!$E$8))&gt;0.00000001,ABS('DATOS'!H223-ROUND('DATOS'!H223,'REFERENCIAS'!$H$8))&gt;0.00000001,ABS('DATOS'!J223-ROUND('DATOS'!J223,'REFERENCIAS'!$K$8))&gt;0.00000001,IF(ISNUMBER('DATOS'!I223),ABS('DATOS'!I223-ROUND('DATOS'!I223,'REFERENCIAS'!$H$8))&gt;0.00000001,FALSE)),1,0)))),2)</f>
      </c>
      <c r="T223" s="29">
        <f>IFERROR(IF(N223=0,"",IF(NOT(AND(LEN(TRIM('DATOS'!F223&amp;""))&gt;0,TRIM('DATOS'!F223&amp;"")&lt;&gt;"Pendiente",TRIM('DATOS'!F223&amp;"")&lt;&gt;"Por confirmar",TRIM('DATOS'!F223&amp;"")&lt;&gt;"No consta",TRIM('DATOS'!F223&amp;"")&lt;&gt;"Desconocido",TRIM('DATOS'!F223&amp;"")&lt;&gt;"Sin confirmar",TRIM('DATOS'!F223&amp;"")&lt;&gt;"Por decidir",TRIM('DATOS'!F223&amp;"")&lt;&gt;"Por comprobar")),2,IF(COUNTIFS('REFERENCIAS'!$T$15:$T$34,"ID:"&amp;SUBSTITUTE(SUBSTITUTE(SUBSTITUTE(SUBSTITUTE(UPPER(TRIM('DATOS'!F223&amp;"")),"!","!E"),"*","!A"),"?","!B"),"~","!C"),'REFERENCIAS'!$H$15:$H$34,"&lt;&gt;")&gt;0,0,1))),2)</f>
      </c>
      <c r="U223" s="29" t="str">
        <f>'DATOS'!R223</f>
        <v>ID:</v>
      </c>
      <c r="V223" s="29" t="str">
        <f>'DATOS'!S223</f>
        <v>ID:</v>
      </c>
      <c r="W223" s="29" t="n">
        <f>IF(N223=0,0,COUNTIFS('REFERENCIAS'!$R$15:$R$64,U223))</f>
        <v>0</v>
      </c>
      <c r="X223" s="29" t="n">
        <f>IF(N223=0,0,COUNTIFS('DATOS'!$R$10:$R$509,U223,'DATOS'!$S$10:$S$509,V223))</f>
        <v>0</v>
      </c>
      <c r="Y223" s="29" t="n">
        <f>IF(AND(ISNUMBER('DATOS'!G223),ISNUMBER('DATOS'!H223),ISNUMBER('DATOS'!J223)),1,0)</f>
        <v>0</v>
      </c>
    </row>
    <row r="224" ht="64" customHeight="1">
      <c r="B224" s="26">
        <f>IF(N224=1,215,"")</f>
      </c>
      <c r="C224" s="26">
        <f>IF(AND(N224=1,LEN(TRIM('DATOS'!B224&amp;""))&gt;0),'DATOS'!B224,"")</f>
      </c>
      <c r="D224" s="26">
        <f>IF(AND(N224=1,LEN(TRIM('DATOS'!C224&amp;""))&gt;0),'DATOS'!C224,"")</f>
      </c>
      <c r="E224" s="26">
        <f>IF(NOT(ISNUMBER(P224)),"",IF(P224=2,"ROJO",IF(P224=1,"ÁMBAR","VERDE")))</f>
      </c>
      <c r="F224" s="26">
        <f>IF(NOT(ISNUMBER(Q224)),"",IF(Q224=2,"ROJO",IF(Q224=1,"ÁMBAR","VERDE")))</f>
      </c>
      <c r="G224" s="26">
        <f>IF(NOT(ISNUMBER(R224)),"",IF(R224=2,"ROJO",IF(R224=1,"ÁMBAR","VERDE")))</f>
      </c>
      <c r="H224" s="26">
        <f>IF(NOT(ISNUMBER(S224)),"",IF(S224=2,"ROJO",IF(S224=1,"ÁMBAR","VERDE")))</f>
      </c>
      <c r="I224" s="26">
        <f>IF(NOT(ISNUMBER(T224)),"",IF(T224=2,"ROJO",IF(T224=1,"ÁMBAR","VERDE")))</f>
      </c>
      <c r="J224" s="26">
        <f>IF(NOT(ISNUMBER(O224)),"",IF(O224=2,"ROJO",IF(O224=1,"ÁMBAR","VERDE")))</f>
      </c>
      <c r="K224" s="26">
        <f>IFERROR(IF(AND(N224=1,LEN(TRIM('DATOS'!N224&amp;""))&gt;0),'DATOS'!N224,""),"Hay una entrada con error. Corregimos el dato antes de cerrar la comprobación.")</f>
      </c>
      <c r="L224" s="26">
        <f>IFERROR(IF(N224=0,"",IF(O224&gt;0,"Completamos datos, claves o motivo. ","")&amp;IF(P224&gt;0,"Cotejamos precios e importe. ","")&amp;IF(Q224&gt;0,"Aclaramos el cero. ","")&amp;IF(R224&gt;0,"Comprobamos el texto. ","")&amp;IF(S224&gt;0,"Revisamos decimales visibles. ","")&amp;IF(T224&gt;0,"Confirmamos la unidad.","")),"Hay una entrada con error. Corregimos el dato antes de cerrar la comprobación.")</f>
      </c>
      <c r="N224" s="29" t="n">
        <f>IF(COUNTA('DATOS'!B224:O224)&gt;0,1,0)</f>
        <v>0</v>
      </c>
      <c r="O224" s="29">
        <f>IFERROR(IF(N224=0,"",IF(OR(NOT(AND(LEN(TRIM('DATOS'!B224&amp;""))&gt;0,TRIM('DATOS'!B224&amp;"")&lt;&gt;"Pendiente",TRIM('DATOS'!B224&amp;"")&lt;&gt;"Por confirmar",TRIM('DATOS'!B224&amp;"")&lt;&gt;"No consta",TRIM('DATOS'!B224&amp;"")&lt;&gt;"Desconocido",TRIM('DATOS'!B224&amp;"")&lt;&gt;"Sin confirmar",TRIM('DATOS'!B224&amp;"")&lt;&gt;"Por decidir",TRIM('DATOS'!B224&amp;"")&lt;&gt;"Por comprobar")),NOT(AND(LEN(TRIM('DATOS'!C224&amp;""))&gt;0,TRIM('DATOS'!C224&amp;"")&lt;&gt;"Pendiente",TRIM('DATOS'!C224&amp;"")&lt;&gt;"Por confirmar",TRIM('DATOS'!C224&amp;"")&lt;&gt;"No consta",TRIM('DATOS'!C224&amp;"")&lt;&gt;"Desconocido",TRIM('DATOS'!C224&amp;"")&lt;&gt;"Sin confirmar",TRIM('DATOS'!C224&amp;"")&lt;&gt;"Por decidir",TRIM('DATOS'!C224&amp;"")&lt;&gt;"Por comprobar")),NOT(AND(LEN(TRIM('DATOS'!D224&amp;""))&gt;0,TRIM('DATOS'!D224&amp;"")&lt;&gt;"Pendiente",TRIM('DATOS'!D224&amp;"")&lt;&gt;"Por confirmar",TRIM('DATOS'!D224&amp;"")&lt;&gt;"No consta",TRIM('DATOS'!D224&amp;"")&lt;&gt;"Desconocido",TRIM('DATOS'!D224&amp;"")&lt;&gt;"Sin confirmar",TRIM('DATOS'!D224&amp;"")&lt;&gt;"Por decidir",TRIM('DATOS'!D224&amp;"")&lt;&gt;"Por comprobar")),NOT(AND(LEN(TRIM('DATOS'!E224&amp;""))&gt;0,TRIM('DATOS'!E224&amp;"")&lt;&gt;"Pendiente",TRIM('DATOS'!E224&amp;"")&lt;&gt;"Por confirmar",TRIM('DATOS'!E224&amp;"")&lt;&gt;"No consta",TRIM('DATOS'!E224&amp;"")&lt;&gt;"Desconocido",TRIM('DATOS'!E224&amp;"")&lt;&gt;"Sin confirmar",TRIM('DATOS'!E224&amp;"")&lt;&gt;"Por decidir",TRIM('DATOS'!E224&amp;"")&lt;&gt;"Por comprobar")),NOT(AND(LEN(TRIM('DATOS'!F224&amp;""))&gt;0,TRIM('DATOS'!F224&amp;"")&lt;&gt;"Pendiente",TRIM('DATOS'!F224&amp;"")&lt;&gt;"Por confirmar",TRIM('DATOS'!F224&amp;"")&lt;&gt;"No consta",TRIM('DATOS'!F224&amp;"")&lt;&gt;"Desconocido",TRIM('DATOS'!F224&amp;"")&lt;&gt;"Sin confirmar",TRIM('DATOS'!F224&amp;"")&lt;&gt;"Por decidir",TRIM('DATOS'!F224&amp;"")&lt;&gt;"Por comprobar")),NOT(AND(LEN(TRIM('DATOS'!N224&amp;""))&gt;0,TRIM('DATOS'!N224&amp;"")&lt;&gt;"Pendiente",TRIM('DATOS'!N224&amp;"")&lt;&gt;"Por confirmar",TRIM('DATOS'!N224&amp;"")&lt;&gt;"No consta",TRIM('DATOS'!N224&amp;"")&lt;&gt;"Desconocido",TRIM('DATOS'!N224&amp;"")&lt;&gt;"Sin confirmar",TRIM('DATOS'!N224&amp;"")&lt;&gt;"Por decidir",TRIM('DATOS'!N224&amp;"")&lt;&gt;"Por comprobar")),NOT(Y224=1),W224&lt;&gt;1,X224&gt;1,NOT(OR(LEN(TRIM('DATOS'!K224&amp;""))=0,'DATOS'!K224="Sin valorar",'DATOS'!K224="Sin coste documentado",'DATOS'!K224="Incluido en otra partida",'DATOS'!K224="Por confirmar")),NOT(OR(LEN(TRIM('DATOS'!M224&amp;""))=0,'DATOS'!M224="Sí",'DATOS'!M224="No",'DATOS'!M224="Por confirmar")),NOT(OR(LEN(TRIM('DATOS'!O224&amp;""))=0,'DATOS'!O224="Comparamos",'DATOS'!O224="No existe",'DATOS'!O224="Por confirmar"))),2,IF(AND(OR('DATOS'!G224&lt;0,'DATOS'!H224&lt;0,'DATOS'!J224&lt;0),NOT(AND(LEN(TRIM('DATOS'!L224&amp;""))&gt;0,TRIM('DATOS'!L224&amp;"")&lt;&gt;"Pendiente",TRIM('DATOS'!L224&amp;"")&lt;&gt;"Por confirmar",TRIM('DATOS'!L224&amp;"")&lt;&gt;"No consta",TRIM('DATOS'!L224&amp;"")&lt;&gt;"Desconocido",TRIM('DATOS'!L224&amp;"")&lt;&gt;"Sin confirmar",TRIM('DATOS'!L224&amp;"")&lt;&gt;"Por decidir",TRIM('DATOS'!L224&amp;"")&lt;&gt;"Por comprobar"))),1,0))),2)</f>
      </c>
      <c r="P224" s="29">
        <f>IFERROR(IF(N224=0,"",IF(NOT(Y224=1),1,IF('REFERENCIAS'!$Q$8&lt;&gt;1,2,IF(ABS('DATOS'!J224-ROUND('DATOS'!G224*'DATOS'!H224,'REFERENCIAS'!$K$8))&gt;0.00000001,2,IF('DATOS'!O224="No existe",IF(LEN(TRIM('DATOS'!I224&amp;""))=0,0,2),IF('DATOS'!O224="Comparamos",IF(LEN(TRIM('DATOS'!I224&amp;""))=0,1,IF(ISNUMBER('DATOS'!I224),IF(ABS('DATOS'!H224-'DATOS'!I224)&gt;0.00000001,2,0),2)),1)))))),2)</f>
      </c>
      <c r="Q224" s="29">
        <f>IFERROR(IF(N224=0,"",IF(NOT(Y224=1),1,IF('DATOS'!K224="Sin valorar",2,IF('DATOS'!G224=0,1,IF(OR('DATOS'!H224=0,'DATOS'!J224=0),IF(AND(OR('DATOS'!K224="Sin coste documentado",'DATOS'!K224="Incluido en otra partida"),AND(LEN(TRIM('DATOS'!L224&amp;""))&gt;0,TRIM('DATOS'!L224&amp;"")&lt;&gt;"Pendiente",TRIM('DATOS'!L224&amp;"")&lt;&gt;"Por confirmar",TRIM('DATOS'!L224&amp;"")&lt;&gt;"No consta",TRIM('DATOS'!L224&amp;"")&lt;&gt;"Desconocido",TRIM('DATOS'!L224&amp;"")&lt;&gt;"Sin confirmar",TRIM('DATOS'!L224&amp;"")&lt;&gt;"Por decidir",TRIM('DATOS'!L224&amp;"")&lt;&gt;"Por comprobar")),0,1),0))))),2)</f>
      </c>
      <c r="R224" s="29">
        <f>IFERROR(IF(N224=0,"",IF(OR(NOT(AND(LEN(TRIM('DATOS'!D224&amp;""))&gt;0,TRIM('DATOS'!D224&amp;"")&lt;&gt;"Pendiente",TRIM('DATOS'!D224&amp;"")&lt;&gt;"Por confirmar",TRIM('DATOS'!D224&amp;"")&lt;&gt;"No consta",TRIM('DATOS'!D224&amp;"")&lt;&gt;"Desconocido",TRIM('DATOS'!D224&amp;"")&lt;&gt;"Sin confirmar",TRIM('DATOS'!D224&amp;"")&lt;&gt;"Por decidir",TRIM('DATOS'!D224&amp;"")&lt;&gt;"Por comprobar")),NOT(AND(LEN(TRIM('DATOS'!E224&amp;""))&gt;0,TRIM('DATOS'!E224&amp;"")&lt;&gt;"Pendiente",TRIM('DATOS'!E224&amp;"")&lt;&gt;"Por confirmar",TRIM('DATOS'!E224&amp;"")&lt;&gt;"No consta",TRIM('DATOS'!E224&amp;"")&lt;&gt;"Desconocido",TRIM('DATOS'!E224&amp;"")&lt;&gt;"Sin confirmar",TRIM('DATOS'!E224&amp;"")&lt;&gt;"Por decidir",TRIM('DATOS'!E224&amp;"")&lt;&gt;"Por comprobar"))),2,IF('DATOS'!M224="No",2,IF('DATOS'!M224="Sí",0,IF(OR('DATOS'!D224&lt;&gt;'DATOS'!E224,LEN('DATOS'!E224)&gt;300,RIGHT(TRIM('DATOS'!E224),3)="...",RIGHT(TRIM('DATOS'!E224),1)="…"),1,0))))),2)</f>
      </c>
      <c r="S224" s="29">
        <f>IFERROR(IF(N224=0,"",IF('REFERENCIAS'!$Q$8&lt;&gt;1,2,IF(NOT(Y224=1),1,IF(OR(ABS('DATOS'!G224-ROUND('DATOS'!G224,'REFERENCIAS'!$E$8))&gt;0.00000001,ABS('DATOS'!H224-ROUND('DATOS'!H224,'REFERENCIAS'!$H$8))&gt;0.00000001,ABS('DATOS'!J224-ROUND('DATOS'!J224,'REFERENCIAS'!$K$8))&gt;0.00000001,IF(ISNUMBER('DATOS'!I224),ABS('DATOS'!I224-ROUND('DATOS'!I224,'REFERENCIAS'!$H$8))&gt;0.00000001,FALSE)),1,0)))),2)</f>
      </c>
      <c r="T224" s="29">
        <f>IFERROR(IF(N224=0,"",IF(NOT(AND(LEN(TRIM('DATOS'!F224&amp;""))&gt;0,TRIM('DATOS'!F224&amp;"")&lt;&gt;"Pendiente",TRIM('DATOS'!F224&amp;"")&lt;&gt;"Por confirmar",TRIM('DATOS'!F224&amp;"")&lt;&gt;"No consta",TRIM('DATOS'!F224&amp;"")&lt;&gt;"Desconocido",TRIM('DATOS'!F224&amp;"")&lt;&gt;"Sin confirmar",TRIM('DATOS'!F224&amp;"")&lt;&gt;"Por decidir",TRIM('DATOS'!F224&amp;"")&lt;&gt;"Por comprobar")),2,IF(COUNTIFS('REFERENCIAS'!$T$15:$T$34,"ID:"&amp;SUBSTITUTE(SUBSTITUTE(SUBSTITUTE(SUBSTITUTE(UPPER(TRIM('DATOS'!F224&amp;"")),"!","!E"),"*","!A"),"?","!B"),"~","!C"),'REFERENCIAS'!$H$15:$H$34,"&lt;&gt;")&gt;0,0,1))),2)</f>
      </c>
      <c r="U224" s="29" t="str">
        <f>'DATOS'!R224</f>
        <v>ID:</v>
      </c>
      <c r="V224" s="29" t="str">
        <f>'DATOS'!S224</f>
        <v>ID:</v>
      </c>
      <c r="W224" s="29" t="n">
        <f>IF(N224=0,0,COUNTIFS('REFERENCIAS'!$R$15:$R$64,U224))</f>
        <v>0</v>
      </c>
      <c r="X224" s="29" t="n">
        <f>IF(N224=0,0,COUNTIFS('DATOS'!$R$10:$R$509,U224,'DATOS'!$S$10:$S$509,V224))</f>
        <v>0</v>
      </c>
      <c r="Y224" s="29" t="n">
        <f>IF(AND(ISNUMBER('DATOS'!G224),ISNUMBER('DATOS'!H224),ISNUMBER('DATOS'!J224)),1,0)</f>
        <v>0</v>
      </c>
    </row>
    <row r="225" ht="64" customHeight="1">
      <c r="B225" s="26">
        <f>IF(N225=1,216,"")</f>
      </c>
      <c r="C225" s="26">
        <f>IF(AND(N225=1,LEN(TRIM('DATOS'!B225&amp;""))&gt;0),'DATOS'!B225,"")</f>
      </c>
      <c r="D225" s="26">
        <f>IF(AND(N225=1,LEN(TRIM('DATOS'!C225&amp;""))&gt;0),'DATOS'!C225,"")</f>
      </c>
      <c r="E225" s="26">
        <f>IF(NOT(ISNUMBER(P225)),"",IF(P225=2,"ROJO",IF(P225=1,"ÁMBAR","VERDE")))</f>
      </c>
      <c r="F225" s="26">
        <f>IF(NOT(ISNUMBER(Q225)),"",IF(Q225=2,"ROJO",IF(Q225=1,"ÁMBAR","VERDE")))</f>
      </c>
      <c r="G225" s="26">
        <f>IF(NOT(ISNUMBER(R225)),"",IF(R225=2,"ROJO",IF(R225=1,"ÁMBAR","VERDE")))</f>
      </c>
      <c r="H225" s="26">
        <f>IF(NOT(ISNUMBER(S225)),"",IF(S225=2,"ROJO",IF(S225=1,"ÁMBAR","VERDE")))</f>
      </c>
      <c r="I225" s="26">
        <f>IF(NOT(ISNUMBER(T225)),"",IF(T225=2,"ROJO",IF(T225=1,"ÁMBAR","VERDE")))</f>
      </c>
      <c r="J225" s="26">
        <f>IF(NOT(ISNUMBER(O225)),"",IF(O225=2,"ROJO",IF(O225=1,"ÁMBAR","VERDE")))</f>
      </c>
      <c r="K225" s="26">
        <f>IFERROR(IF(AND(N225=1,LEN(TRIM('DATOS'!N225&amp;""))&gt;0),'DATOS'!N225,""),"Hay una entrada con error. Corregimos el dato antes de cerrar la comprobación.")</f>
      </c>
      <c r="L225" s="26">
        <f>IFERROR(IF(N225=0,"",IF(O225&gt;0,"Completamos datos, claves o motivo. ","")&amp;IF(P225&gt;0,"Cotejamos precios e importe. ","")&amp;IF(Q225&gt;0,"Aclaramos el cero. ","")&amp;IF(R225&gt;0,"Comprobamos el texto. ","")&amp;IF(S225&gt;0,"Revisamos decimales visibles. ","")&amp;IF(T225&gt;0,"Confirmamos la unidad.","")),"Hay una entrada con error. Corregimos el dato antes de cerrar la comprobación.")</f>
      </c>
      <c r="N225" s="29" t="n">
        <f>IF(COUNTA('DATOS'!B225:O225)&gt;0,1,0)</f>
        <v>0</v>
      </c>
      <c r="O225" s="29">
        <f>IFERROR(IF(N225=0,"",IF(OR(NOT(AND(LEN(TRIM('DATOS'!B225&amp;""))&gt;0,TRIM('DATOS'!B225&amp;"")&lt;&gt;"Pendiente",TRIM('DATOS'!B225&amp;"")&lt;&gt;"Por confirmar",TRIM('DATOS'!B225&amp;"")&lt;&gt;"No consta",TRIM('DATOS'!B225&amp;"")&lt;&gt;"Desconocido",TRIM('DATOS'!B225&amp;"")&lt;&gt;"Sin confirmar",TRIM('DATOS'!B225&amp;"")&lt;&gt;"Por decidir",TRIM('DATOS'!B225&amp;"")&lt;&gt;"Por comprobar")),NOT(AND(LEN(TRIM('DATOS'!C225&amp;""))&gt;0,TRIM('DATOS'!C225&amp;"")&lt;&gt;"Pendiente",TRIM('DATOS'!C225&amp;"")&lt;&gt;"Por confirmar",TRIM('DATOS'!C225&amp;"")&lt;&gt;"No consta",TRIM('DATOS'!C225&amp;"")&lt;&gt;"Desconocido",TRIM('DATOS'!C225&amp;"")&lt;&gt;"Sin confirmar",TRIM('DATOS'!C225&amp;"")&lt;&gt;"Por decidir",TRIM('DATOS'!C225&amp;"")&lt;&gt;"Por comprobar")),NOT(AND(LEN(TRIM('DATOS'!D225&amp;""))&gt;0,TRIM('DATOS'!D225&amp;"")&lt;&gt;"Pendiente",TRIM('DATOS'!D225&amp;"")&lt;&gt;"Por confirmar",TRIM('DATOS'!D225&amp;"")&lt;&gt;"No consta",TRIM('DATOS'!D225&amp;"")&lt;&gt;"Desconocido",TRIM('DATOS'!D225&amp;"")&lt;&gt;"Sin confirmar",TRIM('DATOS'!D225&amp;"")&lt;&gt;"Por decidir",TRIM('DATOS'!D225&amp;"")&lt;&gt;"Por comprobar")),NOT(AND(LEN(TRIM('DATOS'!E225&amp;""))&gt;0,TRIM('DATOS'!E225&amp;"")&lt;&gt;"Pendiente",TRIM('DATOS'!E225&amp;"")&lt;&gt;"Por confirmar",TRIM('DATOS'!E225&amp;"")&lt;&gt;"No consta",TRIM('DATOS'!E225&amp;"")&lt;&gt;"Desconocido",TRIM('DATOS'!E225&amp;"")&lt;&gt;"Sin confirmar",TRIM('DATOS'!E225&amp;"")&lt;&gt;"Por decidir",TRIM('DATOS'!E225&amp;"")&lt;&gt;"Por comprobar")),NOT(AND(LEN(TRIM('DATOS'!F225&amp;""))&gt;0,TRIM('DATOS'!F225&amp;"")&lt;&gt;"Pendiente",TRIM('DATOS'!F225&amp;"")&lt;&gt;"Por confirmar",TRIM('DATOS'!F225&amp;"")&lt;&gt;"No consta",TRIM('DATOS'!F225&amp;"")&lt;&gt;"Desconocido",TRIM('DATOS'!F225&amp;"")&lt;&gt;"Sin confirmar",TRIM('DATOS'!F225&amp;"")&lt;&gt;"Por decidir",TRIM('DATOS'!F225&amp;"")&lt;&gt;"Por comprobar")),NOT(AND(LEN(TRIM('DATOS'!N225&amp;""))&gt;0,TRIM('DATOS'!N225&amp;"")&lt;&gt;"Pendiente",TRIM('DATOS'!N225&amp;"")&lt;&gt;"Por confirmar",TRIM('DATOS'!N225&amp;"")&lt;&gt;"No consta",TRIM('DATOS'!N225&amp;"")&lt;&gt;"Desconocido",TRIM('DATOS'!N225&amp;"")&lt;&gt;"Sin confirmar",TRIM('DATOS'!N225&amp;"")&lt;&gt;"Por decidir",TRIM('DATOS'!N225&amp;"")&lt;&gt;"Por comprobar")),NOT(Y225=1),W225&lt;&gt;1,X225&gt;1,NOT(OR(LEN(TRIM('DATOS'!K225&amp;""))=0,'DATOS'!K225="Sin valorar",'DATOS'!K225="Sin coste documentado",'DATOS'!K225="Incluido en otra partida",'DATOS'!K225="Por confirmar")),NOT(OR(LEN(TRIM('DATOS'!M225&amp;""))=0,'DATOS'!M225="Sí",'DATOS'!M225="No",'DATOS'!M225="Por confirmar")),NOT(OR(LEN(TRIM('DATOS'!O225&amp;""))=0,'DATOS'!O225="Comparamos",'DATOS'!O225="No existe",'DATOS'!O225="Por confirmar"))),2,IF(AND(OR('DATOS'!G225&lt;0,'DATOS'!H225&lt;0,'DATOS'!J225&lt;0),NOT(AND(LEN(TRIM('DATOS'!L225&amp;""))&gt;0,TRIM('DATOS'!L225&amp;"")&lt;&gt;"Pendiente",TRIM('DATOS'!L225&amp;"")&lt;&gt;"Por confirmar",TRIM('DATOS'!L225&amp;"")&lt;&gt;"No consta",TRIM('DATOS'!L225&amp;"")&lt;&gt;"Desconocido",TRIM('DATOS'!L225&amp;"")&lt;&gt;"Sin confirmar",TRIM('DATOS'!L225&amp;"")&lt;&gt;"Por decidir",TRIM('DATOS'!L225&amp;"")&lt;&gt;"Por comprobar"))),1,0))),2)</f>
      </c>
      <c r="P225" s="29">
        <f>IFERROR(IF(N225=0,"",IF(NOT(Y225=1),1,IF('REFERENCIAS'!$Q$8&lt;&gt;1,2,IF(ABS('DATOS'!J225-ROUND('DATOS'!G225*'DATOS'!H225,'REFERENCIAS'!$K$8))&gt;0.00000001,2,IF('DATOS'!O225="No existe",IF(LEN(TRIM('DATOS'!I225&amp;""))=0,0,2),IF('DATOS'!O225="Comparamos",IF(LEN(TRIM('DATOS'!I225&amp;""))=0,1,IF(ISNUMBER('DATOS'!I225),IF(ABS('DATOS'!H225-'DATOS'!I225)&gt;0.00000001,2,0),2)),1)))))),2)</f>
      </c>
      <c r="Q225" s="29">
        <f>IFERROR(IF(N225=0,"",IF(NOT(Y225=1),1,IF('DATOS'!K225="Sin valorar",2,IF('DATOS'!G225=0,1,IF(OR('DATOS'!H225=0,'DATOS'!J225=0),IF(AND(OR('DATOS'!K225="Sin coste documentado",'DATOS'!K225="Incluido en otra partida"),AND(LEN(TRIM('DATOS'!L225&amp;""))&gt;0,TRIM('DATOS'!L225&amp;"")&lt;&gt;"Pendiente",TRIM('DATOS'!L225&amp;"")&lt;&gt;"Por confirmar",TRIM('DATOS'!L225&amp;"")&lt;&gt;"No consta",TRIM('DATOS'!L225&amp;"")&lt;&gt;"Desconocido",TRIM('DATOS'!L225&amp;"")&lt;&gt;"Sin confirmar",TRIM('DATOS'!L225&amp;"")&lt;&gt;"Por decidir",TRIM('DATOS'!L225&amp;"")&lt;&gt;"Por comprobar")),0,1),0))))),2)</f>
      </c>
      <c r="R225" s="29">
        <f>IFERROR(IF(N225=0,"",IF(OR(NOT(AND(LEN(TRIM('DATOS'!D225&amp;""))&gt;0,TRIM('DATOS'!D225&amp;"")&lt;&gt;"Pendiente",TRIM('DATOS'!D225&amp;"")&lt;&gt;"Por confirmar",TRIM('DATOS'!D225&amp;"")&lt;&gt;"No consta",TRIM('DATOS'!D225&amp;"")&lt;&gt;"Desconocido",TRIM('DATOS'!D225&amp;"")&lt;&gt;"Sin confirmar",TRIM('DATOS'!D225&amp;"")&lt;&gt;"Por decidir",TRIM('DATOS'!D225&amp;"")&lt;&gt;"Por comprobar")),NOT(AND(LEN(TRIM('DATOS'!E225&amp;""))&gt;0,TRIM('DATOS'!E225&amp;"")&lt;&gt;"Pendiente",TRIM('DATOS'!E225&amp;"")&lt;&gt;"Por confirmar",TRIM('DATOS'!E225&amp;"")&lt;&gt;"No consta",TRIM('DATOS'!E225&amp;"")&lt;&gt;"Desconocido",TRIM('DATOS'!E225&amp;"")&lt;&gt;"Sin confirmar",TRIM('DATOS'!E225&amp;"")&lt;&gt;"Por decidir",TRIM('DATOS'!E225&amp;"")&lt;&gt;"Por comprobar"))),2,IF('DATOS'!M225="No",2,IF('DATOS'!M225="Sí",0,IF(OR('DATOS'!D225&lt;&gt;'DATOS'!E225,LEN('DATOS'!E225)&gt;300,RIGHT(TRIM('DATOS'!E225),3)="...",RIGHT(TRIM('DATOS'!E225),1)="…"),1,0))))),2)</f>
      </c>
      <c r="S225" s="29">
        <f>IFERROR(IF(N225=0,"",IF('REFERENCIAS'!$Q$8&lt;&gt;1,2,IF(NOT(Y225=1),1,IF(OR(ABS('DATOS'!G225-ROUND('DATOS'!G225,'REFERENCIAS'!$E$8))&gt;0.00000001,ABS('DATOS'!H225-ROUND('DATOS'!H225,'REFERENCIAS'!$H$8))&gt;0.00000001,ABS('DATOS'!J225-ROUND('DATOS'!J225,'REFERENCIAS'!$K$8))&gt;0.00000001,IF(ISNUMBER('DATOS'!I225),ABS('DATOS'!I225-ROUND('DATOS'!I225,'REFERENCIAS'!$H$8))&gt;0.00000001,FALSE)),1,0)))),2)</f>
      </c>
      <c r="T225" s="29">
        <f>IFERROR(IF(N225=0,"",IF(NOT(AND(LEN(TRIM('DATOS'!F225&amp;""))&gt;0,TRIM('DATOS'!F225&amp;"")&lt;&gt;"Pendiente",TRIM('DATOS'!F225&amp;"")&lt;&gt;"Por confirmar",TRIM('DATOS'!F225&amp;"")&lt;&gt;"No consta",TRIM('DATOS'!F225&amp;"")&lt;&gt;"Desconocido",TRIM('DATOS'!F225&amp;"")&lt;&gt;"Sin confirmar",TRIM('DATOS'!F225&amp;"")&lt;&gt;"Por decidir",TRIM('DATOS'!F225&amp;"")&lt;&gt;"Por comprobar")),2,IF(COUNTIFS('REFERENCIAS'!$T$15:$T$34,"ID:"&amp;SUBSTITUTE(SUBSTITUTE(SUBSTITUTE(SUBSTITUTE(UPPER(TRIM('DATOS'!F225&amp;"")),"!","!E"),"*","!A"),"?","!B"),"~","!C"),'REFERENCIAS'!$H$15:$H$34,"&lt;&gt;")&gt;0,0,1))),2)</f>
      </c>
      <c r="U225" s="29" t="str">
        <f>'DATOS'!R225</f>
        <v>ID:</v>
      </c>
      <c r="V225" s="29" t="str">
        <f>'DATOS'!S225</f>
        <v>ID:</v>
      </c>
      <c r="W225" s="29" t="n">
        <f>IF(N225=0,0,COUNTIFS('REFERENCIAS'!$R$15:$R$64,U225))</f>
        <v>0</v>
      </c>
      <c r="X225" s="29" t="n">
        <f>IF(N225=0,0,COUNTIFS('DATOS'!$R$10:$R$509,U225,'DATOS'!$S$10:$S$509,V225))</f>
        <v>0</v>
      </c>
      <c r="Y225" s="29" t="n">
        <f>IF(AND(ISNUMBER('DATOS'!G225),ISNUMBER('DATOS'!H225),ISNUMBER('DATOS'!J225)),1,0)</f>
        <v>0</v>
      </c>
    </row>
    <row r="226" ht="64" customHeight="1">
      <c r="B226" s="26">
        <f>IF(N226=1,217,"")</f>
      </c>
      <c r="C226" s="26">
        <f>IF(AND(N226=1,LEN(TRIM('DATOS'!B226&amp;""))&gt;0),'DATOS'!B226,"")</f>
      </c>
      <c r="D226" s="26">
        <f>IF(AND(N226=1,LEN(TRIM('DATOS'!C226&amp;""))&gt;0),'DATOS'!C226,"")</f>
      </c>
      <c r="E226" s="26">
        <f>IF(NOT(ISNUMBER(P226)),"",IF(P226=2,"ROJO",IF(P226=1,"ÁMBAR","VERDE")))</f>
      </c>
      <c r="F226" s="26">
        <f>IF(NOT(ISNUMBER(Q226)),"",IF(Q226=2,"ROJO",IF(Q226=1,"ÁMBAR","VERDE")))</f>
      </c>
      <c r="G226" s="26">
        <f>IF(NOT(ISNUMBER(R226)),"",IF(R226=2,"ROJO",IF(R226=1,"ÁMBAR","VERDE")))</f>
      </c>
      <c r="H226" s="26">
        <f>IF(NOT(ISNUMBER(S226)),"",IF(S226=2,"ROJO",IF(S226=1,"ÁMBAR","VERDE")))</f>
      </c>
      <c r="I226" s="26">
        <f>IF(NOT(ISNUMBER(T226)),"",IF(T226=2,"ROJO",IF(T226=1,"ÁMBAR","VERDE")))</f>
      </c>
      <c r="J226" s="26">
        <f>IF(NOT(ISNUMBER(O226)),"",IF(O226=2,"ROJO",IF(O226=1,"ÁMBAR","VERDE")))</f>
      </c>
      <c r="K226" s="26">
        <f>IFERROR(IF(AND(N226=1,LEN(TRIM('DATOS'!N226&amp;""))&gt;0),'DATOS'!N226,""),"Hay una entrada con error. Corregimos el dato antes de cerrar la comprobación.")</f>
      </c>
      <c r="L226" s="26">
        <f>IFERROR(IF(N226=0,"",IF(O226&gt;0,"Completamos datos, claves o motivo. ","")&amp;IF(P226&gt;0,"Cotejamos precios e importe. ","")&amp;IF(Q226&gt;0,"Aclaramos el cero. ","")&amp;IF(R226&gt;0,"Comprobamos el texto. ","")&amp;IF(S226&gt;0,"Revisamos decimales visibles. ","")&amp;IF(T226&gt;0,"Confirmamos la unidad.","")),"Hay una entrada con error. Corregimos el dato antes de cerrar la comprobación.")</f>
      </c>
      <c r="N226" s="29" t="n">
        <f>IF(COUNTA('DATOS'!B226:O226)&gt;0,1,0)</f>
        <v>0</v>
      </c>
      <c r="O226" s="29">
        <f>IFERROR(IF(N226=0,"",IF(OR(NOT(AND(LEN(TRIM('DATOS'!B226&amp;""))&gt;0,TRIM('DATOS'!B226&amp;"")&lt;&gt;"Pendiente",TRIM('DATOS'!B226&amp;"")&lt;&gt;"Por confirmar",TRIM('DATOS'!B226&amp;"")&lt;&gt;"No consta",TRIM('DATOS'!B226&amp;"")&lt;&gt;"Desconocido",TRIM('DATOS'!B226&amp;"")&lt;&gt;"Sin confirmar",TRIM('DATOS'!B226&amp;"")&lt;&gt;"Por decidir",TRIM('DATOS'!B226&amp;"")&lt;&gt;"Por comprobar")),NOT(AND(LEN(TRIM('DATOS'!C226&amp;""))&gt;0,TRIM('DATOS'!C226&amp;"")&lt;&gt;"Pendiente",TRIM('DATOS'!C226&amp;"")&lt;&gt;"Por confirmar",TRIM('DATOS'!C226&amp;"")&lt;&gt;"No consta",TRIM('DATOS'!C226&amp;"")&lt;&gt;"Desconocido",TRIM('DATOS'!C226&amp;"")&lt;&gt;"Sin confirmar",TRIM('DATOS'!C226&amp;"")&lt;&gt;"Por decidir",TRIM('DATOS'!C226&amp;"")&lt;&gt;"Por comprobar")),NOT(AND(LEN(TRIM('DATOS'!D226&amp;""))&gt;0,TRIM('DATOS'!D226&amp;"")&lt;&gt;"Pendiente",TRIM('DATOS'!D226&amp;"")&lt;&gt;"Por confirmar",TRIM('DATOS'!D226&amp;"")&lt;&gt;"No consta",TRIM('DATOS'!D226&amp;"")&lt;&gt;"Desconocido",TRIM('DATOS'!D226&amp;"")&lt;&gt;"Sin confirmar",TRIM('DATOS'!D226&amp;"")&lt;&gt;"Por decidir",TRIM('DATOS'!D226&amp;"")&lt;&gt;"Por comprobar")),NOT(AND(LEN(TRIM('DATOS'!E226&amp;""))&gt;0,TRIM('DATOS'!E226&amp;"")&lt;&gt;"Pendiente",TRIM('DATOS'!E226&amp;"")&lt;&gt;"Por confirmar",TRIM('DATOS'!E226&amp;"")&lt;&gt;"No consta",TRIM('DATOS'!E226&amp;"")&lt;&gt;"Desconocido",TRIM('DATOS'!E226&amp;"")&lt;&gt;"Sin confirmar",TRIM('DATOS'!E226&amp;"")&lt;&gt;"Por decidir",TRIM('DATOS'!E226&amp;"")&lt;&gt;"Por comprobar")),NOT(AND(LEN(TRIM('DATOS'!F226&amp;""))&gt;0,TRIM('DATOS'!F226&amp;"")&lt;&gt;"Pendiente",TRIM('DATOS'!F226&amp;"")&lt;&gt;"Por confirmar",TRIM('DATOS'!F226&amp;"")&lt;&gt;"No consta",TRIM('DATOS'!F226&amp;"")&lt;&gt;"Desconocido",TRIM('DATOS'!F226&amp;"")&lt;&gt;"Sin confirmar",TRIM('DATOS'!F226&amp;"")&lt;&gt;"Por decidir",TRIM('DATOS'!F226&amp;"")&lt;&gt;"Por comprobar")),NOT(AND(LEN(TRIM('DATOS'!N226&amp;""))&gt;0,TRIM('DATOS'!N226&amp;"")&lt;&gt;"Pendiente",TRIM('DATOS'!N226&amp;"")&lt;&gt;"Por confirmar",TRIM('DATOS'!N226&amp;"")&lt;&gt;"No consta",TRIM('DATOS'!N226&amp;"")&lt;&gt;"Desconocido",TRIM('DATOS'!N226&amp;"")&lt;&gt;"Sin confirmar",TRIM('DATOS'!N226&amp;"")&lt;&gt;"Por decidir",TRIM('DATOS'!N226&amp;"")&lt;&gt;"Por comprobar")),NOT(Y226=1),W226&lt;&gt;1,X226&gt;1,NOT(OR(LEN(TRIM('DATOS'!K226&amp;""))=0,'DATOS'!K226="Sin valorar",'DATOS'!K226="Sin coste documentado",'DATOS'!K226="Incluido en otra partida",'DATOS'!K226="Por confirmar")),NOT(OR(LEN(TRIM('DATOS'!M226&amp;""))=0,'DATOS'!M226="Sí",'DATOS'!M226="No",'DATOS'!M226="Por confirmar")),NOT(OR(LEN(TRIM('DATOS'!O226&amp;""))=0,'DATOS'!O226="Comparamos",'DATOS'!O226="No existe",'DATOS'!O226="Por confirmar"))),2,IF(AND(OR('DATOS'!G226&lt;0,'DATOS'!H226&lt;0,'DATOS'!J226&lt;0),NOT(AND(LEN(TRIM('DATOS'!L226&amp;""))&gt;0,TRIM('DATOS'!L226&amp;"")&lt;&gt;"Pendiente",TRIM('DATOS'!L226&amp;"")&lt;&gt;"Por confirmar",TRIM('DATOS'!L226&amp;"")&lt;&gt;"No consta",TRIM('DATOS'!L226&amp;"")&lt;&gt;"Desconocido",TRIM('DATOS'!L226&amp;"")&lt;&gt;"Sin confirmar",TRIM('DATOS'!L226&amp;"")&lt;&gt;"Por decidir",TRIM('DATOS'!L226&amp;"")&lt;&gt;"Por comprobar"))),1,0))),2)</f>
      </c>
      <c r="P226" s="29">
        <f>IFERROR(IF(N226=0,"",IF(NOT(Y226=1),1,IF('REFERENCIAS'!$Q$8&lt;&gt;1,2,IF(ABS('DATOS'!J226-ROUND('DATOS'!G226*'DATOS'!H226,'REFERENCIAS'!$K$8))&gt;0.00000001,2,IF('DATOS'!O226="No existe",IF(LEN(TRIM('DATOS'!I226&amp;""))=0,0,2),IF('DATOS'!O226="Comparamos",IF(LEN(TRIM('DATOS'!I226&amp;""))=0,1,IF(ISNUMBER('DATOS'!I226),IF(ABS('DATOS'!H226-'DATOS'!I226)&gt;0.00000001,2,0),2)),1)))))),2)</f>
      </c>
      <c r="Q226" s="29">
        <f>IFERROR(IF(N226=0,"",IF(NOT(Y226=1),1,IF('DATOS'!K226="Sin valorar",2,IF('DATOS'!G226=0,1,IF(OR('DATOS'!H226=0,'DATOS'!J226=0),IF(AND(OR('DATOS'!K226="Sin coste documentado",'DATOS'!K226="Incluido en otra partida"),AND(LEN(TRIM('DATOS'!L226&amp;""))&gt;0,TRIM('DATOS'!L226&amp;"")&lt;&gt;"Pendiente",TRIM('DATOS'!L226&amp;"")&lt;&gt;"Por confirmar",TRIM('DATOS'!L226&amp;"")&lt;&gt;"No consta",TRIM('DATOS'!L226&amp;"")&lt;&gt;"Desconocido",TRIM('DATOS'!L226&amp;"")&lt;&gt;"Sin confirmar",TRIM('DATOS'!L226&amp;"")&lt;&gt;"Por decidir",TRIM('DATOS'!L226&amp;"")&lt;&gt;"Por comprobar")),0,1),0))))),2)</f>
      </c>
      <c r="R226" s="29">
        <f>IFERROR(IF(N226=0,"",IF(OR(NOT(AND(LEN(TRIM('DATOS'!D226&amp;""))&gt;0,TRIM('DATOS'!D226&amp;"")&lt;&gt;"Pendiente",TRIM('DATOS'!D226&amp;"")&lt;&gt;"Por confirmar",TRIM('DATOS'!D226&amp;"")&lt;&gt;"No consta",TRIM('DATOS'!D226&amp;"")&lt;&gt;"Desconocido",TRIM('DATOS'!D226&amp;"")&lt;&gt;"Sin confirmar",TRIM('DATOS'!D226&amp;"")&lt;&gt;"Por decidir",TRIM('DATOS'!D226&amp;"")&lt;&gt;"Por comprobar")),NOT(AND(LEN(TRIM('DATOS'!E226&amp;""))&gt;0,TRIM('DATOS'!E226&amp;"")&lt;&gt;"Pendiente",TRIM('DATOS'!E226&amp;"")&lt;&gt;"Por confirmar",TRIM('DATOS'!E226&amp;"")&lt;&gt;"No consta",TRIM('DATOS'!E226&amp;"")&lt;&gt;"Desconocido",TRIM('DATOS'!E226&amp;"")&lt;&gt;"Sin confirmar",TRIM('DATOS'!E226&amp;"")&lt;&gt;"Por decidir",TRIM('DATOS'!E226&amp;"")&lt;&gt;"Por comprobar"))),2,IF('DATOS'!M226="No",2,IF('DATOS'!M226="Sí",0,IF(OR('DATOS'!D226&lt;&gt;'DATOS'!E226,LEN('DATOS'!E226)&gt;300,RIGHT(TRIM('DATOS'!E226),3)="...",RIGHT(TRIM('DATOS'!E226),1)="…"),1,0))))),2)</f>
      </c>
      <c r="S226" s="29">
        <f>IFERROR(IF(N226=0,"",IF('REFERENCIAS'!$Q$8&lt;&gt;1,2,IF(NOT(Y226=1),1,IF(OR(ABS('DATOS'!G226-ROUND('DATOS'!G226,'REFERENCIAS'!$E$8))&gt;0.00000001,ABS('DATOS'!H226-ROUND('DATOS'!H226,'REFERENCIAS'!$H$8))&gt;0.00000001,ABS('DATOS'!J226-ROUND('DATOS'!J226,'REFERENCIAS'!$K$8))&gt;0.00000001,IF(ISNUMBER('DATOS'!I226),ABS('DATOS'!I226-ROUND('DATOS'!I226,'REFERENCIAS'!$H$8))&gt;0.00000001,FALSE)),1,0)))),2)</f>
      </c>
      <c r="T226" s="29">
        <f>IFERROR(IF(N226=0,"",IF(NOT(AND(LEN(TRIM('DATOS'!F226&amp;""))&gt;0,TRIM('DATOS'!F226&amp;"")&lt;&gt;"Pendiente",TRIM('DATOS'!F226&amp;"")&lt;&gt;"Por confirmar",TRIM('DATOS'!F226&amp;"")&lt;&gt;"No consta",TRIM('DATOS'!F226&amp;"")&lt;&gt;"Desconocido",TRIM('DATOS'!F226&amp;"")&lt;&gt;"Sin confirmar",TRIM('DATOS'!F226&amp;"")&lt;&gt;"Por decidir",TRIM('DATOS'!F226&amp;"")&lt;&gt;"Por comprobar")),2,IF(COUNTIFS('REFERENCIAS'!$T$15:$T$34,"ID:"&amp;SUBSTITUTE(SUBSTITUTE(SUBSTITUTE(SUBSTITUTE(UPPER(TRIM('DATOS'!F226&amp;"")),"!","!E"),"*","!A"),"?","!B"),"~","!C"),'REFERENCIAS'!$H$15:$H$34,"&lt;&gt;")&gt;0,0,1))),2)</f>
      </c>
      <c r="U226" s="29" t="str">
        <f>'DATOS'!R226</f>
        <v>ID:</v>
      </c>
      <c r="V226" s="29" t="str">
        <f>'DATOS'!S226</f>
        <v>ID:</v>
      </c>
      <c r="W226" s="29" t="n">
        <f>IF(N226=0,0,COUNTIFS('REFERENCIAS'!$R$15:$R$64,U226))</f>
        <v>0</v>
      </c>
      <c r="X226" s="29" t="n">
        <f>IF(N226=0,0,COUNTIFS('DATOS'!$R$10:$R$509,U226,'DATOS'!$S$10:$S$509,V226))</f>
        <v>0</v>
      </c>
      <c r="Y226" s="29" t="n">
        <f>IF(AND(ISNUMBER('DATOS'!G226),ISNUMBER('DATOS'!H226),ISNUMBER('DATOS'!J226)),1,0)</f>
        <v>0</v>
      </c>
    </row>
    <row r="227" ht="64" customHeight="1">
      <c r="B227" s="26">
        <f>IF(N227=1,218,"")</f>
      </c>
      <c r="C227" s="26">
        <f>IF(AND(N227=1,LEN(TRIM('DATOS'!B227&amp;""))&gt;0),'DATOS'!B227,"")</f>
      </c>
      <c r="D227" s="26">
        <f>IF(AND(N227=1,LEN(TRIM('DATOS'!C227&amp;""))&gt;0),'DATOS'!C227,"")</f>
      </c>
      <c r="E227" s="26">
        <f>IF(NOT(ISNUMBER(P227)),"",IF(P227=2,"ROJO",IF(P227=1,"ÁMBAR","VERDE")))</f>
      </c>
      <c r="F227" s="26">
        <f>IF(NOT(ISNUMBER(Q227)),"",IF(Q227=2,"ROJO",IF(Q227=1,"ÁMBAR","VERDE")))</f>
      </c>
      <c r="G227" s="26">
        <f>IF(NOT(ISNUMBER(R227)),"",IF(R227=2,"ROJO",IF(R227=1,"ÁMBAR","VERDE")))</f>
      </c>
      <c r="H227" s="26">
        <f>IF(NOT(ISNUMBER(S227)),"",IF(S227=2,"ROJO",IF(S227=1,"ÁMBAR","VERDE")))</f>
      </c>
      <c r="I227" s="26">
        <f>IF(NOT(ISNUMBER(T227)),"",IF(T227=2,"ROJO",IF(T227=1,"ÁMBAR","VERDE")))</f>
      </c>
      <c r="J227" s="26">
        <f>IF(NOT(ISNUMBER(O227)),"",IF(O227=2,"ROJO",IF(O227=1,"ÁMBAR","VERDE")))</f>
      </c>
      <c r="K227" s="26">
        <f>IFERROR(IF(AND(N227=1,LEN(TRIM('DATOS'!N227&amp;""))&gt;0),'DATOS'!N227,""),"Hay una entrada con error. Corregimos el dato antes de cerrar la comprobación.")</f>
      </c>
      <c r="L227" s="26">
        <f>IFERROR(IF(N227=0,"",IF(O227&gt;0,"Completamos datos, claves o motivo. ","")&amp;IF(P227&gt;0,"Cotejamos precios e importe. ","")&amp;IF(Q227&gt;0,"Aclaramos el cero. ","")&amp;IF(R227&gt;0,"Comprobamos el texto. ","")&amp;IF(S227&gt;0,"Revisamos decimales visibles. ","")&amp;IF(T227&gt;0,"Confirmamos la unidad.","")),"Hay una entrada con error. Corregimos el dato antes de cerrar la comprobación.")</f>
      </c>
      <c r="N227" s="29" t="n">
        <f>IF(COUNTA('DATOS'!B227:O227)&gt;0,1,0)</f>
        <v>0</v>
      </c>
      <c r="O227" s="29">
        <f>IFERROR(IF(N227=0,"",IF(OR(NOT(AND(LEN(TRIM('DATOS'!B227&amp;""))&gt;0,TRIM('DATOS'!B227&amp;"")&lt;&gt;"Pendiente",TRIM('DATOS'!B227&amp;"")&lt;&gt;"Por confirmar",TRIM('DATOS'!B227&amp;"")&lt;&gt;"No consta",TRIM('DATOS'!B227&amp;"")&lt;&gt;"Desconocido",TRIM('DATOS'!B227&amp;"")&lt;&gt;"Sin confirmar",TRIM('DATOS'!B227&amp;"")&lt;&gt;"Por decidir",TRIM('DATOS'!B227&amp;"")&lt;&gt;"Por comprobar")),NOT(AND(LEN(TRIM('DATOS'!C227&amp;""))&gt;0,TRIM('DATOS'!C227&amp;"")&lt;&gt;"Pendiente",TRIM('DATOS'!C227&amp;"")&lt;&gt;"Por confirmar",TRIM('DATOS'!C227&amp;"")&lt;&gt;"No consta",TRIM('DATOS'!C227&amp;"")&lt;&gt;"Desconocido",TRIM('DATOS'!C227&amp;"")&lt;&gt;"Sin confirmar",TRIM('DATOS'!C227&amp;"")&lt;&gt;"Por decidir",TRIM('DATOS'!C227&amp;"")&lt;&gt;"Por comprobar")),NOT(AND(LEN(TRIM('DATOS'!D227&amp;""))&gt;0,TRIM('DATOS'!D227&amp;"")&lt;&gt;"Pendiente",TRIM('DATOS'!D227&amp;"")&lt;&gt;"Por confirmar",TRIM('DATOS'!D227&amp;"")&lt;&gt;"No consta",TRIM('DATOS'!D227&amp;"")&lt;&gt;"Desconocido",TRIM('DATOS'!D227&amp;"")&lt;&gt;"Sin confirmar",TRIM('DATOS'!D227&amp;"")&lt;&gt;"Por decidir",TRIM('DATOS'!D227&amp;"")&lt;&gt;"Por comprobar")),NOT(AND(LEN(TRIM('DATOS'!E227&amp;""))&gt;0,TRIM('DATOS'!E227&amp;"")&lt;&gt;"Pendiente",TRIM('DATOS'!E227&amp;"")&lt;&gt;"Por confirmar",TRIM('DATOS'!E227&amp;"")&lt;&gt;"No consta",TRIM('DATOS'!E227&amp;"")&lt;&gt;"Desconocido",TRIM('DATOS'!E227&amp;"")&lt;&gt;"Sin confirmar",TRIM('DATOS'!E227&amp;"")&lt;&gt;"Por decidir",TRIM('DATOS'!E227&amp;"")&lt;&gt;"Por comprobar")),NOT(AND(LEN(TRIM('DATOS'!F227&amp;""))&gt;0,TRIM('DATOS'!F227&amp;"")&lt;&gt;"Pendiente",TRIM('DATOS'!F227&amp;"")&lt;&gt;"Por confirmar",TRIM('DATOS'!F227&amp;"")&lt;&gt;"No consta",TRIM('DATOS'!F227&amp;"")&lt;&gt;"Desconocido",TRIM('DATOS'!F227&amp;"")&lt;&gt;"Sin confirmar",TRIM('DATOS'!F227&amp;"")&lt;&gt;"Por decidir",TRIM('DATOS'!F227&amp;"")&lt;&gt;"Por comprobar")),NOT(AND(LEN(TRIM('DATOS'!N227&amp;""))&gt;0,TRIM('DATOS'!N227&amp;"")&lt;&gt;"Pendiente",TRIM('DATOS'!N227&amp;"")&lt;&gt;"Por confirmar",TRIM('DATOS'!N227&amp;"")&lt;&gt;"No consta",TRIM('DATOS'!N227&amp;"")&lt;&gt;"Desconocido",TRIM('DATOS'!N227&amp;"")&lt;&gt;"Sin confirmar",TRIM('DATOS'!N227&amp;"")&lt;&gt;"Por decidir",TRIM('DATOS'!N227&amp;"")&lt;&gt;"Por comprobar")),NOT(Y227=1),W227&lt;&gt;1,X227&gt;1,NOT(OR(LEN(TRIM('DATOS'!K227&amp;""))=0,'DATOS'!K227="Sin valorar",'DATOS'!K227="Sin coste documentado",'DATOS'!K227="Incluido en otra partida",'DATOS'!K227="Por confirmar")),NOT(OR(LEN(TRIM('DATOS'!M227&amp;""))=0,'DATOS'!M227="Sí",'DATOS'!M227="No",'DATOS'!M227="Por confirmar")),NOT(OR(LEN(TRIM('DATOS'!O227&amp;""))=0,'DATOS'!O227="Comparamos",'DATOS'!O227="No existe",'DATOS'!O227="Por confirmar"))),2,IF(AND(OR('DATOS'!G227&lt;0,'DATOS'!H227&lt;0,'DATOS'!J227&lt;0),NOT(AND(LEN(TRIM('DATOS'!L227&amp;""))&gt;0,TRIM('DATOS'!L227&amp;"")&lt;&gt;"Pendiente",TRIM('DATOS'!L227&amp;"")&lt;&gt;"Por confirmar",TRIM('DATOS'!L227&amp;"")&lt;&gt;"No consta",TRIM('DATOS'!L227&amp;"")&lt;&gt;"Desconocido",TRIM('DATOS'!L227&amp;"")&lt;&gt;"Sin confirmar",TRIM('DATOS'!L227&amp;"")&lt;&gt;"Por decidir",TRIM('DATOS'!L227&amp;"")&lt;&gt;"Por comprobar"))),1,0))),2)</f>
      </c>
      <c r="P227" s="29">
        <f>IFERROR(IF(N227=0,"",IF(NOT(Y227=1),1,IF('REFERENCIAS'!$Q$8&lt;&gt;1,2,IF(ABS('DATOS'!J227-ROUND('DATOS'!G227*'DATOS'!H227,'REFERENCIAS'!$K$8))&gt;0.00000001,2,IF('DATOS'!O227="No existe",IF(LEN(TRIM('DATOS'!I227&amp;""))=0,0,2),IF('DATOS'!O227="Comparamos",IF(LEN(TRIM('DATOS'!I227&amp;""))=0,1,IF(ISNUMBER('DATOS'!I227),IF(ABS('DATOS'!H227-'DATOS'!I227)&gt;0.00000001,2,0),2)),1)))))),2)</f>
      </c>
      <c r="Q227" s="29">
        <f>IFERROR(IF(N227=0,"",IF(NOT(Y227=1),1,IF('DATOS'!K227="Sin valorar",2,IF('DATOS'!G227=0,1,IF(OR('DATOS'!H227=0,'DATOS'!J227=0),IF(AND(OR('DATOS'!K227="Sin coste documentado",'DATOS'!K227="Incluido en otra partida"),AND(LEN(TRIM('DATOS'!L227&amp;""))&gt;0,TRIM('DATOS'!L227&amp;"")&lt;&gt;"Pendiente",TRIM('DATOS'!L227&amp;"")&lt;&gt;"Por confirmar",TRIM('DATOS'!L227&amp;"")&lt;&gt;"No consta",TRIM('DATOS'!L227&amp;"")&lt;&gt;"Desconocido",TRIM('DATOS'!L227&amp;"")&lt;&gt;"Sin confirmar",TRIM('DATOS'!L227&amp;"")&lt;&gt;"Por decidir",TRIM('DATOS'!L227&amp;"")&lt;&gt;"Por comprobar")),0,1),0))))),2)</f>
      </c>
      <c r="R227" s="29">
        <f>IFERROR(IF(N227=0,"",IF(OR(NOT(AND(LEN(TRIM('DATOS'!D227&amp;""))&gt;0,TRIM('DATOS'!D227&amp;"")&lt;&gt;"Pendiente",TRIM('DATOS'!D227&amp;"")&lt;&gt;"Por confirmar",TRIM('DATOS'!D227&amp;"")&lt;&gt;"No consta",TRIM('DATOS'!D227&amp;"")&lt;&gt;"Desconocido",TRIM('DATOS'!D227&amp;"")&lt;&gt;"Sin confirmar",TRIM('DATOS'!D227&amp;"")&lt;&gt;"Por decidir",TRIM('DATOS'!D227&amp;"")&lt;&gt;"Por comprobar")),NOT(AND(LEN(TRIM('DATOS'!E227&amp;""))&gt;0,TRIM('DATOS'!E227&amp;"")&lt;&gt;"Pendiente",TRIM('DATOS'!E227&amp;"")&lt;&gt;"Por confirmar",TRIM('DATOS'!E227&amp;"")&lt;&gt;"No consta",TRIM('DATOS'!E227&amp;"")&lt;&gt;"Desconocido",TRIM('DATOS'!E227&amp;"")&lt;&gt;"Sin confirmar",TRIM('DATOS'!E227&amp;"")&lt;&gt;"Por decidir",TRIM('DATOS'!E227&amp;"")&lt;&gt;"Por comprobar"))),2,IF('DATOS'!M227="No",2,IF('DATOS'!M227="Sí",0,IF(OR('DATOS'!D227&lt;&gt;'DATOS'!E227,LEN('DATOS'!E227)&gt;300,RIGHT(TRIM('DATOS'!E227),3)="...",RIGHT(TRIM('DATOS'!E227),1)="…"),1,0))))),2)</f>
      </c>
      <c r="S227" s="29">
        <f>IFERROR(IF(N227=0,"",IF('REFERENCIAS'!$Q$8&lt;&gt;1,2,IF(NOT(Y227=1),1,IF(OR(ABS('DATOS'!G227-ROUND('DATOS'!G227,'REFERENCIAS'!$E$8))&gt;0.00000001,ABS('DATOS'!H227-ROUND('DATOS'!H227,'REFERENCIAS'!$H$8))&gt;0.00000001,ABS('DATOS'!J227-ROUND('DATOS'!J227,'REFERENCIAS'!$K$8))&gt;0.00000001,IF(ISNUMBER('DATOS'!I227),ABS('DATOS'!I227-ROUND('DATOS'!I227,'REFERENCIAS'!$H$8))&gt;0.00000001,FALSE)),1,0)))),2)</f>
      </c>
      <c r="T227" s="29">
        <f>IFERROR(IF(N227=0,"",IF(NOT(AND(LEN(TRIM('DATOS'!F227&amp;""))&gt;0,TRIM('DATOS'!F227&amp;"")&lt;&gt;"Pendiente",TRIM('DATOS'!F227&amp;"")&lt;&gt;"Por confirmar",TRIM('DATOS'!F227&amp;"")&lt;&gt;"No consta",TRIM('DATOS'!F227&amp;"")&lt;&gt;"Desconocido",TRIM('DATOS'!F227&amp;"")&lt;&gt;"Sin confirmar",TRIM('DATOS'!F227&amp;"")&lt;&gt;"Por decidir",TRIM('DATOS'!F227&amp;"")&lt;&gt;"Por comprobar")),2,IF(COUNTIFS('REFERENCIAS'!$T$15:$T$34,"ID:"&amp;SUBSTITUTE(SUBSTITUTE(SUBSTITUTE(SUBSTITUTE(UPPER(TRIM('DATOS'!F227&amp;"")),"!","!E"),"*","!A"),"?","!B"),"~","!C"),'REFERENCIAS'!$H$15:$H$34,"&lt;&gt;")&gt;0,0,1))),2)</f>
      </c>
      <c r="U227" s="29" t="str">
        <f>'DATOS'!R227</f>
        <v>ID:</v>
      </c>
      <c r="V227" s="29" t="str">
        <f>'DATOS'!S227</f>
        <v>ID:</v>
      </c>
      <c r="W227" s="29" t="n">
        <f>IF(N227=0,0,COUNTIFS('REFERENCIAS'!$R$15:$R$64,U227))</f>
        <v>0</v>
      </c>
      <c r="X227" s="29" t="n">
        <f>IF(N227=0,0,COUNTIFS('DATOS'!$R$10:$R$509,U227,'DATOS'!$S$10:$S$509,V227))</f>
        <v>0</v>
      </c>
      <c r="Y227" s="29" t="n">
        <f>IF(AND(ISNUMBER('DATOS'!G227),ISNUMBER('DATOS'!H227),ISNUMBER('DATOS'!J227)),1,0)</f>
        <v>0</v>
      </c>
    </row>
    <row r="228" ht="64" customHeight="1">
      <c r="B228" s="26">
        <f>IF(N228=1,219,"")</f>
      </c>
      <c r="C228" s="26">
        <f>IF(AND(N228=1,LEN(TRIM('DATOS'!B228&amp;""))&gt;0),'DATOS'!B228,"")</f>
      </c>
      <c r="D228" s="26">
        <f>IF(AND(N228=1,LEN(TRIM('DATOS'!C228&amp;""))&gt;0),'DATOS'!C228,"")</f>
      </c>
      <c r="E228" s="26">
        <f>IF(NOT(ISNUMBER(P228)),"",IF(P228=2,"ROJO",IF(P228=1,"ÁMBAR","VERDE")))</f>
      </c>
      <c r="F228" s="26">
        <f>IF(NOT(ISNUMBER(Q228)),"",IF(Q228=2,"ROJO",IF(Q228=1,"ÁMBAR","VERDE")))</f>
      </c>
      <c r="G228" s="26">
        <f>IF(NOT(ISNUMBER(R228)),"",IF(R228=2,"ROJO",IF(R228=1,"ÁMBAR","VERDE")))</f>
      </c>
      <c r="H228" s="26">
        <f>IF(NOT(ISNUMBER(S228)),"",IF(S228=2,"ROJO",IF(S228=1,"ÁMBAR","VERDE")))</f>
      </c>
      <c r="I228" s="26">
        <f>IF(NOT(ISNUMBER(T228)),"",IF(T228=2,"ROJO",IF(T228=1,"ÁMBAR","VERDE")))</f>
      </c>
      <c r="J228" s="26">
        <f>IF(NOT(ISNUMBER(O228)),"",IF(O228=2,"ROJO",IF(O228=1,"ÁMBAR","VERDE")))</f>
      </c>
      <c r="K228" s="26">
        <f>IFERROR(IF(AND(N228=1,LEN(TRIM('DATOS'!N228&amp;""))&gt;0),'DATOS'!N228,""),"Hay una entrada con error. Corregimos el dato antes de cerrar la comprobación.")</f>
      </c>
      <c r="L228" s="26">
        <f>IFERROR(IF(N228=0,"",IF(O228&gt;0,"Completamos datos, claves o motivo. ","")&amp;IF(P228&gt;0,"Cotejamos precios e importe. ","")&amp;IF(Q228&gt;0,"Aclaramos el cero. ","")&amp;IF(R228&gt;0,"Comprobamos el texto. ","")&amp;IF(S228&gt;0,"Revisamos decimales visibles. ","")&amp;IF(T228&gt;0,"Confirmamos la unidad.","")),"Hay una entrada con error. Corregimos el dato antes de cerrar la comprobación.")</f>
      </c>
      <c r="N228" s="29" t="n">
        <f>IF(COUNTA('DATOS'!B228:O228)&gt;0,1,0)</f>
        <v>0</v>
      </c>
      <c r="O228" s="29">
        <f>IFERROR(IF(N228=0,"",IF(OR(NOT(AND(LEN(TRIM('DATOS'!B228&amp;""))&gt;0,TRIM('DATOS'!B228&amp;"")&lt;&gt;"Pendiente",TRIM('DATOS'!B228&amp;"")&lt;&gt;"Por confirmar",TRIM('DATOS'!B228&amp;"")&lt;&gt;"No consta",TRIM('DATOS'!B228&amp;"")&lt;&gt;"Desconocido",TRIM('DATOS'!B228&amp;"")&lt;&gt;"Sin confirmar",TRIM('DATOS'!B228&amp;"")&lt;&gt;"Por decidir",TRIM('DATOS'!B228&amp;"")&lt;&gt;"Por comprobar")),NOT(AND(LEN(TRIM('DATOS'!C228&amp;""))&gt;0,TRIM('DATOS'!C228&amp;"")&lt;&gt;"Pendiente",TRIM('DATOS'!C228&amp;"")&lt;&gt;"Por confirmar",TRIM('DATOS'!C228&amp;"")&lt;&gt;"No consta",TRIM('DATOS'!C228&amp;"")&lt;&gt;"Desconocido",TRIM('DATOS'!C228&amp;"")&lt;&gt;"Sin confirmar",TRIM('DATOS'!C228&amp;"")&lt;&gt;"Por decidir",TRIM('DATOS'!C228&amp;"")&lt;&gt;"Por comprobar")),NOT(AND(LEN(TRIM('DATOS'!D228&amp;""))&gt;0,TRIM('DATOS'!D228&amp;"")&lt;&gt;"Pendiente",TRIM('DATOS'!D228&amp;"")&lt;&gt;"Por confirmar",TRIM('DATOS'!D228&amp;"")&lt;&gt;"No consta",TRIM('DATOS'!D228&amp;"")&lt;&gt;"Desconocido",TRIM('DATOS'!D228&amp;"")&lt;&gt;"Sin confirmar",TRIM('DATOS'!D228&amp;"")&lt;&gt;"Por decidir",TRIM('DATOS'!D228&amp;"")&lt;&gt;"Por comprobar")),NOT(AND(LEN(TRIM('DATOS'!E228&amp;""))&gt;0,TRIM('DATOS'!E228&amp;"")&lt;&gt;"Pendiente",TRIM('DATOS'!E228&amp;"")&lt;&gt;"Por confirmar",TRIM('DATOS'!E228&amp;"")&lt;&gt;"No consta",TRIM('DATOS'!E228&amp;"")&lt;&gt;"Desconocido",TRIM('DATOS'!E228&amp;"")&lt;&gt;"Sin confirmar",TRIM('DATOS'!E228&amp;"")&lt;&gt;"Por decidir",TRIM('DATOS'!E228&amp;"")&lt;&gt;"Por comprobar")),NOT(AND(LEN(TRIM('DATOS'!F228&amp;""))&gt;0,TRIM('DATOS'!F228&amp;"")&lt;&gt;"Pendiente",TRIM('DATOS'!F228&amp;"")&lt;&gt;"Por confirmar",TRIM('DATOS'!F228&amp;"")&lt;&gt;"No consta",TRIM('DATOS'!F228&amp;"")&lt;&gt;"Desconocido",TRIM('DATOS'!F228&amp;"")&lt;&gt;"Sin confirmar",TRIM('DATOS'!F228&amp;"")&lt;&gt;"Por decidir",TRIM('DATOS'!F228&amp;"")&lt;&gt;"Por comprobar")),NOT(AND(LEN(TRIM('DATOS'!N228&amp;""))&gt;0,TRIM('DATOS'!N228&amp;"")&lt;&gt;"Pendiente",TRIM('DATOS'!N228&amp;"")&lt;&gt;"Por confirmar",TRIM('DATOS'!N228&amp;"")&lt;&gt;"No consta",TRIM('DATOS'!N228&amp;"")&lt;&gt;"Desconocido",TRIM('DATOS'!N228&amp;"")&lt;&gt;"Sin confirmar",TRIM('DATOS'!N228&amp;"")&lt;&gt;"Por decidir",TRIM('DATOS'!N228&amp;"")&lt;&gt;"Por comprobar")),NOT(Y228=1),W228&lt;&gt;1,X228&gt;1,NOT(OR(LEN(TRIM('DATOS'!K228&amp;""))=0,'DATOS'!K228="Sin valorar",'DATOS'!K228="Sin coste documentado",'DATOS'!K228="Incluido en otra partida",'DATOS'!K228="Por confirmar")),NOT(OR(LEN(TRIM('DATOS'!M228&amp;""))=0,'DATOS'!M228="Sí",'DATOS'!M228="No",'DATOS'!M228="Por confirmar")),NOT(OR(LEN(TRIM('DATOS'!O228&amp;""))=0,'DATOS'!O228="Comparamos",'DATOS'!O228="No existe",'DATOS'!O228="Por confirmar"))),2,IF(AND(OR('DATOS'!G228&lt;0,'DATOS'!H228&lt;0,'DATOS'!J228&lt;0),NOT(AND(LEN(TRIM('DATOS'!L228&amp;""))&gt;0,TRIM('DATOS'!L228&amp;"")&lt;&gt;"Pendiente",TRIM('DATOS'!L228&amp;"")&lt;&gt;"Por confirmar",TRIM('DATOS'!L228&amp;"")&lt;&gt;"No consta",TRIM('DATOS'!L228&amp;"")&lt;&gt;"Desconocido",TRIM('DATOS'!L228&amp;"")&lt;&gt;"Sin confirmar",TRIM('DATOS'!L228&amp;"")&lt;&gt;"Por decidir",TRIM('DATOS'!L228&amp;"")&lt;&gt;"Por comprobar"))),1,0))),2)</f>
      </c>
      <c r="P228" s="29">
        <f>IFERROR(IF(N228=0,"",IF(NOT(Y228=1),1,IF('REFERENCIAS'!$Q$8&lt;&gt;1,2,IF(ABS('DATOS'!J228-ROUND('DATOS'!G228*'DATOS'!H228,'REFERENCIAS'!$K$8))&gt;0.00000001,2,IF('DATOS'!O228="No existe",IF(LEN(TRIM('DATOS'!I228&amp;""))=0,0,2),IF('DATOS'!O228="Comparamos",IF(LEN(TRIM('DATOS'!I228&amp;""))=0,1,IF(ISNUMBER('DATOS'!I228),IF(ABS('DATOS'!H228-'DATOS'!I228)&gt;0.00000001,2,0),2)),1)))))),2)</f>
      </c>
      <c r="Q228" s="29">
        <f>IFERROR(IF(N228=0,"",IF(NOT(Y228=1),1,IF('DATOS'!K228="Sin valorar",2,IF('DATOS'!G228=0,1,IF(OR('DATOS'!H228=0,'DATOS'!J228=0),IF(AND(OR('DATOS'!K228="Sin coste documentado",'DATOS'!K228="Incluido en otra partida"),AND(LEN(TRIM('DATOS'!L228&amp;""))&gt;0,TRIM('DATOS'!L228&amp;"")&lt;&gt;"Pendiente",TRIM('DATOS'!L228&amp;"")&lt;&gt;"Por confirmar",TRIM('DATOS'!L228&amp;"")&lt;&gt;"No consta",TRIM('DATOS'!L228&amp;"")&lt;&gt;"Desconocido",TRIM('DATOS'!L228&amp;"")&lt;&gt;"Sin confirmar",TRIM('DATOS'!L228&amp;"")&lt;&gt;"Por decidir",TRIM('DATOS'!L228&amp;"")&lt;&gt;"Por comprobar")),0,1),0))))),2)</f>
      </c>
      <c r="R228" s="29">
        <f>IFERROR(IF(N228=0,"",IF(OR(NOT(AND(LEN(TRIM('DATOS'!D228&amp;""))&gt;0,TRIM('DATOS'!D228&amp;"")&lt;&gt;"Pendiente",TRIM('DATOS'!D228&amp;"")&lt;&gt;"Por confirmar",TRIM('DATOS'!D228&amp;"")&lt;&gt;"No consta",TRIM('DATOS'!D228&amp;"")&lt;&gt;"Desconocido",TRIM('DATOS'!D228&amp;"")&lt;&gt;"Sin confirmar",TRIM('DATOS'!D228&amp;"")&lt;&gt;"Por decidir",TRIM('DATOS'!D228&amp;"")&lt;&gt;"Por comprobar")),NOT(AND(LEN(TRIM('DATOS'!E228&amp;""))&gt;0,TRIM('DATOS'!E228&amp;"")&lt;&gt;"Pendiente",TRIM('DATOS'!E228&amp;"")&lt;&gt;"Por confirmar",TRIM('DATOS'!E228&amp;"")&lt;&gt;"No consta",TRIM('DATOS'!E228&amp;"")&lt;&gt;"Desconocido",TRIM('DATOS'!E228&amp;"")&lt;&gt;"Sin confirmar",TRIM('DATOS'!E228&amp;"")&lt;&gt;"Por decidir",TRIM('DATOS'!E228&amp;"")&lt;&gt;"Por comprobar"))),2,IF('DATOS'!M228="No",2,IF('DATOS'!M228="Sí",0,IF(OR('DATOS'!D228&lt;&gt;'DATOS'!E228,LEN('DATOS'!E228)&gt;300,RIGHT(TRIM('DATOS'!E228),3)="...",RIGHT(TRIM('DATOS'!E228),1)="…"),1,0))))),2)</f>
      </c>
      <c r="S228" s="29">
        <f>IFERROR(IF(N228=0,"",IF('REFERENCIAS'!$Q$8&lt;&gt;1,2,IF(NOT(Y228=1),1,IF(OR(ABS('DATOS'!G228-ROUND('DATOS'!G228,'REFERENCIAS'!$E$8))&gt;0.00000001,ABS('DATOS'!H228-ROUND('DATOS'!H228,'REFERENCIAS'!$H$8))&gt;0.00000001,ABS('DATOS'!J228-ROUND('DATOS'!J228,'REFERENCIAS'!$K$8))&gt;0.00000001,IF(ISNUMBER('DATOS'!I228),ABS('DATOS'!I228-ROUND('DATOS'!I228,'REFERENCIAS'!$H$8))&gt;0.00000001,FALSE)),1,0)))),2)</f>
      </c>
      <c r="T228" s="29">
        <f>IFERROR(IF(N228=0,"",IF(NOT(AND(LEN(TRIM('DATOS'!F228&amp;""))&gt;0,TRIM('DATOS'!F228&amp;"")&lt;&gt;"Pendiente",TRIM('DATOS'!F228&amp;"")&lt;&gt;"Por confirmar",TRIM('DATOS'!F228&amp;"")&lt;&gt;"No consta",TRIM('DATOS'!F228&amp;"")&lt;&gt;"Desconocido",TRIM('DATOS'!F228&amp;"")&lt;&gt;"Sin confirmar",TRIM('DATOS'!F228&amp;"")&lt;&gt;"Por decidir",TRIM('DATOS'!F228&amp;"")&lt;&gt;"Por comprobar")),2,IF(COUNTIFS('REFERENCIAS'!$T$15:$T$34,"ID:"&amp;SUBSTITUTE(SUBSTITUTE(SUBSTITUTE(SUBSTITUTE(UPPER(TRIM('DATOS'!F228&amp;"")),"!","!E"),"*","!A"),"?","!B"),"~","!C"),'REFERENCIAS'!$H$15:$H$34,"&lt;&gt;")&gt;0,0,1))),2)</f>
      </c>
      <c r="U228" s="29" t="str">
        <f>'DATOS'!R228</f>
        <v>ID:</v>
      </c>
      <c r="V228" s="29" t="str">
        <f>'DATOS'!S228</f>
        <v>ID:</v>
      </c>
      <c r="W228" s="29" t="n">
        <f>IF(N228=0,0,COUNTIFS('REFERENCIAS'!$R$15:$R$64,U228))</f>
        <v>0</v>
      </c>
      <c r="X228" s="29" t="n">
        <f>IF(N228=0,0,COUNTIFS('DATOS'!$R$10:$R$509,U228,'DATOS'!$S$10:$S$509,V228))</f>
        <v>0</v>
      </c>
      <c r="Y228" s="29" t="n">
        <f>IF(AND(ISNUMBER('DATOS'!G228),ISNUMBER('DATOS'!H228),ISNUMBER('DATOS'!J228)),1,0)</f>
        <v>0</v>
      </c>
    </row>
    <row r="229" ht="64" customHeight="1">
      <c r="B229" s="26">
        <f>IF(N229=1,220,"")</f>
      </c>
      <c r="C229" s="26">
        <f>IF(AND(N229=1,LEN(TRIM('DATOS'!B229&amp;""))&gt;0),'DATOS'!B229,"")</f>
      </c>
      <c r="D229" s="26">
        <f>IF(AND(N229=1,LEN(TRIM('DATOS'!C229&amp;""))&gt;0),'DATOS'!C229,"")</f>
      </c>
      <c r="E229" s="26">
        <f>IF(NOT(ISNUMBER(P229)),"",IF(P229=2,"ROJO",IF(P229=1,"ÁMBAR","VERDE")))</f>
      </c>
      <c r="F229" s="26">
        <f>IF(NOT(ISNUMBER(Q229)),"",IF(Q229=2,"ROJO",IF(Q229=1,"ÁMBAR","VERDE")))</f>
      </c>
      <c r="G229" s="26">
        <f>IF(NOT(ISNUMBER(R229)),"",IF(R229=2,"ROJO",IF(R229=1,"ÁMBAR","VERDE")))</f>
      </c>
      <c r="H229" s="26">
        <f>IF(NOT(ISNUMBER(S229)),"",IF(S229=2,"ROJO",IF(S229=1,"ÁMBAR","VERDE")))</f>
      </c>
      <c r="I229" s="26">
        <f>IF(NOT(ISNUMBER(T229)),"",IF(T229=2,"ROJO",IF(T229=1,"ÁMBAR","VERDE")))</f>
      </c>
      <c r="J229" s="26">
        <f>IF(NOT(ISNUMBER(O229)),"",IF(O229=2,"ROJO",IF(O229=1,"ÁMBAR","VERDE")))</f>
      </c>
      <c r="K229" s="26">
        <f>IFERROR(IF(AND(N229=1,LEN(TRIM('DATOS'!N229&amp;""))&gt;0),'DATOS'!N229,""),"Hay una entrada con error. Corregimos el dato antes de cerrar la comprobación.")</f>
      </c>
      <c r="L229" s="26">
        <f>IFERROR(IF(N229=0,"",IF(O229&gt;0,"Completamos datos, claves o motivo. ","")&amp;IF(P229&gt;0,"Cotejamos precios e importe. ","")&amp;IF(Q229&gt;0,"Aclaramos el cero. ","")&amp;IF(R229&gt;0,"Comprobamos el texto. ","")&amp;IF(S229&gt;0,"Revisamos decimales visibles. ","")&amp;IF(T229&gt;0,"Confirmamos la unidad.","")),"Hay una entrada con error. Corregimos el dato antes de cerrar la comprobación.")</f>
      </c>
      <c r="N229" s="29" t="n">
        <f>IF(COUNTA('DATOS'!B229:O229)&gt;0,1,0)</f>
        <v>0</v>
      </c>
      <c r="O229" s="29">
        <f>IFERROR(IF(N229=0,"",IF(OR(NOT(AND(LEN(TRIM('DATOS'!B229&amp;""))&gt;0,TRIM('DATOS'!B229&amp;"")&lt;&gt;"Pendiente",TRIM('DATOS'!B229&amp;"")&lt;&gt;"Por confirmar",TRIM('DATOS'!B229&amp;"")&lt;&gt;"No consta",TRIM('DATOS'!B229&amp;"")&lt;&gt;"Desconocido",TRIM('DATOS'!B229&amp;"")&lt;&gt;"Sin confirmar",TRIM('DATOS'!B229&amp;"")&lt;&gt;"Por decidir",TRIM('DATOS'!B229&amp;"")&lt;&gt;"Por comprobar")),NOT(AND(LEN(TRIM('DATOS'!C229&amp;""))&gt;0,TRIM('DATOS'!C229&amp;"")&lt;&gt;"Pendiente",TRIM('DATOS'!C229&amp;"")&lt;&gt;"Por confirmar",TRIM('DATOS'!C229&amp;"")&lt;&gt;"No consta",TRIM('DATOS'!C229&amp;"")&lt;&gt;"Desconocido",TRIM('DATOS'!C229&amp;"")&lt;&gt;"Sin confirmar",TRIM('DATOS'!C229&amp;"")&lt;&gt;"Por decidir",TRIM('DATOS'!C229&amp;"")&lt;&gt;"Por comprobar")),NOT(AND(LEN(TRIM('DATOS'!D229&amp;""))&gt;0,TRIM('DATOS'!D229&amp;"")&lt;&gt;"Pendiente",TRIM('DATOS'!D229&amp;"")&lt;&gt;"Por confirmar",TRIM('DATOS'!D229&amp;"")&lt;&gt;"No consta",TRIM('DATOS'!D229&amp;"")&lt;&gt;"Desconocido",TRIM('DATOS'!D229&amp;"")&lt;&gt;"Sin confirmar",TRIM('DATOS'!D229&amp;"")&lt;&gt;"Por decidir",TRIM('DATOS'!D229&amp;"")&lt;&gt;"Por comprobar")),NOT(AND(LEN(TRIM('DATOS'!E229&amp;""))&gt;0,TRIM('DATOS'!E229&amp;"")&lt;&gt;"Pendiente",TRIM('DATOS'!E229&amp;"")&lt;&gt;"Por confirmar",TRIM('DATOS'!E229&amp;"")&lt;&gt;"No consta",TRIM('DATOS'!E229&amp;"")&lt;&gt;"Desconocido",TRIM('DATOS'!E229&amp;"")&lt;&gt;"Sin confirmar",TRIM('DATOS'!E229&amp;"")&lt;&gt;"Por decidir",TRIM('DATOS'!E229&amp;"")&lt;&gt;"Por comprobar")),NOT(AND(LEN(TRIM('DATOS'!F229&amp;""))&gt;0,TRIM('DATOS'!F229&amp;"")&lt;&gt;"Pendiente",TRIM('DATOS'!F229&amp;"")&lt;&gt;"Por confirmar",TRIM('DATOS'!F229&amp;"")&lt;&gt;"No consta",TRIM('DATOS'!F229&amp;"")&lt;&gt;"Desconocido",TRIM('DATOS'!F229&amp;"")&lt;&gt;"Sin confirmar",TRIM('DATOS'!F229&amp;"")&lt;&gt;"Por decidir",TRIM('DATOS'!F229&amp;"")&lt;&gt;"Por comprobar")),NOT(AND(LEN(TRIM('DATOS'!N229&amp;""))&gt;0,TRIM('DATOS'!N229&amp;"")&lt;&gt;"Pendiente",TRIM('DATOS'!N229&amp;"")&lt;&gt;"Por confirmar",TRIM('DATOS'!N229&amp;"")&lt;&gt;"No consta",TRIM('DATOS'!N229&amp;"")&lt;&gt;"Desconocido",TRIM('DATOS'!N229&amp;"")&lt;&gt;"Sin confirmar",TRIM('DATOS'!N229&amp;"")&lt;&gt;"Por decidir",TRIM('DATOS'!N229&amp;"")&lt;&gt;"Por comprobar")),NOT(Y229=1),W229&lt;&gt;1,X229&gt;1,NOT(OR(LEN(TRIM('DATOS'!K229&amp;""))=0,'DATOS'!K229="Sin valorar",'DATOS'!K229="Sin coste documentado",'DATOS'!K229="Incluido en otra partida",'DATOS'!K229="Por confirmar")),NOT(OR(LEN(TRIM('DATOS'!M229&amp;""))=0,'DATOS'!M229="Sí",'DATOS'!M229="No",'DATOS'!M229="Por confirmar")),NOT(OR(LEN(TRIM('DATOS'!O229&amp;""))=0,'DATOS'!O229="Comparamos",'DATOS'!O229="No existe",'DATOS'!O229="Por confirmar"))),2,IF(AND(OR('DATOS'!G229&lt;0,'DATOS'!H229&lt;0,'DATOS'!J229&lt;0),NOT(AND(LEN(TRIM('DATOS'!L229&amp;""))&gt;0,TRIM('DATOS'!L229&amp;"")&lt;&gt;"Pendiente",TRIM('DATOS'!L229&amp;"")&lt;&gt;"Por confirmar",TRIM('DATOS'!L229&amp;"")&lt;&gt;"No consta",TRIM('DATOS'!L229&amp;"")&lt;&gt;"Desconocido",TRIM('DATOS'!L229&amp;"")&lt;&gt;"Sin confirmar",TRIM('DATOS'!L229&amp;"")&lt;&gt;"Por decidir",TRIM('DATOS'!L229&amp;"")&lt;&gt;"Por comprobar"))),1,0))),2)</f>
      </c>
      <c r="P229" s="29">
        <f>IFERROR(IF(N229=0,"",IF(NOT(Y229=1),1,IF('REFERENCIAS'!$Q$8&lt;&gt;1,2,IF(ABS('DATOS'!J229-ROUND('DATOS'!G229*'DATOS'!H229,'REFERENCIAS'!$K$8))&gt;0.00000001,2,IF('DATOS'!O229="No existe",IF(LEN(TRIM('DATOS'!I229&amp;""))=0,0,2),IF('DATOS'!O229="Comparamos",IF(LEN(TRIM('DATOS'!I229&amp;""))=0,1,IF(ISNUMBER('DATOS'!I229),IF(ABS('DATOS'!H229-'DATOS'!I229)&gt;0.00000001,2,0),2)),1)))))),2)</f>
      </c>
      <c r="Q229" s="29">
        <f>IFERROR(IF(N229=0,"",IF(NOT(Y229=1),1,IF('DATOS'!K229="Sin valorar",2,IF('DATOS'!G229=0,1,IF(OR('DATOS'!H229=0,'DATOS'!J229=0),IF(AND(OR('DATOS'!K229="Sin coste documentado",'DATOS'!K229="Incluido en otra partida"),AND(LEN(TRIM('DATOS'!L229&amp;""))&gt;0,TRIM('DATOS'!L229&amp;"")&lt;&gt;"Pendiente",TRIM('DATOS'!L229&amp;"")&lt;&gt;"Por confirmar",TRIM('DATOS'!L229&amp;"")&lt;&gt;"No consta",TRIM('DATOS'!L229&amp;"")&lt;&gt;"Desconocido",TRIM('DATOS'!L229&amp;"")&lt;&gt;"Sin confirmar",TRIM('DATOS'!L229&amp;"")&lt;&gt;"Por decidir",TRIM('DATOS'!L229&amp;"")&lt;&gt;"Por comprobar")),0,1),0))))),2)</f>
      </c>
      <c r="R229" s="29">
        <f>IFERROR(IF(N229=0,"",IF(OR(NOT(AND(LEN(TRIM('DATOS'!D229&amp;""))&gt;0,TRIM('DATOS'!D229&amp;"")&lt;&gt;"Pendiente",TRIM('DATOS'!D229&amp;"")&lt;&gt;"Por confirmar",TRIM('DATOS'!D229&amp;"")&lt;&gt;"No consta",TRIM('DATOS'!D229&amp;"")&lt;&gt;"Desconocido",TRIM('DATOS'!D229&amp;"")&lt;&gt;"Sin confirmar",TRIM('DATOS'!D229&amp;"")&lt;&gt;"Por decidir",TRIM('DATOS'!D229&amp;"")&lt;&gt;"Por comprobar")),NOT(AND(LEN(TRIM('DATOS'!E229&amp;""))&gt;0,TRIM('DATOS'!E229&amp;"")&lt;&gt;"Pendiente",TRIM('DATOS'!E229&amp;"")&lt;&gt;"Por confirmar",TRIM('DATOS'!E229&amp;"")&lt;&gt;"No consta",TRIM('DATOS'!E229&amp;"")&lt;&gt;"Desconocido",TRIM('DATOS'!E229&amp;"")&lt;&gt;"Sin confirmar",TRIM('DATOS'!E229&amp;"")&lt;&gt;"Por decidir",TRIM('DATOS'!E229&amp;"")&lt;&gt;"Por comprobar"))),2,IF('DATOS'!M229="No",2,IF('DATOS'!M229="Sí",0,IF(OR('DATOS'!D229&lt;&gt;'DATOS'!E229,LEN('DATOS'!E229)&gt;300,RIGHT(TRIM('DATOS'!E229),3)="...",RIGHT(TRIM('DATOS'!E229),1)="…"),1,0))))),2)</f>
      </c>
      <c r="S229" s="29">
        <f>IFERROR(IF(N229=0,"",IF('REFERENCIAS'!$Q$8&lt;&gt;1,2,IF(NOT(Y229=1),1,IF(OR(ABS('DATOS'!G229-ROUND('DATOS'!G229,'REFERENCIAS'!$E$8))&gt;0.00000001,ABS('DATOS'!H229-ROUND('DATOS'!H229,'REFERENCIAS'!$H$8))&gt;0.00000001,ABS('DATOS'!J229-ROUND('DATOS'!J229,'REFERENCIAS'!$K$8))&gt;0.00000001,IF(ISNUMBER('DATOS'!I229),ABS('DATOS'!I229-ROUND('DATOS'!I229,'REFERENCIAS'!$H$8))&gt;0.00000001,FALSE)),1,0)))),2)</f>
      </c>
      <c r="T229" s="29">
        <f>IFERROR(IF(N229=0,"",IF(NOT(AND(LEN(TRIM('DATOS'!F229&amp;""))&gt;0,TRIM('DATOS'!F229&amp;"")&lt;&gt;"Pendiente",TRIM('DATOS'!F229&amp;"")&lt;&gt;"Por confirmar",TRIM('DATOS'!F229&amp;"")&lt;&gt;"No consta",TRIM('DATOS'!F229&amp;"")&lt;&gt;"Desconocido",TRIM('DATOS'!F229&amp;"")&lt;&gt;"Sin confirmar",TRIM('DATOS'!F229&amp;"")&lt;&gt;"Por decidir",TRIM('DATOS'!F229&amp;"")&lt;&gt;"Por comprobar")),2,IF(COUNTIFS('REFERENCIAS'!$T$15:$T$34,"ID:"&amp;SUBSTITUTE(SUBSTITUTE(SUBSTITUTE(SUBSTITUTE(UPPER(TRIM('DATOS'!F229&amp;"")),"!","!E"),"*","!A"),"?","!B"),"~","!C"),'REFERENCIAS'!$H$15:$H$34,"&lt;&gt;")&gt;0,0,1))),2)</f>
      </c>
      <c r="U229" s="29" t="str">
        <f>'DATOS'!R229</f>
        <v>ID:</v>
      </c>
      <c r="V229" s="29" t="str">
        <f>'DATOS'!S229</f>
        <v>ID:</v>
      </c>
      <c r="W229" s="29" t="n">
        <f>IF(N229=0,0,COUNTIFS('REFERENCIAS'!$R$15:$R$64,U229))</f>
        <v>0</v>
      </c>
      <c r="X229" s="29" t="n">
        <f>IF(N229=0,0,COUNTIFS('DATOS'!$R$10:$R$509,U229,'DATOS'!$S$10:$S$509,V229))</f>
        <v>0</v>
      </c>
      <c r="Y229" s="29" t="n">
        <f>IF(AND(ISNUMBER('DATOS'!G229),ISNUMBER('DATOS'!H229),ISNUMBER('DATOS'!J229)),1,0)</f>
        <v>0</v>
      </c>
    </row>
    <row r="230" ht="64" customHeight="1">
      <c r="B230" s="26">
        <f>IF(N230=1,221,"")</f>
      </c>
      <c r="C230" s="26">
        <f>IF(AND(N230=1,LEN(TRIM('DATOS'!B230&amp;""))&gt;0),'DATOS'!B230,"")</f>
      </c>
      <c r="D230" s="26">
        <f>IF(AND(N230=1,LEN(TRIM('DATOS'!C230&amp;""))&gt;0),'DATOS'!C230,"")</f>
      </c>
      <c r="E230" s="26">
        <f>IF(NOT(ISNUMBER(P230)),"",IF(P230=2,"ROJO",IF(P230=1,"ÁMBAR","VERDE")))</f>
      </c>
      <c r="F230" s="26">
        <f>IF(NOT(ISNUMBER(Q230)),"",IF(Q230=2,"ROJO",IF(Q230=1,"ÁMBAR","VERDE")))</f>
      </c>
      <c r="G230" s="26">
        <f>IF(NOT(ISNUMBER(R230)),"",IF(R230=2,"ROJO",IF(R230=1,"ÁMBAR","VERDE")))</f>
      </c>
      <c r="H230" s="26">
        <f>IF(NOT(ISNUMBER(S230)),"",IF(S230=2,"ROJO",IF(S230=1,"ÁMBAR","VERDE")))</f>
      </c>
      <c r="I230" s="26">
        <f>IF(NOT(ISNUMBER(T230)),"",IF(T230=2,"ROJO",IF(T230=1,"ÁMBAR","VERDE")))</f>
      </c>
      <c r="J230" s="26">
        <f>IF(NOT(ISNUMBER(O230)),"",IF(O230=2,"ROJO",IF(O230=1,"ÁMBAR","VERDE")))</f>
      </c>
      <c r="K230" s="26">
        <f>IFERROR(IF(AND(N230=1,LEN(TRIM('DATOS'!N230&amp;""))&gt;0),'DATOS'!N230,""),"Hay una entrada con error. Corregimos el dato antes de cerrar la comprobación.")</f>
      </c>
      <c r="L230" s="26">
        <f>IFERROR(IF(N230=0,"",IF(O230&gt;0,"Completamos datos, claves o motivo. ","")&amp;IF(P230&gt;0,"Cotejamos precios e importe. ","")&amp;IF(Q230&gt;0,"Aclaramos el cero. ","")&amp;IF(R230&gt;0,"Comprobamos el texto. ","")&amp;IF(S230&gt;0,"Revisamos decimales visibles. ","")&amp;IF(T230&gt;0,"Confirmamos la unidad.","")),"Hay una entrada con error. Corregimos el dato antes de cerrar la comprobación.")</f>
      </c>
      <c r="N230" s="29" t="n">
        <f>IF(COUNTA('DATOS'!B230:O230)&gt;0,1,0)</f>
        <v>0</v>
      </c>
      <c r="O230" s="29">
        <f>IFERROR(IF(N230=0,"",IF(OR(NOT(AND(LEN(TRIM('DATOS'!B230&amp;""))&gt;0,TRIM('DATOS'!B230&amp;"")&lt;&gt;"Pendiente",TRIM('DATOS'!B230&amp;"")&lt;&gt;"Por confirmar",TRIM('DATOS'!B230&amp;"")&lt;&gt;"No consta",TRIM('DATOS'!B230&amp;"")&lt;&gt;"Desconocido",TRIM('DATOS'!B230&amp;"")&lt;&gt;"Sin confirmar",TRIM('DATOS'!B230&amp;"")&lt;&gt;"Por decidir",TRIM('DATOS'!B230&amp;"")&lt;&gt;"Por comprobar")),NOT(AND(LEN(TRIM('DATOS'!C230&amp;""))&gt;0,TRIM('DATOS'!C230&amp;"")&lt;&gt;"Pendiente",TRIM('DATOS'!C230&amp;"")&lt;&gt;"Por confirmar",TRIM('DATOS'!C230&amp;"")&lt;&gt;"No consta",TRIM('DATOS'!C230&amp;"")&lt;&gt;"Desconocido",TRIM('DATOS'!C230&amp;"")&lt;&gt;"Sin confirmar",TRIM('DATOS'!C230&amp;"")&lt;&gt;"Por decidir",TRIM('DATOS'!C230&amp;"")&lt;&gt;"Por comprobar")),NOT(AND(LEN(TRIM('DATOS'!D230&amp;""))&gt;0,TRIM('DATOS'!D230&amp;"")&lt;&gt;"Pendiente",TRIM('DATOS'!D230&amp;"")&lt;&gt;"Por confirmar",TRIM('DATOS'!D230&amp;"")&lt;&gt;"No consta",TRIM('DATOS'!D230&amp;"")&lt;&gt;"Desconocido",TRIM('DATOS'!D230&amp;"")&lt;&gt;"Sin confirmar",TRIM('DATOS'!D230&amp;"")&lt;&gt;"Por decidir",TRIM('DATOS'!D230&amp;"")&lt;&gt;"Por comprobar")),NOT(AND(LEN(TRIM('DATOS'!E230&amp;""))&gt;0,TRIM('DATOS'!E230&amp;"")&lt;&gt;"Pendiente",TRIM('DATOS'!E230&amp;"")&lt;&gt;"Por confirmar",TRIM('DATOS'!E230&amp;"")&lt;&gt;"No consta",TRIM('DATOS'!E230&amp;"")&lt;&gt;"Desconocido",TRIM('DATOS'!E230&amp;"")&lt;&gt;"Sin confirmar",TRIM('DATOS'!E230&amp;"")&lt;&gt;"Por decidir",TRIM('DATOS'!E230&amp;"")&lt;&gt;"Por comprobar")),NOT(AND(LEN(TRIM('DATOS'!F230&amp;""))&gt;0,TRIM('DATOS'!F230&amp;"")&lt;&gt;"Pendiente",TRIM('DATOS'!F230&amp;"")&lt;&gt;"Por confirmar",TRIM('DATOS'!F230&amp;"")&lt;&gt;"No consta",TRIM('DATOS'!F230&amp;"")&lt;&gt;"Desconocido",TRIM('DATOS'!F230&amp;"")&lt;&gt;"Sin confirmar",TRIM('DATOS'!F230&amp;"")&lt;&gt;"Por decidir",TRIM('DATOS'!F230&amp;"")&lt;&gt;"Por comprobar")),NOT(AND(LEN(TRIM('DATOS'!N230&amp;""))&gt;0,TRIM('DATOS'!N230&amp;"")&lt;&gt;"Pendiente",TRIM('DATOS'!N230&amp;"")&lt;&gt;"Por confirmar",TRIM('DATOS'!N230&amp;"")&lt;&gt;"No consta",TRIM('DATOS'!N230&amp;"")&lt;&gt;"Desconocido",TRIM('DATOS'!N230&amp;"")&lt;&gt;"Sin confirmar",TRIM('DATOS'!N230&amp;"")&lt;&gt;"Por decidir",TRIM('DATOS'!N230&amp;"")&lt;&gt;"Por comprobar")),NOT(Y230=1),W230&lt;&gt;1,X230&gt;1,NOT(OR(LEN(TRIM('DATOS'!K230&amp;""))=0,'DATOS'!K230="Sin valorar",'DATOS'!K230="Sin coste documentado",'DATOS'!K230="Incluido en otra partida",'DATOS'!K230="Por confirmar")),NOT(OR(LEN(TRIM('DATOS'!M230&amp;""))=0,'DATOS'!M230="Sí",'DATOS'!M230="No",'DATOS'!M230="Por confirmar")),NOT(OR(LEN(TRIM('DATOS'!O230&amp;""))=0,'DATOS'!O230="Comparamos",'DATOS'!O230="No existe",'DATOS'!O230="Por confirmar"))),2,IF(AND(OR('DATOS'!G230&lt;0,'DATOS'!H230&lt;0,'DATOS'!J230&lt;0),NOT(AND(LEN(TRIM('DATOS'!L230&amp;""))&gt;0,TRIM('DATOS'!L230&amp;"")&lt;&gt;"Pendiente",TRIM('DATOS'!L230&amp;"")&lt;&gt;"Por confirmar",TRIM('DATOS'!L230&amp;"")&lt;&gt;"No consta",TRIM('DATOS'!L230&amp;"")&lt;&gt;"Desconocido",TRIM('DATOS'!L230&amp;"")&lt;&gt;"Sin confirmar",TRIM('DATOS'!L230&amp;"")&lt;&gt;"Por decidir",TRIM('DATOS'!L230&amp;"")&lt;&gt;"Por comprobar"))),1,0))),2)</f>
      </c>
      <c r="P230" s="29">
        <f>IFERROR(IF(N230=0,"",IF(NOT(Y230=1),1,IF('REFERENCIAS'!$Q$8&lt;&gt;1,2,IF(ABS('DATOS'!J230-ROUND('DATOS'!G230*'DATOS'!H230,'REFERENCIAS'!$K$8))&gt;0.00000001,2,IF('DATOS'!O230="No existe",IF(LEN(TRIM('DATOS'!I230&amp;""))=0,0,2),IF('DATOS'!O230="Comparamos",IF(LEN(TRIM('DATOS'!I230&amp;""))=0,1,IF(ISNUMBER('DATOS'!I230),IF(ABS('DATOS'!H230-'DATOS'!I230)&gt;0.00000001,2,0),2)),1)))))),2)</f>
      </c>
      <c r="Q230" s="29">
        <f>IFERROR(IF(N230=0,"",IF(NOT(Y230=1),1,IF('DATOS'!K230="Sin valorar",2,IF('DATOS'!G230=0,1,IF(OR('DATOS'!H230=0,'DATOS'!J230=0),IF(AND(OR('DATOS'!K230="Sin coste documentado",'DATOS'!K230="Incluido en otra partida"),AND(LEN(TRIM('DATOS'!L230&amp;""))&gt;0,TRIM('DATOS'!L230&amp;"")&lt;&gt;"Pendiente",TRIM('DATOS'!L230&amp;"")&lt;&gt;"Por confirmar",TRIM('DATOS'!L230&amp;"")&lt;&gt;"No consta",TRIM('DATOS'!L230&amp;"")&lt;&gt;"Desconocido",TRIM('DATOS'!L230&amp;"")&lt;&gt;"Sin confirmar",TRIM('DATOS'!L230&amp;"")&lt;&gt;"Por decidir",TRIM('DATOS'!L230&amp;"")&lt;&gt;"Por comprobar")),0,1),0))))),2)</f>
      </c>
      <c r="R230" s="29">
        <f>IFERROR(IF(N230=0,"",IF(OR(NOT(AND(LEN(TRIM('DATOS'!D230&amp;""))&gt;0,TRIM('DATOS'!D230&amp;"")&lt;&gt;"Pendiente",TRIM('DATOS'!D230&amp;"")&lt;&gt;"Por confirmar",TRIM('DATOS'!D230&amp;"")&lt;&gt;"No consta",TRIM('DATOS'!D230&amp;"")&lt;&gt;"Desconocido",TRIM('DATOS'!D230&amp;"")&lt;&gt;"Sin confirmar",TRIM('DATOS'!D230&amp;"")&lt;&gt;"Por decidir",TRIM('DATOS'!D230&amp;"")&lt;&gt;"Por comprobar")),NOT(AND(LEN(TRIM('DATOS'!E230&amp;""))&gt;0,TRIM('DATOS'!E230&amp;"")&lt;&gt;"Pendiente",TRIM('DATOS'!E230&amp;"")&lt;&gt;"Por confirmar",TRIM('DATOS'!E230&amp;"")&lt;&gt;"No consta",TRIM('DATOS'!E230&amp;"")&lt;&gt;"Desconocido",TRIM('DATOS'!E230&amp;"")&lt;&gt;"Sin confirmar",TRIM('DATOS'!E230&amp;"")&lt;&gt;"Por decidir",TRIM('DATOS'!E230&amp;"")&lt;&gt;"Por comprobar"))),2,IF('DATOS'!M230="No",2,IF('DATOS'!M230="Sí",0,IF(OR('DATOS'!D230&lt;&gt;'DATOS'!E230,LEN('DATOS'!E230)&gt;300,RIGHT(TRIM('DATOS'!E230),3)="...",RIGHT(TRIM('DATOS'!E230),1)="…"),1,0))))),2)</f>
      </c>
      <c r="S230" s="29">
        <f>IFERROR(IF(N230=0,"",IF('REFERENCIAS'!$Q$8&lt;&gt;1,2,IF(NOT(Y230=1),1,IF(OR(ABS('DATOS'!G230-ROUND('DATOS'!G230,'REFERENCIAS'!$E$8))&gt;0.00000001,ABS('DATOS'!H230-ROUND('DATOS'!H230,'REFERENCIAS'!$H$8))&gt;0.00000001,ABS('DATOS'!J230-ROUND('DATOS'!J230,'REFERENCIAS'!$K$8))&gt;0.00000001,IF(ISNUMBER('DATOS'!I230),ABS('DATOS'!I230-ROUND('DATOS'!I230,'REFERENCIAS'!$H$8))&gt;0.00000001,FALSE)),1,0)))),2)</f>
      </c>
      <c r="T230" s="29">
        <f>IFERROR(IF(N230=0,"",IF(NOT(AND(LEN(TRIM('DATOS'!F230&amp;""))&gt;0,TRIM('DATOS'!F230&amp;"")&lt;&gt;"Pendiente",TRIM('DATOS'!F230&amp;"")&lt;&gt;"Por confirmar",TRIM('DATOS'!F230&amp;"")&lt;&gt;"No consta",TRIM('DATOS'!F230&amp;"")&lt;&gt;"Desconocido",TRIM('DATOS'!F230&amp;"")&lt;&gt;"Sin confirmar",TRIM('DATOS'!F230&amp;"")&lt;&gt;"Por decidir",TRIM('DATOS'!F230&amp;"")&lt;&gt;"Por comprobar")),2,IF(COUNTIFS('REFERENCIAS'!$T$15:$T$34,"ID:"&amp;SUBSTITUTE(SUBSTITUTE(SUBSTITUTE(SUBSTITUTE(UPPER(TRIM('DATOS'!F230&amp;"")),"!","!E"),"*","!A"),"?","!B"),"~","!C"),'REFERENCIAS'!$H$15:$H$34,"&lt;&gt;")&gt;0,0,1))),2)</f>
      </c>
      <c r="U230" s="29" t="str">
        <f>'DATOS'!R230</f>
        <v>ID:</v>
      </c>
      <c r="V230" s="29" t="str">
        <f>'DATOS'!S230</f>
        <v>ID:</v>
      </c>
      <c r="W230" s="29" t="n">
        <f>IF(N230=0,0,COUNTIFS('REFERENCIAS'!$R$15:$R$64,U230))</f>
        <v>0</v>
      </c>
      <c r="X230" s="29" t="n">
        <f>IF(N230=0,0,COUNTIFS('DATOS'!$R$10:$R$509,U230,'DATOS'!$S$10:$S$509,V230))</f>
        <v>0</v>
      </c>
      <c r="Y230" s="29" t="n">
        <f>IF(AND(ISNUMBER('DATOS'!G230),ISNUMBER('DATOS'!H230),ISNUMBER('DATOS'!J230)),1,0)</f>
        <v>0</v>
      </c>
    </row>
    <row r="231" ht="64" customHeight="1">
      <c r="B231" s="26">
        <f>IF(N231=1,222,"")</f>
      </c>
      <c r="C231" s="26">
        <f>IF(AND(N231=1,LEN(TRIM('DATOS'!B231&amp;""))&gt;0),'DATOS'!B231,"")</f>
      </c>
      <c r="D231" s="26">
        <f>IF(AND(N231=1,LEN(TRIM('DATOS'!C231&amp;""))&gt;0),'DATOS'!C231,"")</f>
      </c>
      <c r="E231" s="26">
        <f>IF(NOT(ISNUMBER(P231)),"",IF(P231=2,"ROJO",IF(P231=1,"ÁMBAR","VERDE")))</f>
      </c>
      <c r="F231" s="26">
        <f>IF(NOT(ISNUMBER(Q231)),"",IF(Q231=2,"ROJO",IF(Q231=1,"ÁMBAR","VERDE")))</f>
      </c>
      <c r="G231" s="26">
        <f>IF(NOT(ISNUMBER(R231)),"",IF(R231=2,"ROJO",IF(R231=1,"ÁMBAR","VERDE")))</f>
      </c>
      <c r="H231" s="26">
        <f>IF(NOT(ISNUMBER(S231)),"",IF(S231=2,"ROJO",IF(S231=1,"ÁMBAR","VERDE")))</f>
      </c>
      <c r="I231" s="26">
        <f>IF(NOT(ISNUMBER(T231)),"",IF(T231=2,"ROJO",IF(T231=1,"ÁMBAR","VERDE")))</f>
      </c>
      <c r="J231" s="26">
        <f>IF(NOT(ISNUMBER(O231)),"",IF(O231=2,"ROJO",IF(O231=1,"ÁMBAR","VERDE")))</f>
      </c>
      <c r="K231" s="26">
        <f>IFERROR(IF(AND(N231=1,LEN(TRIM('DATOS'!N231&amp;""))&gt;0),'DATOS'!N231,""),"Hay una entrada con error. Corregimos el dato antes de cerrar la comprobación.")</f>
      </c>
      <c r="L231" s="26">
        <f>IFERROR(IF(N231=0,"",IF(O231&gt;0,"Completamos datos, claves o motivo. ","")&amp;IF(P231&gt;0,"Cotejamos precios e importe. ","")&amp;IF(Q231&gt;0,"Aclaramos el cero. ","")&amp;IF(R231&gt;0,"Comprobamos el texto. ","")&amp;IF(S231&gt;0,"Revisamos decimales visibles. ","")&amp;IF(T231&gt;0,"Confirmamos la unidad.","")),"Hay una entrada con error. Corregimos el dato antes de cerrar la comprobación.")</f>
      </c>
      <c r="N231" s="29" t="n">
        <f>IF(COUNTA('DATOS'!B231:O231)&gt;0,1,0)</f>
        <v>0</v>
      </c>
      <c r="O231" s="29">
        <f>IFERROR(IF(N231=0,"",IF(OR(NOT(AND(LEN(TRIM('DATOS'!B231&amp;""))&gt;0,TRIM('DATOS'!B231&amp;"")&lt;&gt;"Pendiente",TRIM('DATOS'!B231&amp;"")&lt;&gt;"Por confirmar",TRIM('DATOS'!B231&amp;"")&lt;&gt;"No consta",TRIM('DATOS'!B231&amp;"")&lt;&gt;"Desconocido",TRIM('DATOS'!B231&amp;"")&lt;&gt;"Sin confirmar",TRIM('DATOS'!B231&amp;"")&lt;&gt;"Por decidir",TRIM('DATOS'!B231&amp;"")&lt;&gt;"Por comprobar")),NOT(AND(LEN(TRIM('DATOS'!C231&amp;""))&gt;0,TRIM('DATOS'!C231&amp;"")&lt;&gt;"Pendiente",TRIM('DATOS'!C231&amp;"")&lt;&gt;"Por confirmar",TRIM('DATOS'!C231&amp;"")&lt;&gt;"No consta",TRIM('DATOS'!C231&amp;"")&lt;&gt;"Desconocido",TRIM('DATOS'!C231&amp;"")&lt;&gt;"Sin confirmar",TRIM('DATOS'!C231&amp;"")&lt;&gt;"Por decidir",TRIM('DATOS'!C231&amp;"")&lt;&gt;"Por comprobar")),NOT(AND(LEN(TRIM('DATOS'!D231&amp;""))&gt;0,TRIM('DATOS'!D231&amp;"")&lt;&gt;"Pendiente",TRIM('DATOS'!D231&amp;"")&lt;&gt;"Por confirmar",TRIM('DATOS'!D231&amp;"")&lt;&gt;"No consta",TRIM('DATOS'!D231&amp;"")&lt;&gt;"Desconocido",TRIM('DATOS'!D231&amp;"")&lt;&gt;"Sin confirmar",TRIM('DATOS'!D231&amp;"")&lt;&gt;"Por decidir",TRIM('DATOS'!D231&amp;"")&lt;&gt;"Por comprobar")),NOT(AND(LEN(TRIM('DATOS'!E231&amp;""))&gt;0,TRIM('DATOS'!E231&amp;"")&lt;&gt;"Pendiente",TRIM('DATOS'!E231&amp;"")&lt;&gt;"Por confirmar",TRIM('DATOS'!E231&amp;"")&lt;&gt;"No consta",TRIM('DATOS'!E231&amp;"")&lt;&gt;"Desconocido",TRIM('DATOS'!E231&amp;"")&lt;&gt;"Sin confirmar",TRIM('DATOS'!E231&amp;"")&lt;&gt;"Por decidir",TRIM('DATOS'!E231&amp;"")&lt;&gt;"Por comprobar")),NOT(AND(LEN(TRIM('DATOS'!F231&amp;""))&gt;0,TRIM('DATOS'!F231&amp;"")&lt;&gt;"Pendiente",TRIM('DATOS'!F231&amp;"")&lt;&gt;"Por confirmar",TRIM('DATOS'!F231&amp;"")&lt;&gt;"No consta",TRIM('DATOS'!F231&amp;"")&lt;&gt;"Desconocido",TRIM('DATOS'!F231&amp;"")&lt;&gt;"Sin confirmar",TRIM('DATOS'!F231&amp;"")&lt;&gt;"Por decidir",TRIM('DATOS'!F231&amp;"")&lt;&gt;"Por comprobar")),NOT(AND(LEN(TRIM('DATOS'!N231&amp;""))&gt;0,TRIM('DATOS'!N231&amp;"")&lt;&gt;"Pendiente",TRIM('DATOS'!N231&amp;"")&lt;&gt;"Por confirmar",TRIM('DATOS'!N231&amp;"")&lt;&gt;"No consta",TRIM('DATOS'!N231&amp;"")&lt;&gt;"Desconocido",TRIM('DATOS'!N231&amp;"")&lt;&gt;"Sin confirmar",TRIM('DATOS'!N231&amp;"")&lt;&gt;"Por decidir",TRIM('DATOS'!N231&amp;"")&lt;&gt;"Por comprobar")),NOT(Y231=1),W231&lt;&gt;1,X231&gt;1,NOT(OR(LEN(TRIM('DATOS'!K231&amp;""))=0,'DATOS'!K231="Sin valorar",'DATOS'!K231="Sin coste documentado",'DATOS'!K231="Incluido en otra partida",'DATOS'!K231="Por confirmar")),NOT(OR(LEN(TRIM('DATOS'!M231&amp;""))=0,'DATOS'!M231="Sí",'DATOS'!M231="No",'DATOS'!M231="Por confirmar")),NOT(OR(LEN(TRIM('DATOS'!O231&amp;""))=0,'DATOS'!O231="Comparamos",'DATOS'!O231="No existe",'DATOS'!O231="Por confirmar"))),2,IF(AND(OR('DATOS'!G231&lt;0,'DATOS'!H231&lt;0,'DATOS'!J231&lt;0),NOT(AND(LEN(TRIM('DATOS'!L231&amp;""))&gt;0,TRIM('DATOS'!L231&amp;"")&lt;&gt;"Pendiente",TRIM('DATOS'!L231&amp;"")&lt;&gt;"Por confirmar",TRIM('DATOS'!L231&amp;"")&lt;&gt;"No consta",TRIM('DATOS'!L231&amp;"")&lt;&gt;"Desconocido",TRIM('DATOS'!L231&amp;"")&lt;&gt;"Sin confirmar",TRIM('DATOS'!L231&amp;"")&lt;&gt;"Por decidir",TRIM('DATOS'!L231&amp;"")&lt;&gt;"Por comprobar"))),1,0))),2)</f>
      </c>
      <c r="P231" s="29">
        <f>IFERROR(IF(N231=0,"",IF(NOT(Y231=1),1,IF('REFERENCIAS'!$Q$8&lt;&gt;1,2,IF(ABS('DATOS'!J231-ROUND('DATOS'!G231*'DATOS'!H231,'REFERENCIAS'!$K$8))&gt;0.00000001,2,IF('DATOS'!O231="No existe",IF(LEN(TRIM('DATOS'!I231&amp;""))=0,0,2),IF('DATOS'!O231="Comparamos",IF(LEN(TRIM('DATOS'!I231&amp;""))=0,1,IF(ISNUMBER('DATOS'!I231),IF(ABS('DATOS'!H231-'DATOS'!I231)&gt;0.00000001,2,0),2)),1)))))),2)</f>
      </c>
      <c r="Q231" s="29">
        <f>IFERROR(IF(N231=0,"",IF(NOT(Y231=1),1,IF('DATOS'!K231="Sin valorar",2,IF('DATOS'!G231=0,1,IF(OR('DATOS'!H231=0,'DATOS'!J231=0),IF(AND(OR('DATOS'!K231="Sin coste documentado",'DATOS'!K231="Incluido en otra partida"),AND(LEN(TRIM('DATOS'!L231&amp;""))&gt;0,TRIM('DATOS'!L231&amp;"")&lt;&gt;"Pendiente",TRIM('DATOS'!L231&amp;"")&lt;&gt;"Por confirmar",TRIM('DATOS'!L231&amp;"")&lt;&gt;"No consta",TRIM('DATOS'!L231&amp;"")&lt;&gt;"Desconocido",TRIM('DATOS'!L231&amp;"")&lt;&gt;"Sin confirmar",TRIM('DATOS'!L231&amp;"")&lt;&gt;"Por decidir",TRIM('DATOS'!L231&amp;"")&lt;&gt;"Por comprobar")),0,1),0))))),2)</f>
      </c>
      <c r="R231" s="29">
        <f>IFERROR(IF(N231=0,"",IF(OR(NOT(AND(LEN(TRIM('DATOS'!D231&amp;""))&gt;0,TRIM('DATOS'!D231&amp;"")&lt;&gt;"Pendiente",TRIM('DATOS'!D231&amp;"")&lt;&gt;"Por confirmar",TRIM('DATOS'!D231&amp;"")&lt;&gt;"No consta",TRIM('DATOS'!D231&amp;"")&lt;&gt;"Desconocido",TRIM('DATOS'!D231&amp;"")&lt;&gt;"Sin confirmar",TRIM('DATOS'!D231&amp;"")&lt;&gt;"Por decidir",TRIM('DATOS'!D231&amp;"")&lt;&gt;"Por comprobar")),NOT(AND(LEN(TRIM('DATOS'!E231&amp;""))&gt;0,TRIM('DATOS'!E231&amp;"")&lt;&gt;"Pendiente",TRIM('DATOS'!E231&amp;"")&lt;&gt;"Por confirmar",TRIM('DATOS'!E231&amp;"")&lt;&gt;"No consta",TRIM('DATOS'!E231&amp;"")&lt;&gt;"Desconocido",TRIM('DATOS'!E231&amp;"")&lt;&gt;"Sin confirmar",TRIM('DATOS'!E231&amp;"")&lt;&gt;"Por decidir",TRIM('DATOS'!E231&amp;"")&lt;&gt;"Por comprobar"))),2,IF('DATOS'!M231="No",2,IF('DATOS'!M231="Sí",0,IF(OR('DATOS'!D231&lt;&gt;'DATOS'!E231,LEN('DATOS'!E231)&gt;300,RIGHT(TRIM('DATOS'!E231),3)="...",RIGHT(TRIM('DATOS'!E231),1)="…"),1,0))))),2)</f>
      </c>
      <c r="S231" s="29">
        <f>IFERROR(IF(N231=0,"",IF('REFERENCIAS'!$Q$8&lt;&gt;1,2,IF(NOT(Y231=1),1,IF(OR(ABS('DATOS'!G231-ROUND('DATOS'!G231,'REFERENCIAS'!$E$8))&gt;0.00000001,ABS('DATOS'!H231-ROUND('DATOS'!H231,'REFERENCIAS'!$H$8))&gt;0.00000001,ABS('DATOS'!J231-ROUND('DATOS'!J231,'REFERENCIAS'!$K$8))&gt;0.00000001,IF(ISNUMBER('DATOS'!I231),ABS('DATOS'!I231-ROUND('DATOS'!I231,'REFERENCIAS'!$H$8))&gt;0.00000001,FALSE)),1,0)))),2)</f>
      </c>
      <c r="T231" s="29">
        <f>IFERROR(IF(N231=0,"",IF(NOT(AND(LEN(TRIM('DATOS'!F231&amp;""))&gt;0,TRIM('DATOS'!F231&amp;"")&lt;&gt;"Pendiente",TRIM('DATOS'!F231&amp;"")&lt;&gt;"Por confirmar",TRIM('DATOS'!F231&amp;"")&lt;&gt;"No consta",TRIM('DATOS'!F231&amp;"")&lt;&gt;"Desconocido",TRIM('DATOS'!F231&amp;"")&lt;&gt;"Sin confirmar",TRIM('DATOS'!F231&amp;"")&lt;&gt;"Por decidir",TRIM('DATOS'!F231&amp;"")&lt;&gt;"Por comprobar")),2,IF(COUNTIFS('REFERENCIAS'!$T$15:$T$34,"ID:"&amp;SUBSTITUTE(SUBSTITUTE(SUBSTITUTE(SUBSTITUTE(UPPER(TRIM('DATOS'!F231&amp;"")),"!","!E"),"*","!A"),"?","!B"),"~","!C"),'REFERENCIAS'!$H$15:$H$34,"&lt;&gt;")&gt;0,0,1))),2)</f>
      </c>
      <c r="U231" s="29" t="str">
        <f>'DATOS'!R231</f>
        <v>ID:</v>
      </c>
      <c r="V231" s="29" t="str">
        <f>'DATOS'!S231</f>
        <v>ID:</v>
      </c>
      <c r="W231" s="29" t="n">
        <f>IF(N231=0,0,COUNTIFS('REFERENCIAS'!$R$15:$R$64,U231))</f>
        <v>0</v>
      </c>
      <c r="X231" s="29" t="n">
        <f>IF(N231=0,0,COUNTIFS('DATOS'!$R$10:$R$509,U231,'DATOS'!$S$10:$S$509,V231))</f>
        <v>0</v>
      </c>
      <c r="Y231" s="29" t="n">
        <f>IF(AND(ISNUMBER('DATOS'!G231),ISNUMBER('DATOS'!H231),ISNUMBER('DATOS'!J231)),1,0)</f>
        <v>0</v>
      </c>
    </row>
    <row r="232" ht="64" customHeight="1">
      <c r="B232" s="26">
        <f>IF(N232=1,223,"")</f>
      </c>
      <c r="C232" s="26">
        <f>IF(AND(N232=1,LEN(TRIM('DATOS'!B232&amp;""))&gt;0),'DATOS'!B232,"")</f>
      </c>
      <c r="D232" s="26">
        <f>IF(AND(N232=1,LEN(TRIM('DATOS'!C232&amp;""))&gt;0),'DATOS'!C232,"")</f>
      </c>
      <c r="E232" s="26">
        <f>IF(NOT(ISNUMBER(P232)),"",IF(P232=2,"ROJO",IF(P232=1,"ÁMBAR","VERDE")))</f>
      </c>
      <c r="F232" s="26">
        <f>IF(NOT(ISNUMBER(Q232)),"",IF(Q232=2,"ROJO",IF(Q232=1,"ÁMBAR","VERDE")))</f>
      </c>
      <c r="G232" s="26">
        <f>IF(NOT(ISNUMBER(R232)),"",IF(R232=2,"ROJO",IF(R232=1,"ÁMBAR","VERDE")))</f>
      </c>
      <c r="H232" s="26">
        <f>IF(NOT(ISNUMBER(S232)),"",IF(S232=2,"ROJO",IF(S232=1,"ÁMBAR","VERDE")))</f>
      </c>
      <c r="I232" s="26">
        <f>IF(NOT(ISNUMBER(T232)),"",IF(T232=2,"ROJO",IF(T232=1,"ÁMBAR","VERDE")))</f>
      </c>
      <c r="J232" s="26">
        <f>IF(NOT(ISNUMBER(O232)),"",IF(O232=2,"ROJO",IF(O232=1,"ÁMBAR","VERDE")))</f>
      </c>
      <c r="K232" s="26">
        <f>IFERROR(IF(AND(N232=1,LEN(TRIM('DATOS'!N232&amp;""))&gt;0),'DATOS'!N232,""),"Hay una entrada con error. Corregimos el dato antes de cerrar la comprobación.")</f>
      </c>
      <c r="L232" s="26">
        <f>IFERROR(IF(N232=0,"",IF(O232&gt;0,"Completamos datos, claves o motivo. ","")&amp;IF(P232&gt;0,"Cotejamos precios e importe. ","")&amp;IF(Q232&gt;0,"Aclaramos el cero. ","")&amp;IF(R232&gt;0,"Comprobamos el texto. ","")&amp;IF(S232&gt;0,"Revisamos decimales visibles. ","")&amp;IF(T232&gt;0,"Confirmamos la unidad.","")),"Hay una entrada con error. Corregimos el dato antes de cerrar la comprobación.")</f>
      </c>
      <c r="N232" s="29" t="n">
        <f>IF(COUNTA('DATOS'!B232:O232)&gt;0,1,0)</f>
        <v>0</v>
      </c>
      <c r="O232" s="29">
        <f>IFERROR(IF(N232=0,"",IF(OR(NOT(AND(LEN(TRIM('DATOS'!B232&amp;""))&gt;0,TRIM('DATOS'!B232&amp;"")&lt;&gt;"Pendiente",TRIM('DATOS'!B232&amp;"")&lt;&gt;"Por confirmar",TRIM('DATOS'!B232&amp;"")&lt;&gt;"No consta",TRIM('DATOS'!B232&amp;"")&lt;&gt;"Desconocido",TRIM('DATOS'!B232&amp;"")&lt;&gt;"Sin confirmar",TRIM('DATOS'!B232&amp;"")&lt;&gt;"Por decidir",TRIM('DATOS'!B232&amp;"")&lt;&gt;"Por comprobar")),NOT(AND(LEN(TRIM('DATOS'!C232&amp;""))&gt;0,TRIM('DATOS'!C232&amp;"")&lt;&gt;"Pendiente",TRIM('DATOS'!C232&amp;"")&lt;&gt;"Por confirmar",TRIM('DATOS'!C232&amp;"")&lt;&gt;"No consta",TRIM('DATOS'!C232&amp;"")&lt;&gt;"Desconocido",TRIM('DATOS'!C232&amp;"")&lt;&gt;"Sin confirmar",TRIM('DATOS'!C232&amp;"")&lt;&gt;"Por decidir",TRIM('DATOS'!C232&amp;"")&lt;&gt;"Por comprobar")),NOT(AND(LEN(TRIM('DATOS'!D232&amp;""))&gt;0,TRIM('DATOS'!D232&amp;"")&lt;&gt;"Pendiente",TRIM('DATOS'!D232&amp;"")&lt;&gt;"Por confirmar",TRIM('DATOS'!D232&amp;"")&lt;&gt;"No consta",TRIM('DATOS'!D232&amp;"")&lt;&gt;"Desconocido",TRIM('DATOS'!D232&amp;"")&lt;&gt;"Sin confirmar",TRIM('DATOS'!D232&amp;"")&lt;&gt;"Por decidir",TRIM('DATOS'!D232&amp;"")&lt;&gt;"Por comprobar")),NOT(AND(LEN(TRIM('DATOS'!E232&amp;""))&gt;0,TRIM('DATOS'!E232&amp;"")&lt;&gt;"Pendiente",TRIM('DATOS'!E232&amp;"")&lt;&gt;"Por confirmar",TRIM('DATOS'!E232&amp;"")&lt;&gt;"No consta",TRIM('DATOS'!E232&amp;"")&lt;&gt;"Desconocido",TRIM('DATOS'!E232&amp;"")&lt;&gt;"Sin confirmar",TRIM('DATOS'!E232&amp;"")&lt;&gt;"Por decidir",TRIM('DATOS'!E232&amp;"")&lt;&gt;"Por comprobar")),NOT(AND(LEN(TRIM('DATOS'!F232&amp;""))&gt;0,TRIM('DATOS'!F232&amp;"")&lt;&gt;"Pendiente",TRIM('DATOS'!F232&amp;"")&lt;&gt;"Por confirmar",TRIM('DATOS'!F232&amp;"")&lt;&gt;"No consta",TRIM('DATOS'!F232&amp;"")&lt;&gt;"Desconocido",TRIM('DATOS'!F232&amp;"")&lt;&gt;"Sin confirmar",TRIM('DATOS'!F232&amp;"")&lt;&gt;"Por decidir",TRIM('DATOS'!F232&amp;"")&lt;&gt;"Por comprobar")),NOT(AND(LEN(TRIM('DATOS'!N232&amp;""))&gt;0,TRIM('DATOS'!N232&amp;"")&lt;&gt;"Pendiente",TRIM('DATOS'!N232&amp;"")&lt;&gt;"Por confirmar",TRIM('DATOS'!N232&amp;"")&lt;&gt;"No consta",TRIM('DATOS'!N232&amp;"")&lt;&gt;"Desconocido",TRIM('DATOS'!N232&amp;"")&lt;&gt;"Sin confirmar",TRIM('DATOS'!N232&amp;"")&lt;&gt;"Por decidir",TRIM('DATOS'!N232&amp;"")&lt;&gt;"Por comprobar")),NOT(Y232=1),W232&lt;&gt;1,X232&gt;1,NOT(OR(LEN(TRIM('DATOS'!K232&amp;""))=0,'DATOS'!K232="Sin valorar",'DATOS'!K232="Sin coste documentado",'DATOS'!K232="Incluido en otra partida",'DATOS'!K232="Por confirmar")),NOT(OR(LEN(TRIM('DATOS'!M232&amp;""))=0,'DATOS'!M232="Sí",'DATOS'!M232="No",'DATOS'!M232="Por confirmar")),NOT(OR(LEN(TRIM('DATOS'!O232&amp;""))=0,'DATOS'!O232="Comparamos",'DATOS'!O232="No existe",'DATOS'!O232="Por confirmar"))),2,IF(AND(OR('DATOS'!G232&lt;0,'DATOS'!H232&lt;0,'DATOS'!J232&lt;0),NOT(AND(LEN(TRIM('DATOS'!L232&amp;""))&gt;0,TRIM('DATOS'!L232&amp;"")&lt;&gt;"Pendiente",TRIM('DATOS'!L232&amp;"")&lt;&gt;"Por confirmar",TRIM('DATOS'!L232&amp;"")&lt;&gt;"No consta",TRIM('DATOS'!L232&amp;"")&lt;&gt;"Desconocido",TRIM('DATOS'!L232&amp;"")&lt;&gt;"Sin confirmar",TRIM('DATOS'!L232&amp;"")&lt;&gt;"Por decidir",TRIM('DATOS'!L232&amp;"")&lt;&gt;"Por comprobar"))),1,0))),2)</f>
      </c>
      <c r="P232" s="29">
        <f>IFERROR(IF(N232=0,"",IF(NOT(Y232=1),1,IF('REFERENCIAS'!$Q$8&lt;&gt;1,2,IF(ABS('DATOS'!J232-ROUND('DATOS'!G232*'DATOS'!H232,'REFERENCIAS'!$K$8))&gt;0.00000001,2,IF('DATOS'!O232="No existe",IF(LEN(TRIM('DATOS'!I232&amp;""))=0,0,2),IF('DATOS'!O232="Comparamos",IF(LEN(TRIM('DATOS'!I232&amp;""))=0,1,IF(ISNUMBER('DATOS'!I232),IF(ABS('DATOS'!H232-'DATOS'!I232)&gt;0.00000001,2,0),2)),1)))))),2)</f>
      </c>
      <c r="Q232" s="29">
        <f>IFERROR(IF(N232=0,"",IF(NOT(Y232=1),1,IF('DATOS'!K232="Sin valorar",2,IF('DATOS'!G232=0,1,IF(OR('DATOS'!H232=0,'DATOS'!J232=0),IF(AND(OR('DATOS'!K232="Sin coste documentado",'DATOS'!K232="Incluido en otra partida"),AND(LEN(TRIM('DATOS'!L232&amp;""))&gt;0,TRIM('DATOS'!L232&amp;"")&lt;&gt;"Pendiente",TRIM('DATOS'!L232&amp;"")&lt;&gt;"Por confirmar",TRIM('DATOS'!L232&amp;"")&lt;&gt;"No consta",TRIM('DATOS'!L232&amp;"")&lt;&gt;"Desconocido",TRIM('DATOS'!L232&amp;"")&lt;&gt;"Sin confirmar",TRIM('DATOS'!L232&amp;"")&lt;&gt;"Por decidir",TRIM('DATOS'!L232&amp;"")&lt;&gt;"Por comprobar")),0,1),0))))),2)</f>
      </c>
      <c r="R232" s="29">
        <f>IFERROR(IF(N232=0,"",IF(OR(NOT(AND(LEN(TRIM('DATOS'!D232&amp;""))&gt;0,TRIM('DATOS'!D232&amp;"")&lt;&gt;"Pendiente",TRIM('DATOS'!D232&amp;"")&lt;&gt;"Por confirmar",TRIM('DATOS'!D232&amp;"")&lt;&gt;"No consta",TRIM('DATOS'!D232&amp;"")&lt;&gt;"Desconocido",TRIM('DATOS'!D232&amp;"")&lt;&gt;"Sin confirmar",TRIM('DATOS'!D232&amp;"")&lt;&gt;"Por decidir",TRIM('DATOS'!D232&amp;"")&lt;&gt;"Por comprobar")),NOT(AND(LEN(TRIM('DATOS'!E232&amp;""))&gt;0,TRIM('DATOS'!E232&amp;"")&lt;&gt;"Pendiente",TRIM('DATOS'!E232&amp;"")&lt;&gt;"Por confirmar",TRIM('DATOS'!E232&amp;"")&lt;&gt;"No consta",TRIM('DATOS'!E232&amp;"")&lt;&gt;"Desconocido",TRIM('DATOS'!E232&amp;"")&lt;&gt;"Sin confirmar",TRIM('DATOS'!E232&amp;"")&lt;&gt;"Por decidir",TRIM('DATOS'!E232&amp;"")&lt;&gt;"Por comprobar"))),2,IF('DATOS'!M232="No",2,IF('DATOS'!M232="Sí",0,IF(OR('DATOS'!D232&lt;&gt;'DATOS'!E232,LEN('DATOS'!E232)&gt;300,RIGHT(TRIM('DATOS'!E232),3)="...",RIGHT(TRIM('DATOS'!E232),1)="…"),1,0))))),2)</f>
      </c>
      <c r="S232" s="29">
        <f>IFERROR(IF(N232=0,"",IF('REFERENCIAS'!$Q$8&lt;&gt;1,2,IF(NOT(Y232=1),1,IF(OR(ABS('DATOS'!G232-ROUND('DATOS'!G232,'REFERENCIAS'!$E$8))&gt;0.00000001,ABS('DATOS'!H232-ROUND('DATOS'!H232,'REFERENCIAS'!$H$8))&gt;0.00000001,ABS('DATOS'!J232-ROUND('DATOS'!J232,'REFERENCIAS'!$K$8))&gt;0.00000001,IF(ISNUMBER('DATOS'!I232),ABS('DATOS'!I232-ROUND('DATOS'!I232,'REFERENCIAS'!$H$8))&gt;0.00000001,FALSE)),1,0)))),2)</f>
      </c>
      <c r="T232" s="29">
        <f>IFERROR(IF(N232=0,"",IF(NOT(AND(LEN(TRIM('DATOS'!F232&amp;""))&gt;0,TRIM('DATOS'!F232&amp;"")&lt;&gt;"Pendiente",TRIM('DATOS'!F232&amp;"")&lt;&gt;"Por confirmar",TRIM('DATOS'!F232&amp;"")&lt;&gt;"No consta",TRIM('DATOS'!F232&amp;"")&lt;&gt;"Desconocido",TRIM('DATOS'!F232&amp;"")&lt;&gt;"Sin confirmar",TRIM('DATOS'!F232&amp;"")&lt;&gt;"Por decidir",TRIM('DATOS'!F232&amp;"")&lt;&gt;"Por comprobar")),2,IF(COUNTIFS('REFERENCIAS'!$T$15:$T$34,"ID:"&amp;SUBSTITUTE(SUBSTITUTE(SUBSTITUTE(SUBSTITUTE(UPPER(TRIM('DATOS'!F232&amp;"")),"!","!E"),"*","!A"),"?","!B"),"~","!C"),'REFERENCIAS'!$H$15:$H$34,"&lt;&gt;")&gt;0,0,1))),2)</f>
      </c>
      <c r="U232" s="29" t="str">
        <f>'DATOS'!R232</f>
        <v>ID:</v>
      </c>
      <c r="V232" s="29" t="str">
        <f>'DATOS'!S232</f>
        <v>ID:</v>
      </c>
      <c r="W232" s="29" t="n">
        <f>IF(N232=0,0,COUNTIFS('REFERENCIAS'!$R$15:$R$64,U232))</f>
        <v>0</v>
      </c>
      <c r="X232" s="29" t="n">
        <f>IF(N232=0,0,COUNTIFS('DATOS'!$R$10:$R$509,U232,'DATOS'!$S$10:$S$509,V232))</f>
        <v>0</v>
      </c>
      <c r="Y232" s="29" t="n">
        <f>IF(AND(ISNUMBER('DATOS'!G232),ISNUMBER('DATOS'!H232),ISNUMBER('DATOS'!J232)),1,0)</f>
        <v>0</v>
      </c>
    </row>
    <row r="233" ht="64" customHeight="1">
      <c r="B233" s="26">
        <f>IF(N233=1,224,"")</f>
      </c>
      <c r="C233" s="26">
        <f>IF(AND(N233=1,LEN(TRIM('DATOS'!B233&amp;""))&gt;0),'DATOS'!B233,"")</f>
      </c>
      <c r="D233" s="26">
        <f>IF(AND(N233=1,LEN(TRIM('DATOS'!C233&amp;""))&gt;0),'DATOS'!C233,"")</f>
      </c>
      <c r="E233" s="26">
        <f>IF(NOT(ISNUMBER(P233)),"",IF(P233=2,"ROJO",IF(P233=1,"ÁMBAR","VERDE")))</f>
      </c>
      <c r="F233" s="26">
        <f>IF(NOT(ISNUMBER(Q233)),"",IF(Q233=2,"ROJO",IF(Q233=1,"ÁMBAR","VERDE")))</f>
      </c>
      <c r="G233" s="26">
        <f>IF(NOT(ISNUMBER(R233)),"",IF(R233=2,"ROJO",IF(R233=1,"ÁMBAR","VERDE")))</f>
      </c>
      <c r="H233" s="26">
        <f>IF(NOT(ISNUMBER(S233)),"",IF(S233=2,"ROJO",IF(S233=1,"ÁMBAR","VERDE")))</f>
      </c>
      <c r="I233" s="26">
        <f>IF(NOT(ISNUMBER(T233)),"",IF(T233=2,"ROJO",IF(T233=1,"ÁMBAR","VERDE")))</f>
      </c>
      <c r="J233" s="26">
        <f>IF(NOT(ISNUMBER(O233)),"",IF(O233=2,"ROJO",IF(O233=1,"ÁMBAR","VERDE")))</f>
      </c>
      <c r="K233" s="26">
        <f>IFERROR(IF(AND(N233=1,LEN(TRIM('DATOS'!N233&amp;""))&gt;0),'DATOS'!N233,""),"Hay una entrada con error. Corregimos el dato antes de cerrar la comprobación.")</f>
      </c>
      <c r="L233" s="26">
        <f>IFERROR(IF(N233=0,"",IF(O233&gt;0,"Completamos datos, claves o motivo. ","")&amp;IF(P233&gt;0,"Cotejamos precios e importe. ","")&amp;IF(Q233&gt;0,"Aclaramos el cero. ","")&amp;IF(R233&gt;0,"Comprobamos el texto. ","")&amp;IF(S233&gt;0,"Revisamos decimales visibles. ","")&amp;IF(T233&gt;0,"Confirmamos la unidad.","")),"Hay una entrada con error. Corregimos el dato antes de cerrar la comprobación.")</f>
      </c>
      <c r="N233" s="29" t="n">
        <f>IF(COUNTA('DATOS'!B233:O233)&gt;0,1,0)</f>
        <v>0</v>
      </c>
      <c r="O233" s="29">
        <f>IFERROR(IF(N233=0,"",IF(OR(NOT(AND(LEN(TRIM('DATOS'!B233&amp;""))&gt;0,TRIM('DATOS'!B233&amp;"")&lt;&gt;"Pendiente",TRIM('DATOS'!B233&amp;"")&lt;&gt;"Por confirmar",TRIM('DATOS'!B233&amp;"")&lt;&gt;"No consta",TRIM('DATOS'!B233&amp;"")&lt;&gt;"Desconocido",TRIM('DATOS'!B233&amp;"")&lt;&gt;"Sin confirmar",TRIM('DATOS'!B233&amp;"")&lt;&gt;"Por decidir",TRIM('DATOS'!B233&amp;"")&lt;&gt;"Por comprobar")),NOT(AND(LEN(TRIM('DATOS'!C233&amp;""))&gt;0,TRIM('DATOS'!C233&amp;"")&lt;&gt;"Pendiente",TRIM('DATOS'!C233&amp;"")&lt;&gt;"Por confirmar",TRIM('DATOS'!C233&amp;"")&lt;&gt;"No consta",TRIM('DATOS'!C233&amp;"")&lt;&gt;"Desconocido",TRIM('DATOS'!C233&amp;"")&lt;&gt;"Sin confirmar",TRIM('DATOS'!C233&amp;"")&lt;&gt;"Por decidir",TRIM('DATOS'!C233&amp;"")&lt;&gt;"Por comprobar")),NOT(AND(LEN(TRIM('DATOS'!D233&amp;""))&gt;0,TRIM('DATOS'!D233&amp;"")&lt;&gt;"Pendiente",TRIM('DATOS'!D233&amp;"")&lt;&gt;"Por confirmar",TRIM('DATOS'!D233&amp;"")&lt;&gt;"No consta",TRIM('DATOS'!D233&amp;"")&lt;&gt;"Desconocido",TRIM('DATOS'!D233&amp;"")&lt;&gt;"Sin confirmar",TRIM('DATOS'!D233&amp;"")&lt;&gt;"Por decidir",TRIM('DATOS'!D233&amp;"")&lt;&gt;"Por comprobar")),NOT(AND(LEN(TRIM('DATOS'!E233&amp;""))&gt;0,TRIM('DATOS'!E233&amp;"")&lt;&gt;"Pendiente",TRIM('DATOS'!E233&amp;"")&lt;&gt;"Por confirmar",TRIM('DATOS'!E233&amp;"")&lt;&gt;"No consta",TRIM('DATOS'!E233&amp;"")&lt;&gt;"Desconocido",TRIM('DATOS'!E233&amp;"")&lt;&gt;"Sin confirmar",TRIM('DATOS'!E233&amp;"")&lt;&gt;"Por decidir",TRIM('DATOS'!E233&amp;"")&lt;&gt;"Por comprobar")),NOT(AND(LEN(TRIM('DATOS'!F233&amp;""))&gt;0,TRIM('DATOS'!F233&amp;"")&lt;&gt;"Pendiente",TRIM('DATOS'!F233&amp;"")&lt;&gt;"Por confirmar",TRIM('DATOS'!F233&amp;"")&lt;&gt;"No consta",TRIM('DATOS'!F233&amp;"")&lt;&gt;"Desconocido",TRIM('DATOS'!F233&amp;"")&lt;&gt;"Sin confirmar",TRIM('DATOS'!F233&amp;"")&lt;&gt;"Por decidir",TRIM('DATOS'!F233&amp;"")&lt;&gt;"Por comprobar")),NOT(AND(LEN(TRIM('DATOS'!N233&amp;""))&gt;0,TRIM('DATOS'!N233&amp;"")&lt;&gt;"Pendiente",TRIM('DATOS'!N233&amp;"")&lt;&gt;"Por confirmar",TRIM('DATOS'!N233&amp;"")&lt;&gt;"No consta",TRIM('DATOS'!N233&amp;"")&lt;&gt;"Desconocido",TRIM('DATOS'!N233&amp;"")&lt;&gt;"Sin confirmar",TRIM('DATOS'!N233&amp;"")&lt;&gt;"Por decidir",TRIM('DATOS'!N233&amp;"")&lt;&gt;"Por comprobar")),NOT(Y233=1),W233&lt;&gt;1,X233&gt;1,NOT(OR(LEN(TRIM('DATOS'!K233&amp;""))=0,'DATOS'!K233="Sin valorar",'DATOS'!K233="Sin coste documentado",'DATOS'!K233="Incluido en otra partida",'DATOS'!K233="Por confirmar")),NOT(OR(LEN(TRIM('DATOS'!M233&amp;""))=0,'DATOS'!M233="Sí",'DATOS'!M233="No",'DATOS'!M233="Por confirmar")),NOT(OR(LEN(TRIM('DATOS'!O233&amp;""))=0,'DATOS'!O233="Comparamos",'DATOS'!O233="No existe",'DATOS'!O233="Por confirmar"))),2,IF(AND(OR('DATOS'!G233&lt;0,'DATOS'!H233&lt;0,'DATOS'!J233&lt;0),NOT(AND(LEN(TRIM('DATOS'!L233&amp;""))&gt;0,TRIM('DATOS'!L233&amp;"")&lt;&gt;"Pendiente",TRIM('DATOS'!L233&amp;"")&lt;&gt;"Por confirmar",TRIM('DATOS'!L233&amp;"")&lt;&gt;"No consta",TRIM('DATOS'!L233&amp;"")&lt;&gt;"Desconocido",TRIM('DATOS'!L233&amp;"")&lt;&gt;"Sin confirmar",TRIM('DATOS'!L233&amp;"")&lt;&gt;"Por decidir",TRIM('DATOS'!L233&amp;"")&lt;&gt;"Por comprobar"))),1,0))),2)</f>
      </c>
      <c r="P233" s="29">
        <f>IFERROR(IF(N233=0,"",IF(NOT(Y233=1),1,IF('REFERENCIAS'!$Q$8&lt;&gt;1,2,IF(ABS('DATOS'!J233-ROUND('DATOS'!G233*'DATOS'!H233,'REFERENCIAS'!$K$8))&gt;0.00000001,2,IF('DATOS'!O233="No existe",IF(LEN(TRIM('DATOS'!I233&amp;""))=0,0,2),IF('DATOS'!O233="Comparamos",IF(LEN(TRIM('DATOS'!I233&amp;""))=0,1,IF(ISNUMBER('DATOS'!I233),IF(ABS('DATOS'!H233-'DATOS'!I233)&gt;0.00000001,2,0),2)),1)))))),2)</f>
      </c>
      <c r="Q233" s="29">
        <f>IFERROR(IF(N233=0,"",IF(NOT(Y233=1),1,IF('DATOS'!K233="Sin valorar",2,IF('DATOS'!G233=0,1,IF(OR('DATOS'!H233=0,'DATOS'!J233=0),IF(AND(OR('DATOS'!K233="Sin coste documentado",'DATOS'!K233="Incluido en otra partida"),AND(LEN(TRIM('DATOS'!L233&amp;""))&gt;0,TRIM('DATOS'!L233&amp;"")&lt;&gt;"Pendiente",TRIM('DATOS'!L233&amp;"")&lt;&gt;"Por confirmar",TRIM('DATOS'!L233&amp;"")&lt;&gt;"No consta",TRIM('DATOS'!L233&amp;"")&lt;&gt;"Desconocido",TRIM('DATOS'!L233&amp;"")&lt;&gt;"Sin confirmar",TRIM('DATOS'!L233&amp;"")&lt;&gt;"Por decidir",TRIM('DATOS'!L233&amp;"")&lt;&gt;"Por comprobar")),0,1),0))))),2)</f>
      </c>
      <c r="R233" s="29">
        <f>IFERROR(IF(N233=0,"",IF(OR(NOT(AND(LEN(TRIM('DATOS'!D233&amp;""))&gt;0,TRIM('DATOS'!D233&amp;"")&lt;&gt;"Pendiente",TRIM('DATOS'!D233&amp;"")&lt;&gt;"Por confirmar",TRIM('DATOS'!D233&amp;"")&lt;&gt;"No consta",TRIM('DATOS'!D233&amp;"")&lt;&gt;"Desconocido",TRIM('DATOS'!D233&amp;"")&lt;&gt;"Sin confirmar",TRIM('DATOS'!D233&amp;"")&lt;&gt;"Por decidir",TRIM('DATOS'!D233&amp;"")&lt;&gt;"Por comprobar")),NOT(AND(LEN(TRIM('DATOS'!E233&amp;""))&gt;0,TRIM('DATOS'!E233&amp;"")&lt;&gt;"Pendiente",TRIM('DATOS'!E233&amp;"")&lt;&gt;"Por confirmar",TRIM('DATOS'!E233&amp;"")&lt;&gt;"No consta",TRIM('DATOS'!E233&amp;"")&lt;&gt;"Desconocido",TRIM('DATOS'!E233&amp;"")&lt;&gt;"Sin confirmar",TRIM('DATOS'!E233&amp;"")&lt;&gt;"Por decidir",TRIM('DATOS'!E233&amp;"")&lt;&gt;"Por comprobar"))),2,IF('DATOS'!M233="No",2,IF('DATOS'!M233="Sí",0,IF(OR('DATOS'!D233&lt;&gt;'DATOS'!E233,LEN('DATOS'!E233)&gt;300,RIGHT(TRIM('DATOS'!E233),3)="...",RIGHT(TRIM('DATOS'!E233),1)="…"),1,0))))),2)</f>
      </c>
      <c r="S233" s="29">
        <f>IFERROR(IF(N233=0,"",IF('REFERENCIAS'!$Q$8&lt;&gt;1,2,IF(NOT(Y233=1),1,IF(OR(ABS('DATOS'!G233-ROUND('DATOS'!G233,'REFERENCIAS'!$E$8))&gt;0.00000001,ABS('DATOS'!H233-ROUND('DATOS'!H233,'REFERENCIAS'!$H$8))&gt;0.00000001,ABS('DATOS'!J233-ROUND('DATOS'!J233,'REFERENCIAS'!$K$8))&gt;0.00000001,IF(ISNUMBER('DATOS'!I233),ABS('DATOS'!I233-ROUND('DATOS'!I233,'REFERENCIAS'!$H$8))&gt;0.00000001,FALSE)),1,0)))),2)</f>
      </c>
      <c r="T233" s="29">
        <f>IFERROR(IF(N233=0,"",IF(NOT(AND(LEN(TRIM('DATOS'!F233&amp;""))&gt;0,TRIM('DATOS'!F233&amp;"")&lt;&gt;"Pendiente",TRIM('DATOS'!F233&amp;"")&lt;&gt;"Por confirmar",TRIM('DATOS'!F233&amp;"")&lt;&gt;"No consta",TRIM('DATOS'!F233&amp;"")&lt;&gt;"Desconocido",TRIM('DATOS'!F233&amp;"")&lt;&gt;"Sin confirmar",TRIM('DATOS'!F233&amp;"")&lt;&gt;"Por decidir",TRIM('DATOS'!F233&amp;"")&lt;&gt;"Por comprobar")),2,IF(COUNTIFS('REFERENCIAS'!$T$15:$T$34,"ID:"&amp;SUBSTITUTE(SUBSTITUTE(SUBSTITUTE(SUBSTITUTE(UPPER(TRIM('DATOS'!F233&amp;"")),"!","!E"),"*","!A"),"?","!B"),"~","!C"),'REFERENCIAS'!$H$15:$H$34,"&lt;&gt;")&gt;0,0,1))),2)</f>
      </c>
      <c r="U233" s="29" t="str">
        <f>'DATOS'!R233</f>
        <v>ID:</v>
      </c>
      <c r="V233" s="29" t="str">
        <f>'DATOS'!S233</f>
        <v>ID:</v>
      </c>
      <c r="W233" s="29" t="n">
        <f>IF(N233=0,0,COUNTIFS('REFERENCIAS'!$R$15:$R$64,U233))</f>
        <v>0</v>
      </c>
      <c r="X233" s="29" t="n">
        <f>IF(N233=0,0,COUNTIFS('DATOS'!$R$10:$R$509,U233,'DATOS'!$S$10:$S$509,V233))</f>
        <v>0</v>
      </c>
      <c r="Y233" s="29" t="n">
        <f>IF(AND(ISNUMBER('DATOS'!G233),ISNUMBER('DATOS'!H233),ISNUMBER('DATOS'!J233)),1,0)</f>
        <v>0</v>
      </c>
    </row>
    <row r="234" ht="64" customHeight="1">
      <c r="B234" s="26">
        <f>IF(N234=1,225,"")</f>
      </c>
      <c r="C234" s="26">
        <f>IF(AND(N234=1,LEN(TRIM('DATOS'!B234&amp;""))&gt;0),'DATOS'!B234,"")</f>
      </c>
      <c r="D234" s="26">
        <f>IF(AND(N234=1,LEN(TRIM('DATOS'!C234&amp;""))&gt;0),'DATOS'!C234,"")</f>
      </c>
      <c r="E234" s="26">
        <f>IF(NOT(ISNUMBER(P234)),"",IF(P234=2,"ROJO",IF(P234=1,"ÁMBAR","VERDE")))</f>
      </c>
      <c r="F234" s="26">
        <f>IF(NOT(ISNUMBER(Q234)),"",IF(Q234=2,"ROJO",IF(Q234=1,"ÁMBAR","VERDE")))</f>
      </c>
      <c r="G234" s="26">
        <f>IF(NOT(ISNUMBER(R234)),"",IF(R234=2,"ROJO",IF(R234=1,"ÁMBAR","VERDE")))</f>
      </c>
      <c r="H234" s="26">
        <f>IF(NOT(ISNUMBER(S234)),"",IF(S234=2,"ROJO",IF(S234=1,"ÁMBAR","VERDE")))</f>
      </c>
      <c r="I234" s="26">
        <f>IF(NOT(ISNUMBER(T234)),"",IF(T234=2,"ROJO",IF(T234=1,"ÁMBAR","VERDE")))</f>
      </c>
      <c r="J234" s="26">
        <f>IF(NOT(ISNUMBER(O234)),"",IF(O234=2,"ROJO",IF(O234=1,"ÁMBAR","VERDE")))</f>
      </c>
      <c r="K234" s="26">
        <f>IFERROR(IF(AND(N234=1,LEN(TRIM('DATOS'!N234&amp;""))&gt;0),'DATOS'!N234,""),"Hay una entrada con error. Corregimos el dato antes de cerrar la comprobación.")</f>
      </c>
      <c r="L234" s="26">
        <f>IFERROR(IF(N234=0,"",IF(O234&gt;0,"Completamos datos, claves o motivo. ","")&amp;IF(P234&gt;0,"Cotejamos precios e importe. ","")&amp;IF(Q234&gt;0,"Aclaramos el cero. ","")&amp;IF(R234&gt;0,"Comprobamos el texto. ","")&amp;IF(S234&gt;0,"Revisamos decimales visibles. ","")&amp;IF(T234&gt;0,"Confirmamos la unidad.","")),"Hay una entrada con error. Corregimos el dato antes de cerrar la comprobación.")</f>
      </c>
      <c r="N234" s="29" t="n">
        <f>IF(COUNTA('DATOS'!B234:O234)&gt;0,1,0)</f>
        <v>0</v>
      </c>
      <c r="O234" s="29">
        <f>IFERROR(IF(N234=0,"",IF(OR(NOT(AND(LEN(TRIM('DATOS'!B234&amp;""))&gt;0,TRIM('DATOS'!B234&amp;"")&lt;&gt;"Pendiente",TRIM('DATOS'!B234&amp;"")&lt;&gt;"Por confirmar",TRIM('DATOS'!B234&amp;"")&lt;&gt;"No consta",TRIM('DATOS'!B234&amp;"")&lt;&gt;"Desconocido",TRIM('DATOS'!B234&amp;"")&lt;&gt;"Sin confirmar",TRIM('DATOS'!B234&amp;"")&lt;&gt;"Por decidir",TRIM('DATOS'!B234&amp;"")&lt;&gt;"Por comprobar")),NOT(AND(LEN(TRIM('DATOS'!C234&amp;""))&gt;0,TRIM('DATOS'!C234&amp;"")&lt;&gt;"Pendiente",TRIM('DATOS'!C234&amp;"")&lt;&gt;"Por confirmar",TRIM('DATOS'!C234&amp;"")&lt;&gt;"No consta",TRIM('DATOS'!C234&amp;"")&lt;&gt;"Desconocido",TRIM('DATOS'!C234&amp;"")&lt;&gt;"Sin confirmar",TRIM('DATOS'!C234&amp;"")&lt;&gt;"Por decidir",TRIM('DATOS'!C234&amp;"")&lt;&gt;"Por comprobar")),NOT(AND(LEN(TRIM('DATOS'!D234&amp;""))&gt;0,TRIM('DATOS'!D234&amp;"")&lt;&gt;"Pendiente",TRIM('DATOS'!D234&amp;"")&lt;&gt;"Por confirmar",TRIM('DATOS'!D234&amp;"")&lt;&gt;"No consta",TRIM('DATOS'!D234&amp;"")&lt;&gt;"Desconocido",TRIM('DATOS'!D234&amp;"")&lt;&gt;"Sin confirmar",TRIM('DATOS'!D234&amp;"")&lt;&gt;"Por decidir",TRIM('DATOS'!D234&amp;"")&lt;&gt;"Por comprobar")),NOT(AND(LEN(TRIM('DATOS'!E234&amp;""))&gt;0,TRIM('DATOS'!E234&amp;"")&lt;&gt;"Pendiente",TRIM('DATOS'!E234&amp;"")&lt;&gt;"Por confirmar",TRIM('DATOS'!E234&amp;"")&lt;&gt;"No consta",TRIM('DATOS'!E234&amp;"")&lt;&gt;"Desconocido",TRIM('DATOS'!E234&amp;"")&lt;&gt;"Sin confirmar",TRIM('DATOS'!E234&amp;"")&lt;&gt;"Por decidir",TRIM('DATOS'!E234&amp;"")&lt;&gt;"Por comprobar")),NOT(AND(LEN(TRIM('DATOS'!F234&amp;""))&gt;0,TRIM('DATOS'!F234&amp;"")&lt;&gt;"Pendiente",TRIM('DATOS'!F234&amp;"")&lt;&gt;"Por confirmar",TRIM('DATOS'!F234&amp;"")&lt;&gt;"No consta",TRIM('DATOS'!F234&amp;"")&lt;&gt;"Desconocido",TRIM('DATOS'!F234&amp;"")&lt;&gt;"Sin confirmar",TRIM('DATOS'!F234&amp;"")&lt;&gt;"Por decidir",TRIM('DATOS'!F234&amp;"")&lt;&gt;"Por comprobar")),NOT(AND(LEN(TRIM('DATOS'!N234&amp;""))&gt;0,TRIM('DATOS'!N234&amp;"")&lt;&gt;"Pendiente",TRIM('DATOS'!N234&amp;"")&lt;&gt;"Por confirmar",TRIM('DATOS'!N234&amp;"")&lt;&gt;"No consta",TRIM('DATOS'!N234&amp;"")&lt;&gt;"Desconocido",TRIM('DATOS'!N234&amp;"")&lt;&gt;"Sin confirmar",TRIM('DATOS'!N234&amp;"")&lt;&gt;"Por decidir",TRIM('DATOS'!N234&amp;"")&lt;&gt;"Por comprobar")),NOT(Y234=1),W234&lt;&gt;1,X234&gt;1,NOT(OR(LEN(TRIM('DATOS'!K234&amp;""))=0,'DATOS'!K234="Sin valorar",'DATOS'!K234="Sin coste documentado",'DATOS'!K234="Incluido en otra partida",'DATOS'!K234="Por confirmar")),NOT(OR(LEN(TRIM('DATOS'!M234&amp;""))=0,'DATOS'!M234="Sí",'DATOS'!M234="No",'DATOS'!M234="Por confirmar")),NOT(OR(LEN(TRIM('DATOS'!O234&amp;""))=0,'DATOS'!O234="Comparamos",'DATOS'!O234="No existe",'DATOS'!O234="Por confirmar"))),2,IF(AND(OR('DATOS'!G234&lt;0,'DATOS'!H234&lt;0,'DATOS'!J234&lt;0),NOT(AND(LEN(TRIM('DATOS'!L234&amp;""))&gt;0,TRIM('DATOS'!L234&amp;"")&lt;&gt;"Pendiente",TRIM('DATOS'!L234&amp;"")&lt;&gt;"Por confirmar",TRIM('DATOS'!L234&amp;"")&lt;&gt;"No consta",TRIM('DATOS'!L234&amp;"")&lt;&gt;"Desconocido",TRIM('DATOS'!L234&amp;"")&lt;&gt;"Sin confirmar",TRIM('DATOS'!L234&amp;"")&lt;&gt;"Por decidir",TRIM('DATOS'!L234&amp;"")&lt;&gt;"Por comprobar"))),1,0))),2)</f>
      </c>
      <c r="P234" s="29">
        <f>IFERROR(IF(N234=0,"",IF(NOT(Y234=1),1,IF('REFERENCIAS'!$Q$8&lt;&gt;1,2,IF(ABS('DATOS'!J234-ROUND('DATOS'!G234*'DATOS'!H234,'REFERENCIAS'!$K$8))&gt;0.00000001,2,IF('DATOS'!O234="No existe",IF(LEN(TRIM('DATOS'!I234&amp;""))=0,0,2),IF('DATOS'!O234="Comparamos",IF(LEN(TRIM('DATOS'!I234&amp;""))=0,1,IF(ISNUMBER('DATOS'!I234),IF(ABS('DATOS'!H234-'DATOS'!I234)&gt;0.00000001,2,0),2)),1)))))),2)</f>
      </c>
      <c r="Q234" s="29">
        <f>IFERROR(IF(N234=0,"",IF(NOT(Y234=1),1,IF('DATOS'!K234="Sin valorar",2,IF('DATOS'!G234=0,1,IF(OR('DATOS'!H234=0,'DATOS'!J234=0),IF(AND(OR('DATOS'!K234="Sin coste documentado",'DATOS'!K234="Incluido en otra partida"),AND(LEN(TRIM('DATOS'!L234&amp;""))&gt;0,TRIM('DATOS'!L234&amp;"")&lt;&gt;"Pendiente",TRIM('DATOS'!L234&amp;"")&lt;&gt;"Por confirmar",TRIM('DATOS'!L234&amp;"")&lt;&gt;"No consta",TRIM('DATOS'!L234&amp;"")&lt;&gt;"Desconocido",TRIM('DATOS'!L234&amp;"")&lt;&gt;"Sin confirmar",TRIM('DATOS'!L234&amp;"")&lt;&gt;"Por decidir",TRIM('DATOS'!L234&amp;"")&lt;&gt;"Por comprobar")),0,1),0))))),2)</f>
      </c>
      <c r="R234" s="29">
        <f>IFERROR(IF(N234=0,"",IF(OR(NOT(AND(LEN(TRIM('DATOS'!D234&amp;""))&gt;0,TRIM('DATOS'!D234&amp;"")&lt;&gt;"Pendiente",TRIM('DATOS'!D234&amp;"")&lt;&gt;"Por confirmar",TRIM('DATOS'!D234&amp;"")&lt;&gt;"No consta",TRIM('DATOS'!D234&amp;"")&lt;&gt;"Desconocido",TRIM('DATOS'!D234&amp;"")&lt;&gt;"Sin confirmar",TRIM('DATOS'!D234&amp;"")&lt;&gt;"Por decidir",TRIM('DATOS'!D234&amp;"")&lt;&gt;"Por comprobar")),NOT(AND(LEN(TRIM('DATOS'!E234&amp;""))&gt;0,TRIM('DATOS'!E234&amp;"")&lt;&gt;"Pendiente",TRIM('DATOS'!E234&amp;"")&lt;&gt;"Por confirmar",TRIM('DATOS'!E234&amp;"")&lt;&gt;"No consta",TRIM('DATOS'!E234&amp;"")&lt;&gt;"Desconocido",TRIM('DATOS'!E234&amp;"")&lt;&gt;"Sin confirmar",TRIM('DATOS'!E234&amp;"")&lt;&gt;"Por decidir",TRIM('DATOS'!E234&amp;"")&lt;&gt;"Por comprobar"))),2,IF('DATOS'!M234="No",2,IF('DATOS'!M234="Sí",0,IF(OR('DATOS'!D234&lt;&gt;'DATOS'!E234,LEN('DATOS'!E234)&gt;300,RIGHT(TRIM('DATOS'!E234),3)="...",RIGHT(TRIM('DATOS'!E234),1)="…"),1,0))))),2)</f>
      </c>
      <c r="S234" s="29">
        <f>IFERROR(IF(N234=0,"",IF('REFERENCIAS'!$Q$8&lt;&gt;1,2,IF(NOT(Y234=1),1,IF(OR(ABS('DATOS'!G234-ROUND('DATOS'!G234,'REFERENCIAS'!$E$8))&gt;0.00000001,ABS('DATOS'!H234-ROUND('DATOS'!H234,'REFERENCIAS'!$H$8))&gt;0.00000001,ABS('DATOS'!J234-ROUND('DATOS'!J234,'REFERENCIAS'!$K$8))&gt;0.00000001,IF(ISNUMBER('DATOS'!I234),ABS('DATOS'!I234-ROUND('DATOS'!I234,'REFERENCIAS'!$H$8))&gt;0.00000001,FALSE)),1,0)))),2)</f>
      </c>
      <c r="T234" s="29">
        <f>IFERROR(IF(N234=0,"",IF(NOT(AND(LEN(TRIM('DATOS'!F234&amp;""))&gt;0,TRIM('DATOS'!F234&amp;"")&lt;&gt;"Pendiente",TRIM('DATOS'!F234&amp;"")&lt;&gt;"Por confirmar",TRIM('DATOS'!F234&amp;"")&lt;&gt;"No consta",TRIM('DATOS'!F234&amp;"")&lt;&gt;"Desconocido",TRIM('DATOS'!F234&amp;"")&lt;&gt;"Sin confirmar",TRIM('DATOS'!F234&amp;"")&lt;&gt;"Por decidir",TRIM('DATOS'!F234&amp;"")&lt;&gt;"Por comprobar")),2,IF(COUNTIFS('REFERENCIAS'!$T$15:$T$34,"ID:"&amp;SUBSTITUTE(SUBSTITUTE(SUBSTITUTE(SUBSTITUTE(UPPER(TRIM('DATOS'!F234&amp;"")),"!","!E"),"*","!A"),"?","!B"),"~","!C"),'REFERENCIAS'!$H$15:$H$34,"&lt;&gt;")&gt;0,0,1))),2)</f>
      </c>
      <c r="U234" s="29" t="str">
        <f>'DATOS'!R234</f>
        <v>ID:</v>
      </c>
      <c r="V234" s="29" t="str">
        <f>'DATOS'!S234</f>
        <v>ID:</v>
      </c>
      <c r="W234" s="29" t="n">
        <f>IF(N234=0,0,COUNTIFS('REFERENCIAS'!$R$15:$R$64,U234))</f>
        <v>0</v>
      </c>
      <c r="X234" s="29" t="n">
        <f>IF(N234=0,0,COUNTIFS('DATOS'!$R$10:$R$509,U234,'DATOS'!$S$10:$S$509,V234))</f>
        <v>0</v>
      </c>
      <c r="Y234" s="29" t="n">
        <f>IF(AND(ISNUMBER('DATOS'!G234),ISNUMBER('DATOS'!H234),ISNUMBER('DATOS'!J234)),1,0)</f>
        <v>0</v>
      </c>
    </row>
    <row r="235" ht="64" customHeight="1">
      <c r="B235" s="26">
        <f>IF(N235=1,226,"")</f>
      </c>
      <c r="C235" s="26">
        <f>IF(AND(N235=1,LEN(TRIM('DATOS'!B235&amp;""))&gt;0),'DATOS'!B235,"")</f>
      </c>
      <c r="D235" s="26">
        <f>IF(AND(N235=1,LEN(TRIM('DATOS'!C235&amp;""))&gt;0),'DATOS'!C235,"")</f>
      </c>
      <c r="E235" s="26">
        <f>IF(NOT(ISNUMBER(P235)),"",IF(P235=2,"ROJO",IF(P235=1,"ÁMBAR","VERDE")))</f>
      </c>
      <c r="F235" s="26">
        <f>IF(NOT(ISNUMBER(Q235)),"",IF(Q235=2,"ROJO",IF(Q235=1,"ÁMBAR","VERDE")))</f>
      </c>
      <c r="G235" s="26">
        <f>IF(NOT(ISNUMBER(R235)),"",IF(R235=2,"ROJO",IF(R235=1,"ÁMBAR","VERDE")))</f>
      </c>
      <c r="H235" s="26">
        <f>IF(NOT(ISNUMBER(S235)),"",IF(S235=2,"ROJO",IF(S235=1,"ÁMBAR","VERDE")))</f>
      </c>
      <c r="I235" s="26">
        <f>IF(NOT(ISNUMBER(T235)),"",IF(T235=2,"ROJO",IF(T235=1,"ÁMBAR","VERDE")))</f>
      </c>
      <c r="J235" s="26">
        <f>IF(NOT(ISNUMBER(O235)),"",IF(O235=2,"ROJO",IF(O235=1,"ÁMBAR","VERDE")))</f>
      </c>
      <c r="K235" s="26">
        <f>IFERROR(IF(AND(N235=1,LEN(TRIM('DATOS'!N235&amp;""))&gt;0),'DATOS'!N235,""),"Hay una entrada con error. Corregimos el dato antes de cerrar la comprobación.")</f>
      </c>
      <c r="L235" s="26">
        <f>IFERROR(IF(N235=0,"",IF(O235&gt;0,"Completamos datos, claves o motivo. ","")&amp;IF(P235&gt;0,"Cotejamos precios e importe. ","")&amp;IF(Q235&gt;0,"Aclaramos el cero. ","")&amp;IF(R235&gt;0,"Comprobamos el texto. ","")&amp;IF(S235&gt;0,"Revisamos decimales visibles. ","")&amp;IF(T235&gt;0,"Confirmamos la unidad.","")),"Hay una entrada con error. Corregimos el dato antes de cerrar la comprobación.")</f>
      </c>
      <c r="N235" s="29" t="n">
        <f>IF(COUNTA('DATOS'!B235:O235)&gt;0,1,0)</f>
        <v>0</v>
      </c>
      <c r="O235" s="29">
        <f>IFERROR(IF(N235=0,"",IF(OR(NOT(AND(LEN(TRIM('DATOS'!B235&amp;""))&gt;0,TRIM('DATOS'!B235&amp;"")&lt;&gt;"Pendiente",TRIM('DATOS'!B235&amp;"")&lt;&gt;"Por confirmar",TRIM('DATOS'!B235&amp;"")&lt;&gt;"No consta",TRIM('DATOS'!B235&amp;"")&lt;&gt;"Desconocido",TRIM('DATOS'!B235&amp;"")&lt;&gt;"Sin confirmar",TRIM('DATOS'!B235&amp;"")&lt;&gt;"Por decidir",TRIM('DATOS'!B235&amp;"")&lt;&gt;"Por comprobar")),NOT(AND(LEN(TRIM('DATOS'!C235&amp;""))&gt;0,TRIM('DATOS'!C235&amp;"")&lt;&gt;"Pendiente",TRIM('DATOS'!C235&amp;"")&lt;&gt;"Por confirmar",TRIM('DATOS'!C235&amp;"")&lt;&gt;"No consta",TRIM('DATOS'!C235&amp;"")&lt;&gt;"Desconocido",TRIM('DATOS'!C235&amp;"")&lt;&gt;"Sin confirmar",TRIM('DATOS'!C235&amp;"")&lt;&gt;"Por decidir",TRIM('DATOS'!C235&amp;"")&lt;&gt;"Por comprobar")),NOT(AND(LEN(TRIM('DATOS'!D235&amp;""))&gt;0,TRIM('DATOS'!D235&amp;"")&lt;&gt;"Pendiente",TRIM('DATOS'!D235&amp;"")&lt;&gt;"Por confirmar",TRIM('DATOS'!D235&amp;"")&lt;&gt;"No consta",TRIM('DATOS'!D235&amp;"")&lt;&gt;"Desconocido",TRIM('DATOS'!D235&amp;"")&lt;&gt;"Sin confirmar",TRIM('DATOS'!D235&amp;"")&lt;&gt;"Por decidir",TRIM('DATOS'!D235&amp;"")&lt;&gt;"Por comprobar")),NOT(AND(LEN(TRIM('DATOS'!E235&amp;""))&gt;0,TRIM('DATOS'!E235&amp;"")&lt;&gt;"Pendiente",TRIM('DATOS'!E235&amp;"")&lt;&gt;"Por confirmar",TRIM('DATOS'!E235&amp;"")&lt;&gt;"No consta",TRIM('DATOS'!E235&amp;"")&lt;&gt;"Desconocido",TRIM('DATOS'!E235&amp;"")&lt;&gt;"Sin confirmar",TRIM('DATOS'!E235&amp;"")&lt;&gt;"Por decidir",TRIM('DATOS'!E235&amp;"")&lt;&gt;"Por comprobar")),NOT(AND(LEN(TRIM('DATOS'!F235&amp;""))&gt;0,TRIM('DATOS'!F235&amp;"")&lt;&gt;"Pendiente",TRIM('DATOS'!F235&amp;"")&lt;&gt;"Por confirmar",TRIM('DATOS'!F235&amp;"")&lt;&gt;"No consta",TRIM('DATOS'!F235&amp;"")&lt;&gt;"Desconocido",TRIM('DATOS'!F235&amp;"")&lt;&gt;"Sin confirmar",TRIM('DATOS'!F235&amp;"")&lt;&gt;"Por decidir",TRIM('DATOS'!F235&amp;"")&lt;&gt;"Por comprobar")),NOT(AND(LEN(TRIM('DATOS'!N235&amp;""))&gt;0,TRIM('DATOS'!N235&amp;"")&lt;&gt;"Pendiente",TRIM('DATOS'!N235&amp;"")&lt;&gt;"Por confirmar",TRIM('DATOS'!N235&amp;"")&lt;&gt;"No consta",TRIM('DATOS'!N235&amp;"")&lt;&gt;"Desconocido",TRIM('DATOS'!N235&amp;"")&lt;&gt;"Sin confirmar",TRIM('DATOS'!N235&amp;"")&lt;&gt;"Por decidir",TRIM('DATOS'!N235&amp;"")&lt;&gt;"Por comprobar")),NOT(Y235=1),W235&lt;&gt;1,X235&gt;1,NOT(OR(LEN(TRIM('DATOS'!K235&amp;""))=0,'DATOS'!K235="Sin valorar",'DATOS'!K235="Sin coste documentado",'DATOS'!K235="Incluido en otra partida",'DATOS'!K235="Por confirmar")),NOT(OR(LEN(TRIM('DATOS'!M235&amp;""))=0,'DATOS'!M235="Sí",'DATOS'!M235="No",'DATOS'!M235="Por confirmar")),NOT(OR(LEN(TRIM('DATOS'!O235&amp;""))=0,'DATOS'!O235="Comparamos",'DATOS'!O235="No existe",'DATOS'!O235="Por confirmar"))),2,IF(AND(OR('DATOS'!G235&lt;0,'DATOS'!H235&lt;0,'DATOS'!J235&lt;0),NOT(AND(LEN(TRIM('DATOS'!L235&amp;""))&gt;0,TRIM('DATOS'!L235&amp;"")&lt;&gt;"Pendiente",TRIM('DATOS'!L235&amp;"")&lt;&gt;"Por confirmar",TRIM('DATOS'!L235&amp;"")&lt;&gt;"No consta",TRIM('DATOS'!L235&amp;"")&lt;&gt;"Desconocido",TRIM('DATOS'!L235&amp;"")&lt;&gt;"Sin confirmar",TRIM('DATOS'!L235&amp;"")&lt;&gt;"Por decidir",TRIM('DATOS'!L235&amp;"")&lt;&gt;"Por comprobar"))),1,0))),2)</f>
      </c>
      <c r="P235" s="29">
        <f>IFERROR(IF(N235=0,"",IF(NOT(Y235=1),1,IF('REFERENCIAS'!$Q$8&lt;&gt;1,2,IF(ABS('DATOS'!J235-ROUND('DATOS'!G235*'DATOS'!H235,'REFERENCIAS'!$K$8))&gt;0.00000001,2,IF('DATOS'!O235="No existe",IF(LEN(TRIM('DATOS'!I235&amp;""))=0,0,2),IF('DATOS'!O235="Comparamos",IF(LEN(TRIM('DATOS'!I235&amp;""))=0,1,IF(ISNUMBER('DATOS'!I235),IF(ABS('DATOS'!H235-'DATOS'!I235)&gt;0.00000001,2,0),2)),1)))))),2)</f>
      </c>
      <c r="Q235" s="29">
        <f>IFERROR(IF(N235=0,"",IF(NOT(Y235=1),1,IF('DATOS'!K235="Sin valorar",2,IF('DATOS'!G235=0,1,IF(OR('DATOS'!H235=0,'DATOS'!J235=0),IF(AND(OR('DATOS'!K235="Sin coste documentado",'DATOS'!K235="Incluido en otra partida"),AND(LEN(TRIM('DATOS'!L235&amp;""))&gt;0,TRIM('DATOS'!L235&amp;"")&lt;&gt;"Pendiente",TRIM('DATOS'!L235&amp;"")&lt;&gt;"Por confirmar",TRIM('DATOS'!L235&amp;"")&lt;&gt;"No consta",TRIM('DATOS'!L235&amp;"")&lt;&gt;"Desconocido",TRIM('DATOS'!L235&amp;"")&lt;&gt;"Sin confirmar",TRIM('DATOS'!L235&amp;"")&lt;&gt;"Por decidir",TRIM('DATOS'!L235&amp;"")&lt;&gt;"Por comprobar")),0,1),0))))),2)</f>
      </c>
      <c r="R235" s="29">
        <f>IFERROR(IF(N235=0,"",IF(OR(NOT(AND(LEN(TRIM('DATOS'!D235&amp;""))&gt;0,TRIM('DATOS'!D235&amp;"")&lt;&gt;"Pendiente",TRIM('DATOS'!D235&amp;"")&lt;&gt;"Por confirmar",TRIM('DATOS'!D235&amp;"")&lt;&gt;"No consta",TRIM('DATOS'!D235&amp;"")&lt;&gt;"Desconocido",TRIM('DATOS'!D235&amp;"")&lt;&gt;"Sin confirmar",TRIM('DATOS'!D235&amp;"")&lt;&gt;"Por decidir",TRIM('DATOS'!D235&amp;"")&lt;&gt;"Por comprobar")),NOT(AND(LEN(TRIM('DATOS'!E235&amp;""))&gt;0,TRIM('DATOS'!E235&amp;"")&lt;&gt;"Pendiente",TRIM('DATOS'!E235&amp;"")&lt;&gt;"Por confirmar",TRIM('DATOS'!E235&amp;"")&lt;&gt;"No consta",TRIM('DATOS'!E235&amp;"")&lt;&gt;"Desconocido",TRIM('DATOS'!E235&amp;"")&lt;&gt;"Sin confirmar",TRIM('DATOS'!E235&amp;"")&lt;&gt;"Por decidir",TRIM('DATOS'!E235&amp;"")&lt;&gt;"Por comprobar"))),2,IF('DATOS'!M235="No",2,IF('DATOS'!M235="Sí",0,IF(OR('DATOS'!D235&lt;&gt;'DATOS'!E235,LEN('DATOS'!E235)&gt;300,RIGHT(TRIM('DATOS'!E235),3)="...",RIGHT(TRIM('DATOS'!E235),1)="…"),1,0))))),2)</f>
      </c>
      <c r="S235" s="29">
        <f>IFERROR(IF(N235=0,"",IF('REFERENCIAS'!$Q$8&lt;&gt;1,2,IF(NOT(Y235=1),1,IF(OR(ABS('DATOS'!G235-ROUND('DATOS'!G235,'REFERENCIAS'!$E$8))&gt;0.00000001,ABS('DATOS'!H235-ROUND('DATOS'!H235,'REFERENCIAS'!$H$8))&gt;0.00000001,ABS('DATOS'!J235-ROUND('DATOS'!J235,'REFERENCIAS'!$K$8))&gt;0.00000001,IF(ISNUMBER('DATOS'!I235),ABS('DATOS'!I235-ROUND('DATOS'!I235,'REFERENCIAS'!$H$8))&gt;0.00000001,FALSE)),1,0)))),2)</f>
      </c>
      <c r="T235" s="29">
        <f>IFERROR(IF(N235=0,"",IF(NOT(AND(LEN(TRIM('DATOS'!F235&amp;""))&gt;0,TRIM('DATOS'!F235&amp;"")&lt;&gt;"Pendiente",TRIM('DATOS'!F235&amp;"")&lt;&gt;"Por confirmar",TRIM('DATOS'!F235&amp;"")&lt;&gt;"No consta",TRIM('DATOS'!F235&amp;"")&lt;&gt;"Desconocido",TRIM('DATOS'!F235&amp;"")&lt;&gt;"Sin confirmar",TRIM('DATOS'!F235&amp;"")&lt;&gt;"Por decidir",TRIM('DATOS'!F235&amp;"")&lt;&gt;"Por comprobar")),2,IF(COUNTIFS('REFERENCIAS'!$T$15:$T$34,"ID:"&amp;SUBSTITUTE(SUBSTITUTE(SUBSTITUTE(SUBSTITUTE(UPPER(TRIM('DATOS'!F235&amp;"")),"!","!E"),"*","!A"),"?","!B"),"~","!C"),'REFERENCIAS'!$H$15:$H$34,"&lt;&gt;")&gt;0,0,1))),2)</f>
      </c>
      <c r="U235" s="29" t="str">
        <f>'DATOS'!R235</f>
        <v>ID:</v>
      </c>
      <c r="V235" s="29" t="str">
        <f>'DATOS'!S235</f>
        <v>ID:</v>
      </c>
      <c r="W235" s="29" t="n">
        <f>IF(N235=0,0,COUNTIFS('REFERENCIAS'!$R$15:$R$64,U235))</f>
        <v>0</v>
      </c>
      <c r="X235" s="29" t="n">
        <f>IF(N235=0,0,COUNTIFS('DATOS'!$R$10:$R$509,U235,'DATOS'!$S$10:$S$509,V235))</f>
        <v>0</v>
      </c>
      <c r="Y235" s="29" t="n">
        <f>IF(AND(ISNUMBER('DATOS'!G235),ISNUMBER('DATOS'!H235),ISNUMBER('DATOS'!J235)),1,0)</f>
        <v>0</v>
      </c>
    </row>
    <row r="236" ht="64" customHeight="1">
      <c r="B236" s="26">
        <f>IF(N236=1,227,"")</f>
      </c>
      <c r="C236" s="26">
        <f>IF(AND(N236=1,LEN(TRIM('DATOS'!B236&amp;""))&gt;0),'DATOS'!B236,"")</f>
      </c>
      <c r="D236" s="26">
        <f>IF(AND(N236=1,LEN(TRIM('DATOS'!C236&amp;""))&gt;0),'DATOS'!C236,"")</f>
      </c>
      <c r="E236" s="26">
        <f>IF(NOT(ISNUMBER(P236)),"",IF(P236=2,"ROJO",IF(P236=1,"ÁMBAR","VERDE")))</f>
      </c>
      <c r="F236" s="26">
        <f>IF(NOT(ISNUMBER(Q236)),"",IF(Q236=2,"ROJO",IF(Q236=1,"ÁMBAR","VERDE")))</f>
      </c>
      <c r="G236" s="26">
        <f>IF(NOT(ISNUMBER(R236)),"",IF(R236=2,"ROJO",IF(R236=1,"ÁMBAR","VERDE")))</f>
      </c>
      <c r="H236" s="26">
        <f>IF(NOT(ISNUMBER(S236)),"",IF(S236=2,"ROJO",IF(S236=1,"ÁMBAR","VERDE")))</f>
      </c>
      <c r="I236" s="26">
        <f>IF(NOT(ISNUMBER(T236)),"",IF(T236=2,"ROJO",IF(T236=1,"ÁMBAR","VERDE")))</f>
      </c>
      <c r="J236" s="26">
        <f>IF(NOT(ISNUMBER(O236)),"",IF(O236=2,"ROJO",IF(O236=1,"ÁMBAR","VERDE")))</f>
      </c>
      <c r="K236" s="26">
        <f>IFERROR(IF(AND(N236=1,LEN(TRIM('DATOS'!N236&amp;""))&gt;0),'DATOS'!N236,""),"Hay una entrada con error. Corregimos el dato antes de cerrar la comprobación.")</f>
      </c>
      <c r="L236" s="26">
        <f>IFERROR(IF(N236=0,"",IF(O236&gt;0,"Completamos datos, claves o motivo. ","")&amp;IF(P236&gt;0,"Cotejamos precios e importe. ","")&amp;IF(Q236&gt;0,"Aclaramos el cero. ","")&amp;IF(R236&gt;0,"Comprobamos el texto. ","")&amp;IF(S236&gt;0,"Revisamos decimales visibles. ","")&amp;IF(T236&gt;0,"Confirmamos la unidad.","")),"Hay una entrada con error. Corregimos el dato antes de cerrar la comprobación.")</f>
      </c>
      <c r="N236" s="29" t="n">
        <f>IF(COUNTA('DATOS'!B236:O236)&gt;0,1,0)</f>
        <v>0</v>
      </c>
      <c r="O236" s="29">
        <f>IFERROR(IF(N236=0,"",IF(OR(NOT(AND(LEN(TRIM('DATOS'!B236&amp;""))&gt;0,TRIM('DATOS'!B236&amp;"")&lt;&gt;"Pendiente",TRIM('DATOS'!B236&amp;"")&lt;&gt;"Por confirmar",TRIM('DATOS'!B236&amp;"")&lt;&gt;"No consta",TRIM('DATOS'!B236&amp;"")&lt;&gt;"Desconocido",TRIM('DATOS'!B236&amp;"")&lt;&gt;"Sin confirmar",TRIM('DATOS'!B236&amp;"")&lt;&gt;"Por decidir",TRIM('DATOS'!B236&amp;"")&lt;&gt;"Por comprobar")),NOT(AND(LEN(TRIM('DATOS'!C236&amp;""))&gt;0,TRIM('DATOS'!C236&amp;"")&lt;&gt;"Pendiente",TRIM('DATOS'!C236&amp;"")&lt;&gt;"Por confirmar",TRIM('DATOS'!C236&amp;"")&lt;&gt;"No consta",TRIM('DATOS'!C236&amp;"")&lt;&gt;"Desconocido",TRIM('DATOS'!C236&amp;"")&lt;&gt;"Sin confirmar",TRIM('DATOS'!C236&amp;"")&lt;&gt;"Por decidir",TRIM('DATOS'!C236&amp;"")&lt;&gt;"Por comprobar")),NOT(AND(LEN(TRIM('DATOS'!D236&amp;""))&gt;0,TRIM('DATOS'!D236&amp;"")&lt;&gt;"Pendiente",TRIM('DATOS'!D236&amp;"")&lt;&gt;"Por confirmar",TRIM('DATOS'!D236&amp;"")&lt;&gt;"No consta",TRIM('DATOS'!D236&amp;"")&lt;&gt;"Desconocido",TRIM('DATOS'!D236&amp;"")&lt;&gt;"Sin confirmar",TRIM('DATOS'!D236&amp;"")&lt;&gt;"Por decidir",TRIM('DATOS'!D236&amp;"")&lt;&gt;"Por comprobar")),NOT(AND(LEN(TRIM('DATOS'!E236&amp;""))&gt;0,TRIM('DATOS'!E236&amp;"")&lt;&gt;"Pendiente",TRIM('DATOS'!E236&amp;"")&lt;&gt;"Por confirmar",TRIM('DATOS'!E236&amp;"")&lt;&gt;"No consta",TRIM('DATOS'!E236&amp;"")&lt;&gt;"Desconocido",TRIM('DATOS'!E236&amp;"")&lt;&gt;"Sin confirmar",TRIM('DATOS'!E236&amp;"")&lt;&gt;"Por decidir",TRIM('DATOS'!E236&amp;"")&lt;&gt;"Por comprobar")),NOT(AND(LEN(TRIM('DATOS'!F236&amp;""))&gt;0,TRIM('DATOS'!F236&amp;"")&lt;&gt;"Pendiente",TRIM('DATOS'!F236&amp;"")&lt;&gt;"Por confirmar",TRIM('DATOS'!F236&amp;"")&lt;&gt;"No consta",TRIM('DATOS'!F236&amp;"")&lt;&gt;"Desconocido",TRIM('DATOS'!F236&amp;"")&lt;&gt;"Sin confirmar",TRIM('DATOS'!F236&amp;"")&lt;&gt;"Por decidir",TRIM('DATOS'!F236&amp;"")&lt;&gt;"Por comprobar")),NOT(AND(LEN(TRIM('DATOS'!N236&amp;""))&gt;0,TRIM('DATOS'!N236&amp;"")&lt;&gt;"Pendiente",TRIM('DATOS'!N236&amp;"")&lt;&gt;"Por confirmar",TRIM('DATOS'!N236&amp;"")&lt;&gt;"No consta",TRIM('DATOS'!N236&amp;"")&lt;&gt;"Desconocido",TRIM('DATOS'!N236&amp;"")&lt;&gt;"Sin confirmar",TRIM('DATOS'!N236&amp;"")&lt;&gt;"Por decidir",TRIM('DATOS'!N236&amp;"")&lt;&gt;"Por comprobar")),NOT(Y236=1),W236&lt;&gt;1,X236&gt;1,NOT(OR(LEN(TRIM('DATOS'!K236&amp;""))=0,'DATOS'!K236="Sin valorar",'DATOS'!K236="Sin coste documentado",'DATOS'!K236="Incluido en otra partida",'DATOS'!K236="Por confirmar")),NOT(OR(LEN(TRIM('DATOS'!M236&amp;""))=0,'DATOS'!M236="Sí",'DATOS'!M236="No",'DATOS'!M236="Por confirmar")),NOT(OR(LEN(TRIM('DATOS'!O236&amp;""))=0,'DATOS'!O236="Comparamos",'DATOS'!O236="No existe",'DATOS'!O236="Por confirmar"))),2,IF(AND(OR('DATOS'!G236&lt;0,'DATOS'!H236&lt;0,'DATOS'!J236&lt;0),NOT(AND(LEN(TRIM('DATOS'!L236&amp;""))&gt;0,TRIM('DATOS'!L236&amp;"")&lt;&gt;"Pendiente",TRIM('DATOS'!L236&amp;"")&lt;&gt;"Por confirmar",TRIM('DATOS'!L236&amp;"")&lt;&gt;"No consta",TRIM('DATOS'!L236&amp;"")&lt;&gt;"Desconocido",TRIM('DATOS'!L236&amp;"")&lt;&gt;"Sin confirmar",TRIM('DATOS'!L236&amp;"")&lt;&gt;"Por decidir",TRIM('DATOS'!L236&amp;"")&lt;&gt;"Por comprobar"))),1,0))),2)</f>
      </c>
      <c r="P236" s="29">
        <f>IFERROR(IF(N236=0,"",IF(NOT(Y236=1),1,IF('REFERENCIAS'!$Q$8&lt;&gt;1,2,IF(ABS('DATOS'!J236-ROUND('DATOS'!G236*'DATOS'!H236,'REFERENCIAS'!$K$8))&gt;0.00000001,2,IF('DATOS'!O236="No existe",IF(LEN(TRIM('DATOS'!I236&amp;""))=0,0,2),IF('DATOS'!O236="Comparamos",IF(LEN(TRIM('DATOS'!I236&amp;""))=0,1,IF(ISNUMBER('DATOS'!I236),IF(ABS('DATOS'!H236-'DATOS'!I236)&gt;0.00000001,2,0),2)),1)))))),2)</f>
      </c>
      <c r="Q236" s="29">
        <f>IFERROR(IF(N236=0,"",IF(NOT(Y236=1),1,IF('DATOS'!K236="Sin valorar",2,IF('DATOS'!G236=0,1,IF(OR('DATOS'!H236=0,'DATOS'!J236=0),IF(AND(OR('DATOS'!K236="Sin coste documentado",'DATOS'!K236="Incluido en otra partida"),AND(LEN(TRIM('DATOS'!L236&amp;""))&gt;0,TRIM('DATOS'!L236&amp;"")&lt;&gt;"Pendiente",TRIM('DATOS'!L236&amp;"")&lt;&gt;"Por confirmar",TRIM('DATOS'!L236&amp;"")&lt;&gt;"No consta",TRIM('DATOS'!L236&amp;"")&lt;&gt;"Desconocido",TRIM('DATOS'!L236&amp;"")&lt;&gt;"Sin confirmar",TRIM('DATOS'!L236&amp;"")&lt;&gt;"Por decidir",TRIM('DATOS'!L236&amp;"")&lt;&gt;"Por comprobar")),0,1),0))))),2)</f>
      </c>
      <c r="R236" s="29">
        <f>IFERROR(IF(N236=0,"",IF(OR(NOT(AND(LEN(TRIM('DATOS'!D236&amp;""))&gt;0,TRIM('DATOS'!D236&amp;"")&lt;&gt;"Pendiente",TRIM('DATOS'!D236&amp;"")&lt;&gt;"Por confirmar",TRIM('DATOS'!D236&amp;"")&lt;&gt;"No consta",TRIM('DATOS'!D236&amp;"")&lt;&gt;"Desconocido",TRIM('DATOS'!D236&amp;"")&lt;&gt;"Sin confirmar",TRIM('DATOS'!D236&amp;"")&lt;&gt;"Por decidir",TRIM('DATOS'!D236&amp;"")&lt;&gt;"Por comprobar")),NOT(AND(LEN(TRIM('DATOS'!E236&amp;""))&gt;0,TRIM('DATOS'!E236&amp;"")&lt;&gt;"Pendiente",TRIM('DATOS'!E236&amp;"")&lt;&gt;"Por confirmar",TRIM('DATOS'!E236&amp;"")&lt;&gt;"No consta",TRIM('DATOS'!E236&amp;"")&lt;&gt;"Desconocido",TRIM('DATOS'!E236&amp;"")&lt;&gt;"Sin confirmar",TRIM('DATOS'!E236&amp;"")&lt;&gt;"Por decidir",TRIM('DATOS'!E236&amp;"")&lt;&gt;"Por comprobar"))),2,IF('DATOS'!M236="No",2,IF('DATOS'!M236="Sí",0,IF(OR('DATOS'!D236&lt;&gt;'DATOS'!E236,LEN('DATOS'!E236)&gt;300,RIGHT(TRIM('DATOS'!E236),3)="...",RIGHT(TRIM('DATOS'!E236),1)="…"),1,0))))),2)</f>
      </c>
      <c r="S236" s="29">
        <f>IFERROR(IF(N236=0,"",IF('REFERENCIAS'!$Q$8&lt;&gt;1,2,IF(NOT(Y236=1),1,IF(OR(ABS('DATOS'!G236-ROUND('DATOS'!G236,'REFERENCIAS'!$E$8))&gt;0.00000001,ABS('DATOS'!H236-ROUND('DATOS'!H236,'REFERENCIAS'!$H$8))&gt;0.00000001,ABS('DATOS'!J236-ROUND('DATOS'!J236,'REFERENCIAS'!$K$8))&gt;0.00000001,IF(ISNUMBER('DATOS'!I236),ABS('DATOS'!I236-ROUND('DATOS'!I236,'REFERENCIAS'!$H$8))&gt;0.00000001,FALSE)),1,0)))),2)</f>
      </c>
      <c r="T236" s="29">
        <f>IFERROR(IF(N236=0,"",IF(NOT(AND(LEN(TRIM('DATOS'!F236&amp;""))&gt;0,TRIM('DATOS'!F236&amp;"")&lt;&gt;"Pendiente",TRIM('DATOS'!F236&amp;"")&lt;&gt;"Por confirmar",TRIM('DATOS'!F236&amp;"")&lt;&gt;"No consta",TRIM('DATOS'!F236&amp;"")&lt;&gt;"Desconocido",TRIM('DATOS'!F236&amp;"")&lt;&gt;"Sin confirmar",TRIM('DATOS'!F236&amp;"")&lt;&gt;"Por decidir",TRIM('DATOS'!F236&amp;"")&lt;&gt;"Por comprobar")),2,IF(COUNTIFS('REFERENCIAS'!$T$15:$T$34,"ID:"&amp;SUBSTITUTE(SUBSTITUTE(SUBSTITUTE(SUBSTITUTE(UPPER(TRIM('DATOS'!F236&amp;"")),"!","!E"),"*","!A"),"?","!B"),"~","!C"),'REFERENCIAS'!$H$15:$H$34,"&lt;&gt;")&gt;0,0,1))),2)</f>
      </c>
      <c r="U236" s="29" t="str">
        <f>'DATOS'!R236</f>
        <v>ID:</v>
      </c>
      <c r="V236" s="29" t="str">
        <f>'DATOS'!S236</f>
        <v>ID:</v>
      </c>
      <c r="W236" s="29" t="n">
        <f>IF(N236=0,0,COUNTIFS('REFERENCIAS'!$R$15:$R$64,U236))</f>
        <v>0</v>
      </c>
      <c r="X236" s="29" t="n">
        <f>IF(N236=0,0,COUNTIFS('DATOS'!$R$10:$R$509,U236,'DATOS'!$S$10:$S$509,V236))</f>
        <v>0</v>
      </c>
      <c r="Y236" s="29" t="n">
        <f>IF(AND(ISNUMBER('DATOS'!G236),ISNUMBER('DATOS'!H236),ISNUMBER('DATOS'!J236)),1,0)</f>
        <v>0</v>
      </c>
    </row>
    <row r="237" ht="64" customHeight="1">
      <c r="B237" s="26">
        <f>IF(N237=1,228,"")</f>
      </c>
      <c r="C237" s="26">
        <f>IF(AND(N237=1,LEN(TRIM('DATOS'!B237&amp;""))&gt;0),'DATOS'!B237,"")</f>
      </c>
      <c r="D237" s="26">
        <f>IF(AND(N237=1,LEN(TRIM('DATOS'!C237&amp;""))&gt;0),'DATOS'!C237,"")</f>
      </c>
      <c r="E237" s="26">
        <f>IF(NOT(ISNUMBER(P237)),"",IF(P237=2,"ROJO",IF(P237=1,"ÁMBAR","VERDE")))</f>
      </c>
      <c r="F237" s="26">
        <f>IF(NOT(ISNUMBER(Q237)),"",IF(Q237=2,"ROJO",IF(Q237=1,"ÁMBAR","VERDE")))</f>
      </c>
      <c r="G237" s="26">
        <f>IF(NOT(ISNUMBER(R237)),"",IF(R237=2,"ROJO",IF(R237=1,"ÁMBAR","VERDE")))</f>
      </c>
      <c r="H237" s="26">
        <f>IF(NOT(ISNUMBER(S237)),"",IF(S237=2,"ROJO",IF(S237=1,"ÁMBAR","VERDE")))</f>
      </c>
      <c r="I237" s="26">
        <f>IF(NOT(ISNUMBER(T237)),"",IF(T237=2,"ROJO",IF(T237=1,"ÁMBAR","VERDE")))</f>
      </c>
      <c r="J237" s="26">
        <f>IF(NOT(ISNUMBER(O237)),"",IF(O237=2,"ROJO",IF(O237=1,"ÁMBAR","VERDE")))</f>
      </c>
      <c r="K237" s="26">
        <f>IFERROR(IF(AND(N237=1,LEN(TRIM('DATOS'!N237&amp;""))&gt;0),'DATOS'!N237,""),"Hay una entrada con error. Corregimos el dato antes de cerrar la comprobación.")</f>
      </c>
      <c r="L237" s="26">
        <f>IFERROR(IF(N237=0,"",IF(O237&gt;0,"Completamos datos, claves o motivo. ","")&amp;IF(P237&gt;0,"Cotejamos precios e importe. ","")&amp;IF(Q237&gt;0,"Aclaramos el cero. ","")&amp;IF(R237&gt;0,"Comprobamos el texto. ","")&amp;IF(S237&gt;0,"Revisamos decimales visibles. ","")&amp;IF(T237&gt;0,"Confirmamos la unidad.","")),"Hay una entrada con error. Corregimos el dato antes de cerrar la comprobación.")</f>
      </c>
      <c r="N237" s="29" t="n">
        <f>IF(COUNTA('DATOS'!B237:O237)&gt;0,1,0)</f>
        <v>0</v>
      </c>
      <c r="O237" s="29">
        <f>IFERROR(IF(N237=0,"",IF(OR(NOT(AND(LEN(TRIM('DATOS'!B237&amp;""))&gt;0,TRIM('DATOS'!B237&amp;"")&lt;&gt;"Pendiente",TRIM('DATOS'!B237&amp;"")&lt;&gt;"Por confirmar",TRIM('DATOS'!B237&amp;"")&lt;&gt;"No consta",TRIM('DATOS'!B237&amp;"")&lt;&gt;"Desconocido",TRIM('DATOS'!B237&amp;"")&lt;&gt;"Sin confirmar",TRIM('DATOS'!B237&amp;"")&lt;&gt;"Por decidir",TRIM('DATOS'!B237&amp;"")&lt;&gt;"Por comprobar")),NOT(AND(LEN(TRIM('DATOS'!C237&amp;""))&gt;0,TRIM('DATOS'!C237&amp;"")&lt;&gt;"Pendiente",TRIM('DATOS'!C237&amp;"")&lt;&gt;"Por confirmar",TRIM('DATOS'!C237&amp;"")&lt;&gt;"No consta",TRIM('DATOS'!C237&amp;"")&lt;&gt;"Desconocido",TRIM('DATOS'!C237&amp;"")&lt;&gt;"Sin confirmar",TRIM('DATOS'!C237&amp;"")&lt;&gt;"Por decidir",TRIM('DATOS'!C237&amp;"")&lt;&gt;"Por comprobar")),NOT(AND(LEN(TRIM('DATOS'!D237&amp;""))&gt;0,TRIM('DATOS'!D237&amp;"")&lt;&gt;"Pendiente",TRIM('DATOS'!D237&amp;"")&lt;&gt;"Por confirmar",TRIM('DATOS'!D237&amp;"")&lt;&gt;"No consta",TRIM('DATOS'!D237&amp;"")&lt;&gt;"Desconocido",TRIM('DATOS'!D237&amp;"")&lt;&gt;"Sin confirmar",TRIM('DATOS'!D237&amp;"")&lt;&gt;"Por decidir",TRIM('DATOS'!D237&amp;"")&lt;&gt;"Por comprobar")),NOT(AND(LEN(TRIM('DATOS'!E237&amp;""))&gt;0,TRIM('DATOS'!E237&amp;"")&lt;&gt;"Pendiente",TRIM('DATOS'!E237&amp;"")&lt;&gt;"Por confirmar",TRIM('DATOS'!E237&amp;"")&lt;&gt;"No consta",TRIM('DATOS'!E237&amp;"")&lt;&gt;"Desconocido",TRIM('DATOS'!E237&amp;"")&lt;&gt;"Sin confirmar",TRIM('DATOS'!E237&amp;"")&lt;&gt;"Por decidir",TRIM('DATOS'!E237&amp;"")&lt;&gt;"Por comprobar")),NOT(AND(LEN(TRIM('DATOS'!F237&amp;""))&gt;0,TRIM('DATOS'!F237&amp;"")&lt;&gt;"Pendiente",TRIM('DATOS'!F237&amp;"")&lt;&gt;"Por confirmar",TRIM('DATOS'!F237&amp;"")&lt;&gt;"No consta",TRIM('DATOS'!F237&amp;"")&lt;&gt;"Desconocido",TRIM('DATOS'!F237&amp;"")&lt;&gt;"Sin confirmar",TRIM('DATOS'!F237&amp;"")&lt;&gt;"Por decidir",TRIM('DATOS'!F237&amp;"")&lt;&gt;"Por comprobar")),NOT(AND(LEN(TRIM('DATOS'!N237&amp;""))&gt;0,TRIM('DATOS'!N237&amp;"")&lt;&gt;"Pendiente",TRIM('DATOS'!N237&amp;"")&lt;&gt;"Por confirmar",TRIM('DATOS'!N237&amp;"")&lt;&gt;"No consta",TRIM('DATOS'!N237&amp;"")&lt;&gt;"Desconocido",TRIM('DATOS'!N237&amp;"")&lt;&gt;"Sin confirmar",TRIM('DATOS'!N237&amp;"")&lt;&gt;"Por decidir",TRIM('DATOS'!N237&amp;"")&lt;&gt;"Por comprobar")),NOT(Y237=1),W237&lt;&gt;1,X237&gt;1,NOT(OR(LEN(TRIM('DATOS'!K237&amp;""))=0,'DATOS'!K237="Sin valorar",'DATOS'!K237="Sin coste documentado",'DATOS'!K237="Incluido en otra partida",'DATOS'!K237="Por confirmar")),NOT(OR(LEN(TRIM('DATOS'!M237&amp;""))=0,'DATOS'!M237="Sí",'DATOS'!M237="No",'DATOS'!M237="Por confirmar")),NOT(OR(LEN(TRIM('DATOS'!O237&amp;""))=0,'DATOS'!O237="Comparamos",'DATOS'!O237="No existe",'DATOS'!O237="Por confirmar"))),2,IF(AND(OR('DATOS'!G237&lt;0,'DATOS'!H237&lt;0,'DATOS'!J237&lt;0),NOT(AND(LEN(TRIM('DATOS'!L237&amp;""))&gt;0,TRIM('DATOS'!L237&amp;"")&lt;&gt;"Pendiente",TRIM('DATOS'!L237&amp;"")&lt;&gt;"Por confirmar",TRIM('DATOS'!L237&amp;"")&lt;&gt;"No consta",TRIM('DATOS'!L237&amp;"")&lt;&gt;"Desconocido",TRIM('DATOS'!L237&amp;"")&lt;&gt;"Sin confirmar",TRIM('DATOS'!L237&amp;"")&lt;&gt;"Por decidir",TRIM('DATOS'!L237&amp;"")&lt;&gt;"Por comprobar"))),1,0))),2)</f>
      </c>
      <c r="P237" s="29">
        <f>IFERROR(IF(N237=0,"",IF(NOT(Y237=1),1,IF('REFERENCIAS'!$Q$8&lt;&gt;1,2,IF(ABS('DATOS'!J237-ROUND('DATOS'!G237*'DATOS'!H237,'REFERENCIAS'!$K$8))&gt;0.00000001,2,IF('DATOS'!O237="No existe",IF(LEN(TRIM('DATOS'!I237&amp;""))=0,0,2),IF('DATOS'!O237="Comparamos",IF(LEN(TRIM('DATOS'!I237&amp;""))=0,1,IF(ISNUMBER('DATOS'!I237),IF(ABS('DATOS'!H237-'DATOS'!I237)&gt;0.00000001,2,0),2)),1)))))),2)</f>
      </c>
      <c r="Q237" s="29">
        <f>IFERROR(IF(N237=0,"",IF(NOT(Y237=1),1,IF('DATOS'!K237="Sin valorar",2,IF('DATOS'!G237=0,1,IF(OR('DATOS'!H237=0,'DATOS'!J237=0),IF(AND(OR('DATOS'!K237="Sin coste documentado",'DATOS'!K237="Incluido en otra partida"),AND(LEN(TRIM('DATOS'!L237&amp;""))&gt;0,TRIM('DATOS'!L237&amp;"")&lt;&gt;"Pendiente",TRIM('DATOS'!L237&amp;"")&lt;&gt;"Por confirmar",TRIM('DATOS'!L237&amp;"")&lt;&gt;"No consta",TRIM('DATOS'!L237&amp;"")&lt;&gt;"Desconocido",TRIM('DATOS'!L237&amp;"")&lt;&gt;"Sin confirmar",TRIM('DATOS'!L237&amp;"")&lt;&gt;"Por decidir",TRIM('DATOS'!L237&amp;"")&lt;&gt;"Por comprobar")),0,1),0))))),2)</f>
      </c>
      <c r="R237" s="29">
        <f>IFERROR(IF(N237=0,"",IF(OR(NOT(AND(LEN(TRIM('DATOS'!D237&amp;""))&gt;0,TRIM('DATOS'!D237&amp;"")&lt;&gt;"Pendiente",TRIM('DATOS'!D237&amp;"")&lt;&gt;"Por confirmar",TRIM('DATOS'!D237&amp;"")&lt;&gt;"No consta",TRIM('DATOS'!D237&amp;"")&lt;&gt;"Desconocido",TRIM('DATOS'!D237&amp;"")&lt;&gt;"Sin confirmar",TRIM('DATOS'!D237&amp;"")&lt;&gt;"Por decidir",TRIM('DATOS'!D237&amp;"")&lt;&gt;"Por comprobar")),NOT(AND(LEN(TRIM('DATOS'!E237&amp;""))&gt;0,TRIM('DATOS'!E237&amp;"")&lt;&gt;"Pendiente",TRIM('DATOS'!E237&amp;"")&lt;&gt;"Por confirmar",TRIM('DATOS'!E237&amp;"")&lt;&gt;"No consta",TRIM('DATOS'!E237&amp;"")&lt;&gt;"Desconocido",TRIM('DATOS'!E237&amp;"")&lt;&gt;"Sin confirmar",TRIM('DATOS'!E237&amp;"")&lt;&gt;"Por decidir",TRIM('DATOS'!E237&amp;"")&lt;&gt;"Por comprobar"))),2,IF('DATOS'!M237="No",2,IF('DATOS'!M237="Sí",0,IF(OR('DATOS'!D237&lt;&gt;'DATOS'!E237,LEN('DATOS'!E237)&gt;300,RIGHT(TRIM('DATOS'!E237),3)="...",RIGHT(TRIM('DATOS'!E237),1)="…"),1,0))))),2)</f>
      </c>
      <c r="S237" s="29">
        <f>IFERROR(IF(N237=0,"",IF('REFERENCIAS'!$Q$8&lt;&gt;1,2,IF(NOT(Y237=1),1,IF(OR(ABS('DATOS'!G237-ROUND('DATOS'!G237,'REFERENCIAS'!$E$8))&gt;0.00000001,ABS('DATOS'!H237-ROUND('DATOS'!H237,'REFERENCIAS'!$H$8))&gt;0.00000001,ABS('DATOS'!J237-ROUND('DATOS'!J237,'REFERENCIAS'!$K$8))&gt;0.00000001,IF(ISNUMBER('DATOS'!I237),ABS('DATOS'!I237-ROUND('DATOS'!I237,'REFERENCIAS'!$H$8))&gt;0.00000001,FALSE)),1,0)))),2)</f>
      </c>
      <c r="T237" s="29">
        <f>IFERROR(IF(N237=0,"",IF(NOT(AND(LEN(TRIM('DATOS'!F237&amp;""))&gt;0,TRIM('DATOS'!F237&amp;"")&lt;&gt;"Pendiente",TRIM('DATOS'!F237&amp;"")&lt;&gt;"Por confirmar",TRIM('DATOS'!F237&amp;"")&lt;&gt;"No consta",TRIM('DATOS'!F237&amp;"")&lt;&gt;"Desconocido",TRIM('DATOS'!F237&amp;"")&lt;&gt;"Sin confirmar",TRIM('DATOS'!F237&amp;"")&lt;&gt;"Por decidir",TRIM('DATOS'!F237&amp;"")&lt;&gt;"Por comprobar")),2,IF(COUNTIFS('REFERENCIAS'!$T$15:$T$34,"ID:"&amp;SUBSTITUTE(SUBSTITUTE(SUBSTITUTE(SUBSTITUTE(UPPER(TRIM('DATOS'!F237&amp;"")),"!","!E"),"*","!A"),"?","!B"),"~","!C"),'REFERENCIAS'!$H$15:$H$34,"&lt;&gt;")&gt;0,0,1))),2)</f>
      </c>
      <c r="U237" s="29" t="str">
        <f>'DATOS'!R237</f>
        <v>ID:</v>
      </c>
      <c r="V237" s="29" t="str">
        <f>'DATOS'!S237</f>
        <v>ID:</v>
      </c>
      <c r="W237" s="29" t="n">
        <f>IF(N237=0,0,COUNTIFS('REFERENCIAS'!$R$15:$R$64,U237))</f>
        <v>0</v>
      </c>
      <c r="X237" s="29" t="n">
        <f>IF(N237=0,0,COUNTIFS('DATOS'!$R$10:$R$509,U237,'DATOS'!$S$10:$S$509,V237))</f>
        <v>0</v>
      </c>
      <c r="Y237" s="29" t="n">
        <f>IF(AND(ISNUMBER('DATOS'!G237),ISNUMBER('DATOS'!H237),ISNUMBER('DATOS'!J237)),1,0)</f>
        <v>0</v>
      </c>
    </row>
    <row r="238" ht="64" customHeight="1">
      <c r="B238" s="26">
        <f>IF(N238=1,229,"")</f>
      </c>
      <c r="C238" s="26">
        <f>IF(AND(N238=1,LEN(TRIM('DATOS'!B238&amp;""))&gt;0),'DATOS'!B238,"")</f>
      </c>
      <c r="D238" s="26">
        <f>IF(AND(N238=1,LEN(TRIM('DATOS'!C238&amp;""))&gt;0),'DATOS'!C238,"")</f>
      </c>
      <c r="E238" s="26">
        <f>IF(NOT(ISNUMBER(P238)),"",IF(P238=2,"ROJO",IF(P238=1,"ÁMBAR","VERDE")))</f>
      </c>
      <c r="F238" s="26">
        <f>IF(NOT(ISNUMBER(Q238)),"",IF(Q238=2,"ROJO",IF(Q238=1,"ÁMBAR","VERDE")))</f>
      </c>
      <c r="G238" s="26">
        <f>IF(NOT(ISNUMBER(R238)),"",IF(R238=2,"ROJO",IF(R238=1,"ÁMBAR","VERDE")))</f>
      </c>
      <c r="H238" s="26">
        <f>IF(NOT(ISNUMBER(S238)),"",IF(S238=2,"ROJO",IF(S238=1,"ÁMBAR","VERDE")))</f>
      </c>
      <c r="I238" s="26">
        <f>IF(NOT(ISNUMBER(T238)),"",IF(T238=2,"ROJO",IF(T238=1,"ÁMBAR","VERDE")))</f>
      </c>
      <c r="J238" s="26">
        <f>IF(NOT(ISNUMBER(O238)),"",IF(O238=2,"ROJO",IF(O238=1,"ÁMBAR","VERDE")))</f>
      </c>
      <c r="K238" s="26">
        <f>IFERROR(IF(AND(N238=1,LEN(TRIM('DATOS'!N238&amp;""))&gt;0),'DATOS'!N238,""),"Hay una entrada con error. Corregimos el dato antes de cerrar la comprobación.")</f>
      </c>
      <c r="L238" s="26">
        <f>IFERROR(IF(N238=0,"",IF(O238&gt;0,"Completamos datos, claves o motivo. ","")&amp;IF(P238&gt;0,"Cotejamos precios e importe. ","")&amp;IF(Q238&gt;0,"Aclaramos el cero. ","")&amp;IF(R238&gt;0,"Comprobamos el texto. ","")&amp;IF(S238&gt;0,"Revisamos decimales visibles. ","")&amp;IF(T238&gt;0,"Confirmamos la unidad.","")),"Hay una entrada con error. Corregimos el dato antes de cerrar la comprobación.")</f>
      </c>
      <c r="N238" s="29" t="n">
        <f>IF(COUNTA('DATOS'!B238:O238)&gt;0,1,0)</f>
        <v>0</v>
      </c>
      <c r="O238" s="29">
        <f>IFERROR(IF(N238=0,"",IF(OR(NOT(AND(LEN(TRIM('DATOS'!B238&amp;""))&gt;0,TRIM('DATOS'!B238&amp;"")&lt;&gt;"Pendiente",TRIM('DATOS'!B238&amp;"")&lt;&gt;"Por confirmar",TRIM('DATOS'!B238&amp;"")&lt;&gt;"No consta",TRIM('DATOS'!B238&amp;"")&lt;&gt;"Desconocido",TRIM('DATOS'!B238&amp;"")&lt;&gt;"Sin confirmar",TRIM('DATOS'!B238&amp;"")&lt;&gt;"Por decidir",TRIM('DATOS'!B238&amp;"")&lt;&gt;"Por comprobar")),NOT(AND(LEN(TRIM('DATOS'!C238&amp;""))&gt;0,TRIM('DATOS'!C238&amp;"")&lt;&gt;"Pendiente",TRIM('DATOS'!C238&amp;"")&lt;&gt;"Por confirmar",TRIM('DATOS'!C238&amp;"")&lt;&gt;"No consta",TRIM('DATOS'!C238&amp;"")&lt;&gt;"Desconocido",TRIM('DATOS'!C238&amp;"")&lt;&gt;"Sin confirmar",TRIM('DATOS'!C238&amp;"")&lt;&gt;"Por decidir",TRIM('DATOS'!C238&amp;"")&lt;&gt;"Por comprobar")),NOT(AND(LEN(TRIM('DATOS'!D238&amp;""))&gt;0,TRIM('DATOS'!D238&amp;"")&lt;&gt;"Pendiente",TRIM('DATOS'!D238&amp;"")&lt;&gt;"Por confirmar",TRIM('DATOS'!D238&amp;"")&lt;&gt;"No consta",TRIM('DATOS'!D238&amp;"")&lt;&gt;"Desconocido",TRIM('DATOS'!D238&amp;"")&lt;&gt;"Sin confirmar",TRIM('DATOS'!D238&amp;"")&lt;&gt;"Por decidir",TRIM('DATOS'!D238&amp;"")&lt;&gt;"Por comprobar")),NOT(AND(LEN(TRIM('DATOS'!E238&amp;""))&gt;0,TRIM('DATOS'!E238&amp;"")&lt;&gt;"Pendiente",TRIM('DATOS'!E238&amp;"")&lt;&gt;"Por confirmar",TRIM('DATOS'!E238&amp;"")&lt;&gt;"No consta",TRIM('DATOS'!E238&amp;"")&lt;&gt;"Desconocido",TRIM('DATOS'!E238&amp;"")&lt;&gt;"Sin confirmar",TRIM('DATOS'!E238&amp;"")&lt;&gt;"Por decidir",TRIM('DATOS'!E238&amp;"")&lt;&gt;"Por comprobar")),NOT(AND(LEN(TRIM('DATOS'!F238&amp;""))&gt;0,TRIM('DATOS'!F238&amp;"")&lt;&gt;"Pendiente",TRIM('DATOS'!F238&amp;"")&lt;&gt;"Por confirmar",TRIM('DATOS'!F238&amp;"")&lt;&gt;"No consta",TRIM('DATOS'!F238&amp;"")&lt;&gt;"Desconocido",TRIM('DATOS'!F238&amp;"")&lt;&gt;"Sin confirmar",TRIM('DATOS'!F238&amp;"")&lt;&gt;"Por decidir",TRIM('DATOS'!F238&amp;"")&lt;&gt;"Por comprobar")),NOT(AND(LEN(TRIM('DATOS'!N238&amp;""))&gt;0,TRIM('DATOS'!N238&amp;"")&lt;&gt;"Pendiente",TRIM('DATOS'!N238&amp;"")&lt;&gt;"Por confirmar",TRIM('DATOS'!N238&amp;"")&lt;&gt;"No consta",TRIM('DATOS'!N238&amp;"")&lt;&gt;"Desconocido",TRIM('DATOS'!N238&amp;"")&lt;&gt;"Sin confirmar",TRIM('DATOS'!N238&amp;"")&lt;&gt;"Por decidir",TRIM('DATOS'!N238&amp;"")&lt;&gt;"Por comprobar")),NOT(Y238=1),W238&lt;&gt;1,X238&gt;1,NOT(OR(LEN(TRIM('DATOS'!K238&amp;""))=0,'DATOS'!K238="Sin valorar",'DATOS'!K238="Sin coste documentado",'DATOS'!K238="Incluido en otra partida",'DATOS'!K238="Por confirmar")),NOT(OR(LEN(TRIM('DATOS'!M238&amp;""))=0,'DATOS'!M238="Sí",'DATOS'!M238="No",'DATOS'!M238="Por confirmar")),NOT(OR(LEN(TRIM('DATOS'!O238&amp;""))=0,'DATOS'!O238="Comparamos",'DATOS'!O238="No existe",'DATOS'!O238="Por confirmar"))),2,IF(AND(OR('DATOS'!G238&lt;0,'DATOS'!H238&lt;0,'DATOS'!J238&lt;0),NOT(AND(LEN(TRIM('DATOS'!L238&amp;""))&gt;0,TRIM('DATOS'!L238&amp;"")&lt;&gt;"Pendiente",TRIM('DATOS'!L238&amp;"")&lt;&gt;"Por confirmar",TRIM('DATOS'!L238&amp;"")&lt;&gt;"No consta",TRIM('DATOS'!L238&amp;"")&lt;&gt;"Desconocido",TRIM('DATOS'!L238&amp;"")&lt;&gt;"Sin confirmar",TRIM('DATOS'!L238&amp;"")&lt;&gt;"Por decidir",TRIM('DATOS'!L238&amp;"")&lt;&gt;"Por comprobar"))),1,0))),2)</f>
      </c>
      <c r="P238" s="29">
        <f>IFERROR(IF(N238=0,"",IF(NOT(Y238=1),1,IF('REFERENCIAS'!$Q$8&lt;&gt;1,2,IF(ABS('DATOS'!J238-ROUND('DATOS'!G238*'DATOS'!H238,'REFERENCIAS'!$K$8))&gt;0.00000001,2,IF('DATOS'!O238="No existe",IF(LEN(TRIM('DATOS'!I238&amp;""))=0,0,2),IF('DATOS'!O238="Comparamos",IF(LEN(TRIM('DATOS'!I238&amp;""))=0,1,IF(ISNUMBER('DATOS'!I238),IF(ABS('DATOS'!H238-'DATOS'!I238)&gt;0.00000001,2,0),2)),1)))))),2)</f>
      </c>
      <c r="Q238" s="29">
        <f>IFERROR(IF(N238=0,"",IF(NOT(Y238=1),1,IF('DATOS'!K238="Sin valorar",2,IF('DATOS'!G238=0,1,IF(OR('DATOS'!H238=0,'DATOS'!J238=0),IF(AND(OR('DATOS'!K238="Sin coste documentado",'DATOS'!K238="Incluido en otra partida"),AND(LEN(TRIM('DATOS'!L238&amp;""))&gt;0,TRIM('DATOS'!L238&amp;"")&lt;&gt;"Pendiente",TRIM('DATOS'!L238&amp;"")&lt;&gt;"Por confirmar",TRIM('DATOS'!L238&amp;"")&lt;&gt;"No consta",TRIM('DATOS'!L238&amp;"")&lt;&gt;"Desconocido",TRIM('DATOS'!L238&amp;"")&lt;&gt;"Sin confirmar",TRIM('DATOS'!L238&amp;"")&lt;&gt;"Por decidir",TRIM('DATOS'!L238&amp;"")&lt;&gt;"Por comprobar")),0,1),0))))),2)</f>
      </c>
      <c r="R238" s="29">
        <f>IFERROR(IF(N238=0,"",IF(OR(NOT(AND(LEN(TRIM('DATOS'!D238&amp;""))&gt;0,TRIM('DATOS'!D238&amp;"")&lt;&gt;"Pendiente",TRIM('DATOS'!D238&amp;"")&lt;&gt;"Por confirmar",TRIM('DATOS'!D238&amp;"")&lt;&gt;"No consta",TRIM('DATOS'!D238&amp;"")&lt;&gt;"Desconocido",TRIM('DATOS'!D238&amp;"")&lt;&gt;"Sin confirmar",TRIM('DATOS'!D238&amp;"")&lt;&gt;"Por decidir",TRIM('DATOS'!D238&amp;"")&lt;&gt;"Por comprobar")),NOT(AND(LEN(TRIM('DATOS'!E238&amp;""))&gt;0,TRIM('DATOS'!E238&amp;"")&lt;&gt;"Pendiente",TRIM('DATOS'!E238&amp;"")&lt;&gt;"Por confirmar",TRIM('DATOS'!E238&amp;"")&lt;&gt;"No consta",TRIM('DATOS'!E238&amp;"")&lt;&gt;"Desconocido",TRIM('DATOS'!E238&amp;"")&lt;&gt;"Sin confirmar",TRIM('DATOS'!E238&amp;"")&lt;&gt;"Por decidir",TRIM('DATOS'!E238&amp;"")&lt;&gt;"Por comprobar"))),2,IF('DATOS'!M238="No",2,IF('DATOS'!M238="Sí",0,IF(OR('DATOS'!D238&lt;&gt;'DATOS'!E238,LEN('DATOS'!E238)&gt;300,RIGHT(TRIM('DATOS'!E238),3)="...",RIGHT(TRIM('DATOS'!E238),1)="…"),1,0))))),2)</f>
      </c>
      <c r="S238" s="29">
        <f>IFERROR(IF(N238=0,"",IF('REFERENCIAS'!$Q$8&lt;&gt;1,2,IF(NOT(Y238=1),1,IF(OR(ABS('DATOS'!G238-ROUND('DATOS'!G238,'REFERENCIAS'!$E$8))&gt;0.00000001,ABS('DATOS'!H238-ROUND('DATOS'!H238,'REFERENCIAS'!$H$8))&gt;0.00000001,ABS('DATOS'!J238-ROUND('DATOS'!J238,'REFERENCIAS'!$K$8))&gt;0.00000001,IF(ISNUMBER('DATOS'!I238),ABS('DATOS'!I238-ROUND('DATOS'!I238,'REFERENCIAS'!$H$8))&gt;0.00000001,FALSE)),1,0)))),2)</f>
      </c>
      <c r="T238" s="29">
        <f>IFERROR(IF(N238=0,"",IF(NOT(AND(LEN(TRIM('DATOS'!F238&amp;""))&gt;0,TRIM('DATOS'!F238&amp;"")&lt;&gt;"Pendiente",TRIM('DATOS'!F238&amp;"")&lt;&gt;"Por confirmar",TRIM('DATOS'!F238&amp;"")&lt;&gt;"No consta",TRIM('DATOS'!F238&amp;"")&lt;&gt;"Desconocido",TRIM('DATOS'!F238&amp;"")&lt;&gt;"Sin confirmar",TRIM('DATOS'!F238&amp;"")&lt;&gt;"Por decidir",TRIM('DATOS'!F238&amp;"")&lt;&gt;"Por comprobar")),2,IF(COUNTIFS('REFERENCIAS'!$T$15:$T$34,"ID:"&amp;SUBSTITUTE(SUBSTITUTE(SUBSTITUTE(SUBSTITUTE(UPPER(TRIM('DATOS'!F238&amp;"")),"!","!E"),"*","!A"),"?","!B"),"~","!C"),'REFERENCIAS'!$H$15:$H$34,"&lt;&gt;")&gt;0,0,1))),2)</f>
      </c>
      <c r="U238" s="29" t="str">
        <f>'DATOS'!R238</f>
        <v>ID:</v>
      </c>
      <c r="V238" s="29" t="str">
        <f>'DATOS'!S238</f>
        <v>ID:</v>
      </c>
      <c r="W238" s="29" t="n">
        <f>IF(N238=0,0,COUNTIFS('REFERENCIAS'!$R$15:$R$64,U238))</f>
        <v>0</v>
      </c>
      <c r="X238" s="29" t="n">
        <f>IF(N238=0,0,COUNTIFS('DATOS'!$R$10:$R$509,U238,'DATOS'!$S$10:$S$509,V238))</f>
        <v>0</v>
      </c>
      <c r="Y238" s="29" t="n">
        <f>IF(AND(ISNUMBER('DATOS'!G238),ISNUMBER('DATOS'!H238),ISNUMBER('DATOS'!J238)),1,0)</f>
        <v>0</v>
      </c>
    </row>
    <row r="239" ht="64" customHeight="1">
      <c r="B239" s="26">
        <f>IF(N239=1,230,"")</f>
      </c>
      <c r="C239" s="26">
        <f>IF(AND(N239=1,LEN(TRIM('DATOS'!B239&amp;""))&gt;0),'DATOS'!B239,"")</f>
      </c>
      <c r="D239" s="26">
        <f>IF(AND(N239=1,LEN(TRIM('DATOS'!C239&amp;""))&gt;0),'DATOS'!C239,"")</f>
      </c>
      <c r="E239" s="26">
        <f>IF(NOT(ISNUMBER(P239)),"",IF(P239=2,"ROJO",IF(P239=1,"ÁMBAR","VERDE")))</f>
      </c>
      <c r="F239" s="26">
        <f>IF(NOT(ISNUMBER(Q239)),"",IF(Q239=2,"ROJO",IF(Q239=1,"ÁMBAR","VERDE")))</f>
      </c>
      <c r="G239" s="26">
        <f>IF(NOT(ISNUMBER(R239)),"",IF(R239=2,"ROJO",IF(R239=1,"ÁMBAR","VERDE")))</f>
      </c>
      <c r="H239" s="26">
        <f>IF(NOT(ISNUMBER(S239)),"",IF(S239=2,"ROJO",IF(S239=1,"ÁMBAR","VERDE")))</f>
      </c>
      <c r="I239" s="26">
        <f>IF(NOT(ISNUMBER(T239)),"",IF(T239=2,"ROJO",IF(T239=1,"ÁMBAR","VERDE")))</f>
      </c>
      <c r="J239" s="26">
        <f>IF(NOT(ISNUMBER(O239)),"",IF(O239=2,"ROJO",IF(O239=1,"ÁMBAR","VERDE")))</f>
      </c>
      <c r="K239" s="26">
        <f>IFERROR(IF(AND(N239=1,LEN(TRIM('DATOS'!N239&amp;""))&gt;0),'DATOS'!N239,""),"Hay una entrada con error. Corregimos el dato antes de cerrar la comprobación.")</f>
      </c>
      <c r="L239" s="26">
        <f>IFERROR(IF(N239=0,"",IF(O239&gt;0,"Completamos datos, claves o motivo. ","")&amp;IF(P239&gt;0,"Cotejamos precios e importe. ","")&amp;IF(Q239&gt;0,"Aclaramos el cero. ","")&amp;IF(R239&gt;0,"Comprobamos el texto. ","")&amp;IF(S239&gt;0,"Revisamos decimales visibles. ","")&amp;IF(T239&gt;0,"Confirmamos la unidad.","")),"Hay una entrada con error. Corregimos el dato antes de cerrar la comprobación.")</f>
      </c>
      <c r="N239" s="29" t="n">
        <f>IF(COUNTA('DATOS'!B239:O239)&gt;0,1,0)</f>
        <v>0</v>
      </c>
      <c r="O239" s="29">
        <f>IFERROR(IF(N239=0,"",IF(OR(NOT(AND(LEN(TRIM('DATOS'!B239&amp;""))&gt;0,TRIM('DATOS'!B239&amp;"")&lt;&gt;"Pendiente",TRIM('DATOS'!B239&amp;"")&lt;&gt;"Por confirmar",TRIM('DATOS'!B239&amp;"")&lt;&gt;"No consta",TRIM('DATOS'!B239&amp;"")&lt;&gt;"Desconocido",TRIM('DATOS'!B239&amp;"")&lt;&gt;"Sin confirmar",TRIM('DATOS'!B239&amp;"")&lt;&gt;"Por decidir",TRIM('DATOS'!B239&amp;"")&lt;&gt;"Por comprobar")),NOT(AND(LEN(TRIM('DATOS'!C239&amp;""))&gt;0,TRIM('DATOS'!C239&amp;"")&lt;&gt;"Pendiente",TRIM('DATOS'!C239&amp;"")&lt;&gt;"Por confirmar",TRIM('DATOS'!C239&amp;"")&lt;&gt;"No consta",TRIM('DATOS'!C239&amp;"")&lt;&gt;"Desconocido",TRIM('DATOS'!C239&amp;"")&lt;&gt;"Sin confirmar",TRIM('DATOS'!C239&amp;"")&lt;&gt;"Por decidir",TRIM('DATOS'!C239&amp;"")&lt;&gt;"Por comprobar")),NOT(AND(LEN(TRIM('DATOS'!D239&amp;""))&gt;0,TRIM('DATOS'!D239&amp;"")&lt;&gt;"Pendiente",TRIM('DATOS'!D239&amp;"")&lt;&gt;"Por confirmar",TRIM('DATOS'!D239&amp;"")&lt;&gt;"No consta",TRIM('DATOS'!D239&amp;"")&lt;&gt;"Desconocido",TRIM('DATOS'!D239&amp;"")&lt;&gt;"Sin confirmar",TRIM('DATOS'!D239&amp;"")&lt;&gt;"Por decidir",TRIM('DATOS'!D239&amp;"")&lt;&gt;"Por comprobar")),NOT(AND(LEN(TRIM('DATOS'!E239&amp;""))&gt;0,TRIM('DATOS'!E239&amp;"")&lt;&gt;"Pendiente",TRIM('DATOS'!E239&amp;"")&lt;&gt;"Por confirmar",TRIM('DATOS'!E239&amp;"")&lt;&gt;"No consta",TRIM('DATOS'!E239&amp;"")&lt;&gt;"Desconocido",TRIM('DATOS'!E239&amp;"")&lt;&gt;"Sin confirmar",TRIM('DATOS'!E239&amp;"")&lt;&gt;"Por decidir",TRIM('DATOS'!E239&amp;"")&lt;&gt;"Por comprobar")),NOT(AND(LEN(TRIM('DATOS'!F239&amp;""))&gt;0,TRIM('DATOS'!F239&amp;"")&lt;&gt;"Pendiente",TRIM('DATOS'!F239&amp;"")&lt;&gt;"Por confirmar",TRIM('DATOS'!F239&amp;"")&lt;&gt;"No consta",TRIM('DATOS'!F239&amp;"")&lt;&gt;"Desconocido",TRIM('DATOS'!F239&amp;"")&lt;&gt;"Sin confirmar",TRIM('DATOS'!F239&amp;"")&lt;&gt;"Por decidir",TRIM('DATOS'!F239&amp;"")&lt;&gt;"Por comprobar")),NOT(AND(LEN(TRIM('DATOS'!N239&amp;""))&gt;0,TRIM('DATOS'!N239&amp;"")&lt;&gt;"Pendiente",TRIM('DATOS'!N239&amp;"")&lt;&gt;"Por confirmar",TRIM('DATOS'!N239&amp;"")&lt;&gt;"No consta",TRIM('DATOS'!N239&amp;"")&lt;&gt;"Desconocido",TRIM('DATOS'!N239&amp;"")&lt;&gt;"Sin confirmar",TRIM('DATOS'!N239&amp;"")&lt;&gt;"Por decidir",TRIM('DATOS'!N239&amp;"")&lt;&gt;"Por comprobar")),NOT(Y239=1),W239&lt;&gt;1,X239&gt;1,NOT(OR(LEN(TRIM('DATOS'!K239&amp;""))=0,'DATOS'!K239="Sin valorar",'DATOS'!K239="Sin coste documentado",'DATOS'!K239="Incluido en otra partida",'DATOS'!K239="Por confirmar")),NOT(OR(LEN(TRIM('DATOS'!M239&amp;""))=0,'DATOS'!M239="Sí",'DATOS'!M239="No",'DATOS'!M239="Por confirmar")),NOT(OR(LEN(TRIM('DATOS'!O239&amp;""))=0,'DATOS'!O239="Comparamos",'DATOS'!O239="No existe",'DATOS'!O239="Por confirmar"))),2,IF(AND(OR('DATOS'!G239&lt;0,'DATOS'!H239&lt;0,'DATOS'!J239&lt;0),NOT(AND(LEN(TRIM('DATOS'!L239&amp;""))&gt;0,TRIM('DATOS'!L239&amp;"")&lt;&gt;"Pendiente",TRIM('DATOS'!L239&amp;"")&lt;&gt;"Por confirmar",TRIM('DATOS'!L239&amp;"")&lt;&gt;"No consta",TRIM('DATOS'!L239&amp;"")&lt;&gt;"Desconocido",TRIM('DATOS'!L239&amp;"")&lt;&gt;"Sin confirmar",TRIM('DATOS'!L239&amp;"")&lt;&gt;"Por decidir",TRIM('DATOS'!L239&amp;"")&lt;&gt;"Por comprobar"))),1,0))),2)</f>
      </c>
      <c r="P239" s="29">
        <f>IFERROR(IF(N239=0,"",IF(NOT(Y239=1),1,IF('REFERENCIAS'!$Q$8&lt;&gt;1,2,IF(ABS('DATOS'!J239-ROUND('DATOS'!G239*'DATOS'!H239,'REFERENCIAS'!$K$8))&gt;0.00000001,2,IF('DATOS'!O239="No existe",IF(LEN(TRIM('DATOS'!I239&amp;""))=0,0,2),IF('DATOS'!O239="Comparamos",IF(LEN(TRIM('DATOS'!I239&amp;""))=0,1,IF(ISNUMBER('DATOS'!I239),IF(ABS('DATOS'!H239-'DATOS'!I239)&gt;0.00000001,2,0),2)),1)))))),2)</f>
      </c>
      <c r="Q239" s="29">
        <f>IFERROR(IF(N239=0,"",IF(NOT(Y239=1),1,IF('DATOS'!K239="Sin valorar",2,IF('DATOS'!G239=0,1,IF(OR('DATOS'!H239=0,'DATOS'!J239=0),IF(AND(OR('DATOS'!K239="Sin coste documentado",'DATOS'!K239="Incluido en otra partida"),AND(LEN(TRIM('DATOS'!L239&amp;""))&gt;0,TRIM('DATOS'!L239&amp;"")&lt;&gt;"Pendiente",TRIM('DATOS'!L239&amp;"")&lt;&gt;"Por confirmar",TRIM('DATOS'!L239&amp;"")&lt;&gt;"No consta",TRIM('DATOS'!L239&amp;"")&lt;&gt;"Desconocido",TRIM('DATOS'!L239&amp;"")&lt;&gt;"Sin confirmar",TRIM('DATOS'!L239&amp;"")&lt;&gt;"Por decidir",TRIM('DATOS'!L239&amp;"")&lt;&gt;"Por comprobar")),0,1),0))))),2)</f>
      </c>
      <c r="R239" s="29">
        <f>IFERROR(IF(N239=0,"",IF(OR(NOT(AND(LEN(TRIM('DATOS'!D239&amp;""))&gt;0,TRIM('DATOS'!D239&amp;"")&lt;&gt;"Pendiente",TRIM('DATOS'!D239&amp;"")&lt;&gt;"Por confirmar",TRIM('DATOS'!D239&amp;"")&lt;&gt;"No consta",TRIM('DATOS'!D239&amp;"")&lt;&gt;"Desconocido",TRIM('DATOS'!D239&amp;"")&lt;&gt;"Sin confirmar",TRIM('DATOS'!D239&amp;"")&lt;&gt;"Por decidir",TRIM('DATOS'!D239&amp;"")&lt;&gt;"Por comprobar")),NOT(AND(LEN(TRIM('DATOS'!E239&amp;""))&gt;0,TRIM('DATOS'!E239&amp;"")&lt;&gt;"Pendiente",TRIM('DATOS'!E239&amp;"")&lt;&gt;"Por confirmar",TRIM('DATOS'!E239&amp;"")&lt;&gt;"No consta",TRIM('DATOS'!E239&amp;"")&lt;&gt;"Desconocido",TRIM('DATOS'!E239&amp;"")&lt;&gt;"Sin confirmar",TRIM('DATOS'!E239&amp;"")&lt;&gt;"Por decidir",TRIM('DATOS'!E239&amp;"")&lt;&gt;"Por comprobar"))),2,IF('DATOS'!M239="No",2,IF('DATOS'!M239="Sí",0,IF(OR('DATOS'!D239&lt;&gt;'DATOS'!E239,LEN('DATOS'!E239)&gt;300,RIGHT(TRIM('DATOS'!E239),3)="...",RIGHT(TRIM('DATOS'!E239),1)="…"),1,0))))),2)</f>
      </c>
      <c r="S239" s="29">
        <f>IFERROR(IF(N239=0,"",IF('REFERENCIAS'!$Q$8&lt;&gt;1,2,IF(NOT(Y239=1),1,IF(OR(ABS('DATOS'!G239-ROUND('DATOS'!G239,'REFERENCIAS'!$E$8))&gt;0.00000001,ABS('DATOS'!H239-ROUND('DATOS'!H239,'REFERENCIAS'!$H$8))&gt;0.00000001,ABS('DATOS'!J239-ROUND('DATOS'!J239,'REFERENCIAS'!$K$8))&gt;0.00000001,IF(ISNUMBER('DATOS'!I239),ABS('DATOS'!I239-ROUND('DATOS'!I239,'REFERENCIAS'!$H$8))&gt;0.00000001,FALSE)),1,0)))),2)</f>
      </c>
      <c r="T239" s="29">
        <f>IFERROR(IF(N239=0,"",IF(NOT(AND(LEN(TRIM('DATOS'!F239&amp;""))&gt;0,TRIM('DATOS'!F239&amp;"")&lt;&gt;"Pendiente",TRIM('DATOS'!F239&amp;"")&lt;&gt;"Por confirmar",TRIM('DATOS'!F239&amp;"")&lt;&gt;"No consta",TRIM('DATOS'!F239&amp;"")&lt;&gt;"Desconocido",TRIM('DATOS'!F239&amp;"")&lt;&gt;"Sin confirmar",TRIM('DATOS'!F239&amp;"")&lt;&gt;"Por decidir",TRIM('DATOS'!F239&amp;"")&lt;&gt;"Por comprobar")),2,IF(COUNTIFS('REFERENCIAS'!$T$15:$T$34,"ID:"&amp;SUBSTITUTE(SUBSTITUTE(SUBSTITUTE(SUBSTITUTE(UPPER(TRIM('DATOS'!F239&amp;"")),"!","!E"),"*","!A"),"?","!B"),"~","!C"),'REFERENCIAS'!$H$15:$H$34,"&lt;&gt;")&gt;0,0,1))),2)</f>
      </c>
      <c r="U239" s="29" t="str">
        <f>'DATOS'!R239</f>
        <v>ID:</v>
      </c>
      <c r="V239" s="29" t="str">
        <f>'DATOS'!S239</f>
        <v>ID:</v>
      </c>
      <c r="W239" s="29" t="n">
        <f>IF(N239=0,0,COUNTIFS('REFERENCIAS'!$R$15:$R$64,U239))</f>
        <v>0</v>
      </c>
      <c r="X239" s="29" t="n">
        <f>IF(N239=0,0,COUNTIFS('DATOS'!$R$10:$R$509,U239,'DATOS'!$S$10:$S$509,V239))</f>
        <v>0</v>
      </c>
      <c r="Y239" s="29" t="n">
        <f>IF(AND(ISNUMBER('DATOS'!G239),ISNUMBER('DATOS'!H239),ISNUMBER('DATOS'!J239)),1,0)</f>
        <v>0</v>
      </c>
    </row>
    <row r="240" ht="64" customHeight="1">
      <c r="B240" s="26">
        <f>IF(N240=1,231,"")</f>
      </c>
      <c r="C240" s="26">
        <f>IF(AND(N240=1,LEN(TRIM('DATOS'!B240&amp;""))&gt;0),'DATOS'!B240,"")</f>
      </c>
      <c r="D240" s="26">
        <f>IF(AND(N240=1,LEN(TRIM('DATOS'!C240&amp;""))&gt;0),'DATOS'!C240,"")</f>
      </c>
      <c r="E240" s="26">
        <f>IF(NOT(ISNUMBER(P240)),"",IF(P240=2,"ROJO",IF(P240=1,"ÁMBAR","VERDE")))</f>
      </c>
      <c r="F240" s="26">
        <f>IF(NOT(ISNUMBER(Q240)),"",IF(Q240=2,"ROJO",IF(Q240=1,"ÁMBAR","VERDE")))</f>
      </c>
      <c r="G240" s="26">
        <f>IF(NOT(ISNUMBER(R240)),"",IF(R240=2,"ROJO",IF(R240=1,"ÁMBAR","VERDE")))</f>
      </c>
      <c r="H240" s="26">
        <f>IF(NOT(ISNUMBER(S240)),"",IF(S240=2,"ROJO",IF(S240=1,"ÁMBAR","VERDE")))</f>
      </c>
      <c r="I240" s="26">
        <f>IF(NOT(ISNUMBER(T240)),"",IF(T240=2,"ROJO",IF(T240=1,"ÁMBAR","VERDE")))</f>
      </c>
      <c r="J240" s="26">
        <f>IF(NOT(ISNUMBER(O240)),"",IF(O240=2,"ROJO",IF(O240=1,"ÁMBAR","VERDE")))</f>
      </c>
      <c r="K240" s="26">
        <f>IFERROR(IF(AND(N240=1,LEN(TRIM('DATOS'!N240&amp;""))&gt;0),'DATOS'!N240,""),"Hay una entrada con error. Corregimos el dato antes de cerrar la comprobación.")</f>
      </c>
      <c r="L240" s="26">
        <f>IFERROR(IF(N240=0,"",IF(O240&gt;0,"Completamos datos, claves o motivo. ","")&amp;IF(P240&gt;0,"Cotejamos precios e importe. ","")&amp;IF(Q240&gt;0,"Aclaramos el cero. ","")&amp;IF(R240&gt;0,"Comprobamos el texto. ","")&amp;IF(S240&gt;0,"Revisamos decimales visibles. ","")&amp;IF(T240&gt;0,"Confirmamos la unidad.","")),"Hay una entrada con error. Corregimos el dato antes de cerrar la comprobación.")</f>
      </c>
      <c r="N240" s="29" t="n">
        <f>IF(COUNTA('DATOS'!B240:O240)&gt;0,1,0)</f>
        <v>0</v>
      </c>
      <c r="O240" s="29">
        <f>IFERROR(IF(N240=0,"",IF(OR(NOT(AND(LEN(TRIM('DATOS'!B240&amp;""))&gt;0,TRIM('DATOS'!B240&amp;"")&lt;&gt;"Pendiente",TRIM('DATOS'!B240&amp;"")&lt;&gt;"Por confirmar",TRIM('DATOS'!B240&amp;"")&lt;&gt;"No consta",TRIM('DATOS'!B240&amp;"")&lt;&gt;"Desconocido",TRIM('DATOS'!B240&amp;"")&lt;&gt;"Sin confirmar",TRIM('DATOS'!B240&amp;"")&lt;&gt;"Por decidir",TRIM('DATOS'!B240&amp;"")&lt;&gt;"Por comprobar")),NOT(AND(LEN(TRIM('DATOS'!C240&amp;""))&gt;0,TRIM('DATOS'!C240&amp;"")&lt;&gt;"Pendiente",TRIM('DATOS'!C240&amp;"")&lt;&gt;"Por confirmar",TRIM('DATOS'!C240&amp;"")&lt;&gt;"No consta",TRIM('DATOS'!C240&amp;"")&lt;&gt;"Desconocido",TRIM('DATOS'!C240&amp;"")&lt;&gt;"Sin confirmar",TRIM('DATOS'!C240&amp;"")&lt;&gt;"Por decidir",TRIM('DATOS'!C240&amp;"")&lt;&gt;"Por comprobar")),NOT(AND(LEN(TRIM('DATOS'!D240&amp;""))&gt;0,TRIM('DATOS'!D240&amp;"")&lt;&gt;"Pendiente",TRIM('DATOS'!D240&amp;"")&lt;&gt;"Por confirmar",TRIM('DATOS'!D240&amp;"")&lt;&gt;"No consta",TRIM('DATOS'!D240&amp;"")&lt;&gt;"Desconocido",TRIM('DATOS'!D240&amp;"")&lt;&gt;"Sin confirmar",TRIM('DATOS'!D240&amp;"")&lt;&gt;"Por decidir",TRIM('DATOS'!D240&amp;"")&lt;&gt;"Por comprobar")),NOT(AND(LEN(TRIM('DATOS'!E240&amp;""))&gt;0,TRIM('DATOS'!E240&amp;"")&lt;&gt;"Pendiente",TRIM('DATOS'!E240&amp;"")&lt;&gt;"Por confirmar",TRIM('DATOS'!E240&amp;"")&lt;&gt;"No consta",TRIM('DATOS'!E240&amp;"")&lt;&gt;"Desconocido",TRIM('DATOS'!E240&amp;"")&lt;&gt;"Sin confirmar",TRIM('DATOS'!E240&amp;"")&lt;&gt;"Por decidir",TRIM('DATOS'!E240&amp;"")&lt;&gt;"Por comprobar")),NOT(AND(LEN(TRIM('DATOS'!F240&amp;""))&gt;0,TRIM('DATOS'!F240&amp;"")&lt;&gt;"Pendiente",TRIM('DATOS'!F240&amp;"")&lt;&gt;"Por confirmar",TRIM('DATOS'!F240&amp;"")&lt;&gt;"No consta",TRIM('DATOS'!F240&amp;"")&lt;&gt;"Desconocido",TRIM('DATOS'!F240&amp;"")&lt;&gt;"Sin confirmar",TRIM('DATOS'!F240&amp;"")&lt;&gt;"Por decidir",TRIM('DATOS'!F240&amp;"")&lt;&gt;"Por comprobar")),NOT(AND(LEN(TRIM('DATOS'!N240&amp;""))&gt;0,TRIM('DATOS'!N240&amp;"")&lt;&gt;"Pendiente",TRIM('DATOS'!N240&amp;"")&lt;&gt;"Por confirmar",TRIM('DATOS'!N240&amp;"")&lt;&gt;"No consta",TRIM('DATOS'!N240&amp;"")&lt;&gt;"Desconocido",TRIM('DATOS'!N240&amp;"")&lt;&gt;"Sin confirmar",TRIM('DATOS'!N240&amp;"")&lt;&gt;"Por decidir",TRIM('DATOS'!N240&amp;"")&lt;&gt;"Por comprobar")),NOT(Y240=1),W240&lt;&gt;1,X240&gt;1,NOT(OR(LEN(TRIM('DATOS'!K240&amp;""))=0,'DATOS'!K240="Sin valorar",'DATOS'!K240="Sin coste documentado",'DATOS'!K240="Incluido en otra partida",'DATOS'!K240="Por confirmar")),NOT(OR(LEN(TRIM('DATOS'!M240&amp;""))=0,'DATOS'!M240="Sí",'DATOS'!M240="No",'DATOS'!M240="Por confirmar")),NOT(OR(LEN(TRIM('DATOS'!O240&amp;""))=0,'DATOS'!O240="Comparamos",'DATOS'!O240="No existe",'DATOS'!O240="Por confirmar"))),2,IF(AND(OR('DATOS'!G240&lt;0,'DATOS'!H240&lt;0,'DATOS'!J240&lt;0),NOT(AND(LEN(TRIM('DATOS'!L240&amp;""))&gt;0,TRIM('DATOS'!L240&amp;"")&lt;&gt;"Pendiente",TRIM('DATOS'!L240&amp;"")&lt;&gt;"Por confirmar",TRIM('DATOS'!L240&amp;"")&lt;&gt;"No consta",TRIM('DATOS'!L240&amp;"")&lt;&gt;"Desconocido",TRIM('DATOS'!L240&amp;"")&lt;&gt;"Sin confirmar",TRIM('DATOS'!L240&amp;"")&lt;&gt;"Por decidir",TRIM('DATOS'!L240&amp;"")&lt;&gt;"Por comprobar"))),1,0))),2)</f>
      </c>
      <c r="P240" s="29">
        <f>IFERROR(IF(N240=0,"",IF(NOT(Y240=1),1,IF('REFERENCIAS'!$Q$8&lt;&gt;1,2,IF(ABS('DATOS'!J240-ROUND('DATOS'!G240*'DATOS'!H240,'REFERENCIAS'!$K$8))&gt;0.00000001,2,IF('DATOS'!O240="No existe",IF(LEN(TRIM('DATOS'!I240&amp;""))=0,0,2),IF('DATOS'!O240="Comparamos",IF(LEN(TRIM('DATOS'!I240&amp;""))=0,1,IF(ISNUMBER('DATOS'!I240),IF(ABS('DATOS'!H240-'DATOS'!I240)&gt;0.00000001,2,0),2)),1)))))),2)</f>
      </c>
      <c r="Q240" s="29">
        <f>IFERROR(IF(N240=0,"",IF(NOT(Y240=1),1,IF('DATOS'!K240="Sin valorar",2,IF('DATOS'!G240=0,1,IF(OR('DATOS'!H240=0,'DATOS'!J240=0),IF(AND(OR('DATOS'!K240="Sin coste documentado",'DATOS'!K240="Incluido en otra partida"),AND(LEN(TRIM('DATOS'!L240&amp;""))&gt;0,TRIM('DATOS'!L240&amp;"")&lt;&gt;"Pendiente",TRIM('DATOS'!L240&amp;"")&lt;&gt;"Por confirmar",TRIM('DATOS'!L240&amp;"")&lt;&gt;"No consta",TRIM('DATOS'!L240&amp;"")&lt;&gt;"Desconocido",TRIM('DATOS'!L240&amp;"")&lt;&gt;"Sin confirmar",TRIM('DATOS'!L240&amp;"")&lt;&gt;"Por decidir",TRIM('DATOS'!L240&amp;"")&lt;&gt;"Por comprobar")),0,1),0))))),2)</f>
      </c>
      <c r="R240" s="29">
        <f>IFERROR(IF(N240=0,"",IF(OR(NOT(AND(LEN(TRIM('DATOS'!D240&amp;""))&gt;0,TRIM('DATOS'!D240&amp;"")&lt;&gt;"Pendiente",TRIM('DATOS'!D240&amp;"")&lt;&gt;"Por confirmar",TRIM('DATOS'!D240&amp;"")&lt;&gt;"No consta",TRIM('DATOS'!D240&amp;"")&lt;&gt;"Desconocido",TRIM('DATOS'!D240&amp;"")&lt;&gt;"Sin confirmar",TRIM('DATOS'!D240&amp;"")&lt;&gt;"Por decidir",TRIM('DATOS'!D240&amp;"")&lt;&gt;"Por comprobar")),NOT(AND(LEN(TRIM('DATOS'!E240&amp;""))&gt;0,TRIM('DATOS'!E240&amp;"")&lt;&gt;"Pendiente",TRIM('DATOS'!E240&amp;"")&lt;&gt;"Por confirmar",TRIM('DATOS'!E240&amp;"")&lt;&gt;"No consta",TRIM('DATOS'!E240&amp;"")&lt;&gt;"Desconocido",TRIM('DATOS'!E240&amp;"")&lt;&gt;"Sin confirmar",TRIM('DATOS'!E240&amp;"")&lt;&gt;"Por decidir",TRIM('DATOS'!E240&amp;"")&lt;&gt;"Por comprobar"))),2,IF('DATOS'!M240="No",2,IF('DATOS'!M240="Sí",0,IF(OR('DATOS'!D240&lt;&gt;'DATOS'!E240,LEN('DATOS'!E240)&gt;300,RIGHT(TRIM('DATOS'!E240),3)="...",RIGHT(TRIM('DATOS'!E240),1)="…"),1,0))))),2)</f>
      </c>
      <c r="S240" s="29">
        <f>IFERROR(IF(N240=0,"",IF('REFERENCIAS'!$Q$8&lt;&gt;1,2,IF(NOT(Y240=1),1,IF(OR(ABS('DATOS'!G240-ROUND('DATOS'!G240,'REFERENCIAS'!$E$8))&gt;0.00000001,ABS('DATOS'!H240-ROUND('DATOS'!H240,'REFERENCIAS'!$H$8))&gt;0.00000001,ABS('DATOS'!J240-ROUND('DATOS'!J240,'REFERENCIAS'!$K$8))&gt;0.00000001,IF(ISNUMBER('DATOS'!I240),ABS('DATOS'!I240-ROUND('DATOS'!I240,'REFERENCIAS'!$H$8))&gt;0.00000001,FALSE)),1,0)))),2)</f>
      </c>
      <c r="T240" s="29">
        <f>IFERROR(IF(N240=0,"",IF(NOT(AND(LEN(TRIM('DATOS'!F240&amp;""))&gt;0,TRIM('DATOS'!F240&amp;"")&lt;&gt;"Pendiente",TRIM('DATOS'!F240&amp;"")&lt;&gt;"Por confirmar",TRIM('DATOS'!F240&amp;"")&lt;&gt;"No consta",TRIM('DATOS'!F240&amp;"")&lt;&gt;"Desconocido",TRIM('DATOS'!F240&amp;"")&lt;&gt;"Sin confirmar",TRIM('DATOS'!F240&amp;"")&lt;&gt;"Por decidir",TRIM('DATOS'!F240&amp;"")&lt;&gt;"Por comprobar")),2,IF(COUNTIFS('REFERENCIAS'!$T$15:$T$34,"ID:"&amp;SUBSTITUTE(SUBSTITUTE(SUBSTITUTE(SUBSTITUTE(UPPER(TRIM('DATOS'!F240&amp;"")),"!","!E"),"*","!A"),"?","!B"),"~","!C"),'REFERENCIAS'!$H$15:$H$34,"&lt;&gt;")&gt;0,0,1))),2)</f>
      </c>
      <c r="U240" s="29" t="str">
        <f>'DATOS'!R240</f>
        <v>ID:</v>
      </c>
      <c r="V240" s="29" t="str">
        <f>'DATOS'!S240</f>
        <v>ID:</v>
      </c>
      <c r="W240" s="29" t="n">
        <f>IF(N240=0,0,COUNTIFS('REFERENCIAS'!$R$15:$R$64,U240))</f>
        <v>0</v>
      </c>
      <c r="X240" s="29" t="n">
        <f>IF(N240=0,0,COUNTIFS('DATOS'!$R$10:$R$509,U240,'DATOS'!$S$10:$S$509,V240))</f>
        <v>0</v>
      </c>
      <c r="Y240" s="29" t="n">
        <f>IF(AND(ISNUMBER('DATOS'!G240),ISNUMBER('DATOS'!H240),ISNUMBER('DATOS'!J240)),1,0)</f>
        <v>0</v>
      </c>
    </row>
    <row r="241" ht="64" customHeight="1">
      <c r="B241" s="26">
        <f>IF(N241=1,232,"")</f>
      </c>
      <c r="C241" s="26">
        <f>IF(AND(N241=1,LEN(TRIM('DATOS'!B241&amp;""))&gt;0),'DATOS'!B241,"")</f>
      </c>
      <c r="D241" s="26">
        <f>IF(AND(N241=1,LEN(TRIM('DATOS'!C241&amp;""))&gt;0),'DATOS'!C241,"")</f>
      </c>
      <c r="E241" s="26">
        <f>IF(NOT(ISNUMBER(P241)),"",IF(P241=2,"ROJO",IF(P241=1,"ÁMBAR","VERDE")))</f>
      </c>
      <c r="F241" s="26">
        <f>IF(NOT(ISNUMBER(Q241)),"",IF(Q241=2,"ROJO",IF(Q241=1,"ÁMBAR","VERDE")))</f>
      </c>
      <c r="G241" s="26">
        <f>IF(NOT(ISNUMBER(R241)),"",IF(R241=2,"ROJO",IF(R241=1,"ÁMBAR","VERDE")))</f>
      </c>
      <c r="H241" s="26">
        <f>IF(NOT(ISNUMBER(S241)),"",IF(S241=2,"ROJO",IF(S241=1,"ÁMBAR","VERDE")))</f>
      </c>
      <c r="I241" s="26">
        <f>IF(NOT(ISNUMBER(T241)),"",IF(T241=2,"ROJO",IF(T241=1,"ÁMBAR","VERDE")))</f>
      </c>
      <c r="J241" s="26">
        <f>IF(NOT(ISNUMBER(O241)),"",IF(O241=2,"ROJO",IF(O241=1,"ÁMBAR","VERDE")))</f>
      </c>
      <c r="K241" s="26">
        <f>IFERROR(IF(AND(N241=1,LEN(TRIM('DATOS'!N241&amp;""))&gt;0),'DATOS'!N241,""),"Hay una entrada con error. Corregimos el dato antes de cerrar la comprobación.")</f>
      </c>
      <c r="L241" s="26">
        <f>IFERROR(IF(N241=0,"",IF(O241&gt;0,"Completamos datos, claves o motivo. ","")&amp;IF(P241&gt;0,"Cotejamos precios e importe. ","")&amp;IF(Q241&gt;0,"Aclaramos el cero. ","")&amp;IF(R241&gt;0,"Comprobamos el texto. ","")&amp;IF(S241&gt;0,"Revisamos decimales visibles. ","")&amp;IF(T241&gt;0,"Confirmamos la unidad.","")),"Hay una entrada con error. Corregimos el dato antes de cerrar la comprobación.")</f>
      </c>
      <c r="N241" s="29" t="n">
        <f>IF(COUNTA('DATOS'!B241:O241)&gt;0,1,0)</f>
        <v>0</v>
      </c>
      <c r="O241" s="29">
        <f>IFERROR(IF(N241=0,"",IF(OR(NOT(AND(LEN(TRIM('DATOS'!B241&amp;""))&gt;0,TRIM('DATOS'!B241&amp;"")&lt;&gt;"Pendiente",TRIM('DATOS'!B241&amp;"")&lt;&gt;"Por confirmar",TRIM('DATOS'!B241&amp;"")&lt;&gt;"No consta",TRIM('DATOS'!B241&amp;"")&lt;&gt;"Desconocido",TRIM('DATOS'!B241&amp;"")&lt;&gt;"Sin confirmar",TRIM('DATOS'!B241&amp;"")&lt;&gt;"Por decidir",TRIM('DATOS'!B241&amp;"")&lt;&gt;"Por comprobar")),NOT(AND(LEN(TRIM('DATOS'!C241&amp;""))&gt;0,TRIM('DATOS'!C241&amp;"")&lt;&gt;"Pendiente",TRIM('DATOS'!C241&amp;"")&lt;&gt;"Por confirmar",TRIM('DATOS'!C241&amp;"")&lt;&gt;"No consta",TRIM('DATOS'!C241&amp;"")&lt;&gt;"Desconocido",TRIM('DATOS'!C241&amp;"")&lt;&gt;"Sin confirmar",TRIM('DATOS'!C241&amp;"")&lt;&gt;"Por decidir",TRIM('DATOS'!C241&amp;"")&lt;&gt;"Por comprobar")),NOT(AND(LEN(TRIM('DATOS'!D241&amp;""))&gt;0,TRIM('DATOS'!D241&amp;"")&lt;&gt;"Pendiente",TRIM('DATOS'!D241&amp;"")&lt;&gt;"Por confirmar",TRIM('DATOS'!D241&amp;"")&lt;&gt;"No consta",TRIM('DATOS'!D241&amp;"")&lt;&gt;"Desconocido",TRIM('DATOS'!D241&amp;"")&lt;&gt;"Sin confirmar",TRIM('DATOS'!D241&amp;"")&lt;&gt;"Por decidir",TRIM('DATOS'!D241&amp;"")&lt;&gt;"Por comprobar")),NOT(AND(LEN(TRIM('DATOS'!E241&amp;""))&gt;0,TRIM('DATOS'!E241&amp;"")&lt;&gt;"Pendiente",TRIM('DATOS'!E241&amp;"")&lt;&gt;"Por confirmar",TRIM('DATOS'!E241&amp;"")&lt;&gt;"No consta",TRIM('DATOS'!E241&amp;"")&lt;&gt;"Desconocido",TRIM('DATOS'!E241&amp;"")&lt;&gt;"Sin confirmar",TRIM('DATOS'!E241&amp;"")&lt;&gt;"Por decidir",TRIM('DATOS'!E241&amp;"")&lt;&gt;"Por comprobar")),NOT(AND(LEN(TRIM('DATOS'!F241&amp;""))&gt;0,TRIM('DATOS'!F241&amp;"")&lt;&gt;"Pendiente",TRIM('DATOS'!F241&amp;"")&lt;&gt;"Por confirmar",TRIM('DATOS'!F241&amp;"")&lt;&gt;"No consta",TRIM('DATOS'!F241&amp;"")&lt;&gt;"Desconocido",TRIM('DATOS'!F241&amp;"")&lt;&gt;"Sin confirmar",TRIM('DATOS'!F241&amp;"")&lt;&gt;"Por decidir",TRIM('DATOS'!F241&amp;"")&lt;&gt;"Por comprobar")),NOT(AND(LEN(TRIM('DATOS'!N241&amp;""))&gt;0,TRIM('DATOS'!N241&amp;"")&lt;&gt;"Pendiente",TRIM('DATOS'!N241&amp;"")&lt;&gt;"Por confirmar",TRIM('DATOS'!N241&amp;"")&lt;&gt;"No consta",TRIM('DATOS'!N241&amp;"")&lt;&gt;"Desconocido",TRIM('DATOS'!N241&amp;"")&lt;&gt;"Sin confirmar",TRIM('DATOS'!N241&amp;"")&lt;&gt;"Por decidir",TRIM('DATOS'!N241&amp;"")&lt;&gt;"Por comprobar")),NOT(Y241=1),W241&lt;&gt;1,X241&gt;1,NOT(OR(LEN(TRIM('DATOS'!K241&amp;""))=0,'DATOS'!K241="Sin valorar",'DATOS'!K241="Sin coste documentado",'DATOS'!K241="Incluido en otra partida",'DATOS'!K241="Por confirmar")),NOT(OR(LEN(TRIM('DATOS'!M241&amp;""))=0,'DATOS'!M241="Sí",'DATOS'!M241="No",'DATOS'!M241="Por confirmar")),NOT(OR(LEN(TRIM('DATOS'!O241&amp;""))=0,'DATOS'!O241="Comparamos",'DATOS'!O241="No existe",'DATOS'!O241="Por confirmar"))),2,IF(AND(OR('DATOS'!G241&lt;0,'DATOS'!H241&lt;0,'DATOS'!J241&lt;0),NOT(AND(LEN(TRIM('DATOS'!L241&amp;""))&gt;0,TRIM('DATOS'!L241&amp;"")&lt;&gt;"Pendiente",TRIM('DATOS'!L241&amp;"")&lt;&gt;"Por confirmar",TRIM('DATOS'!L241&amp;"")&lt;&gt;"No consta",TRIM('DATOS'!L241&amp;"")&lt;&gt;"Desconocido",TRIM('DATOS'!L241&amp;"")&lt;&gt;"Sin confirmar",TRIM('DATOS'!L241&amp;"")&lt;&gt;"Por decidir",TRIM('DATOS'!L241&amp;"")&lt;&gt;"Por comprobar"))),1,0))),2)</f>
      </c>
      <c r="P241" s="29">
        <f>IFERROR(IF(N241=0,"",IF(NOT(Y241=1),1,IF('REFERENCIAS'!$Q$8&lt;&gt;1,2,IF(ABS('DATOS'!J241-ROUND('DATOS'!G241*'DATOS'!H241,'REFERENCIAS'!$K$8))&gt;0.00000001,2,IF('DATOS'!O241="No existe",IF(LEN(TRIM('DATOS'!I241&amp;""))=0,0,2),IF('DATOS'!O241="Comparamos",IF(LEN(TRIM('DATOS'!I241&amp;""))=0,1,IF(ISNUMBER('DATOS'!I241),IF(ABS('DATOS'!H241-'DATOS'!I241)&gt;0.00000001,2,0),2)),1)))))),2)</f>
      </c>
      <c r="Q241" s="29">
        <f>IFERROR(IF(N241=0,"",IF(NOT(Y241=1),1,IF('DATOS'!K241="Sin valorar",2,IF('DATOS'!G241=0,1,IF(OR('DATOS'!H241=0,'DATOS'!J241=0),IF(AND(OR('DATOS'!K241="Sin coste documentado",'DATOS'!K241="Incluido en otra partida"),AND(LEN(TRIM('DATOS'!L241&amp;""))&gt;0,TRIM('DATOS'!L241&amp;"")&lt;&gt;"Pendiente",TRIM('DATOS'!L241&amp;"")&lt;&gt;"Por confirmar",TRIM('DATOS'!L241&amp;"")&lt;&gt;"No consta",TRIM('DATOS'!L241&amp;"")&lt;&gt;"Desconocido",TRIM('DATOS'!L241&amp;"")&lt;&gt;"Sin confirmar",TRIM('DATOS'!L241&amp;"")&lt;&gt;"Por decidir",TRIM('DATOS'!L241&amp;"")&lt;&gt;"Por comprobar")),0,1),0))))),2)</f>
      </c>
      <c r="R241" s="29">
        <f>IFERROR(IF(N241=0,"",IF(OR(NOT(AND(LEN(TRIM('DATOS'!D241&amp;""))&gt;0,TRIM('DATOS'!D241&amp;"")&lt;&gt;"Pendiente",TRIM('DATOS'!D241&amp;"")&lt;&gt;"Por confirmar",TRIM('DATOS'!D241&amp;"")&lt;&gt;"No consta",TRIM('DATOS'!D241&amp;"")&lt;&gt;"Desconocido",TRIM('DATOS'!D241&amp;"")&lt;&gt;"Sin confirmar",TRIM('DATOS'!D241&amp;"")&lt;&gt;"Por decidir",TRIM('DATOS'!D241&amp;"")&lt;&gt;"Por comprobar")),NOT(AND(LEN(TRIM('DATOS'!E241&amp;""))&gt;0,TRIM('DATOS'!E241&amp;"")&lt;&gt;"Pendiente",TRIM('DATOS'!E241&amp;"")&lt;&gt;"Por confirmar",TRIM('DATOS'!E241&amp;"")&lt;&gt;"No consta",TRIM('DATOS'!E241&amp;"")&lt;&gt;"Desconocido",TRIM('DATOS'!E241&amp;"")&lt;&gt;"Sin confirmar",TRIM('DATOS'!E241&amp;"")&lt;&gt;"Por decidir",TRIM('DATOS'!E241&amp;"")&lt;&gt;"Por comprobar"))),2,IF('DATOS'!M241="No",2,IF('DATOS'!M241="Sí",0,IF(OR('DATOS'!D241&lt;&gt;'DATOS'!E241,LEN('DATOS'!E241)&gt;300,RIGHT(TRIM('DATOS'!E241),3)="...",RIGHT(TRIM('DATOS'!E241),1)="…"),1,0))))),2)</f>
      </c>
      <c r="S241" s="29">
        <f>IFERROR(IF(N241=0,"",IF('REFERENCIAS'!$Q$8&lt;&gt;1,2,IF(NOT(Y241=1),1,IF(OR(ABS('DATOS'!G241-ROUND('DATOS'!G241,'REFERENCIAS'!$E$8))&gt;0.00000001,ABS('DATOS'!H241-ROUND('DATOS'!H241,'REFERENCIAS'!$H$8))&gt;0.00000001,ABS('DATOS'!J241-ROUND('DATOS'!J241,'REFERENCIAS'!$K$8))&gt;0.00000001,IF(ISNUMBER('DATOS'!I241),ABS('DATOS'!I241-ROUND('DATOS'!I241,'REFERENCIAS'!$H$8))&gt;0.00000001,FALSE)),1,0)))),2)</f>
      </c>
      <c r="T241" s="29">
        <f>IFERROR(IF(N241=0,"",IF(NOT(AND(LEN(TRIM('DATOS'!F241&amp;""))&gt;0,TRIM('DATOS'!F241&amp;"")&lt;&gt;"Pendiente",TRIM('DATOS'!F241&amp;"")&lt;&gt;"Por confirmar",TRIM('DATOS'!F241&amp;"")&lt;&gt;"No consta",TRIM('DATOS'!F241&amp;"")&lt;&gt;"Desconocido",TRIM('DATOS'!F241&amp;"")&lt;&gt;"Sin confirmar",TRIM('DATOS'!F241&amp;"")&lt;&gt;"Por decidir",TRIM('DATOS'!F241&amp;"")&lt;&gt;"Por comprobar")),2,IF(COUNTIFS('REFERENCIAS'!$T$15:$T$34,"ID:"&amp;SUBSTITUTE(SUBSTITUTE(SUBSTITUTE(SUBSTITUTE(UPPER(TRIM('DATOS'!F241&amp;"")),"!","!E"),"*","!A"),"?","!B"),"~","!C"),'REFERENCIAS'!$H$15:$H$34,"&lt;&gt;")&gt;0,0,1))),2)</f>
      </c>
      <c r="U241" s="29" t="str">
        <f>'DATOS'!R241</f>
        <v>ID:</v>
      </c>
      <c r="V241" s="29" t="str">
        <f>'DATOS'!S241</f>
        <v>ID:</v>
      </c>
      <c r="W241" s="29" t="n">
        <f>IF(N241=0,0,COUNTIFS('REFERENCIAS'!$R$15:$R$64,U241))</f>
        <v>0</v>
      </c>
      <c r="X241" s="29" t="n">
        <f>IF(N241=0,0,COUNTIFS('DATOS'!$R$10:$R$509,U241,'DATOS'!$S$10:$S$509,V241))</f>
        <v>0</v>
      </c>
      <c r="Y241" s="29" t="n">
        <f>IF(AND(ISNUMBER('DATOS'!G241),ISNUMBER('DATOS'!H241),ISNUMBER('DATOS'!J241)),1,0)</f>
        <v>0</v>
      </c>
    </row>
    <row r="242" ht="64" customHeight="1">
      <c r="B242" s="26">
        <f>IF(N242=1,233,"")</f>
      </c>
      <c r="C242" s="26">
        <f>IF(AND(N242=1,LEN(TRIM('DATOS'!B242&amp;""))&gt;0),'DATOS'!B242,"")</f>
      </c>
      <c r="D242" s="26">
        <f>IF(AND(N242=1,LEN(TRIM('DATOS'!C242&amp;""))&gt;0),'DATOS'!C242,"")</f>
      </c>
      <c r="E242" s="26">
        <f>IF(NOT(ISNUMBER(P242)),"",IF(P242=2,"ROJO",IF(P242=1,"ÁMBAR","VERDE")))</f>
      </c>
      <c r="F242" s="26">
        <f>IF(NOT(ISNUMBER(Q242)),"",IF(Q242=2,"ROJO",IF(Q242=1,"ÁMBAR","VERDE")))</f>
      </c>
      <c r="G242" s="26">
        <f>IF(NOT(ISNUMBER(R242)),"",IF(R242=2,"ROJO",IF(R242=1,"ÁMBAR","VERDE")))</f>
      </c>
      <c r="H242" s="26">
        <f>IF(NOT(ISNUMBER(S242)),"",IF(S242=2,"ROJO",IF(S242=1,"ÁMBAR","VERDE")))</f>
      </c>
      <c r="I242" s="26">
        <f>IF(NOT(ISNUMBER(T242)),"",IF(T242=2,"ROJO",IF(T242=1,"ÁMBAR","VERDE")))</f>
      </c>
      <c r="J242" s="26">
        <f>IF(NOT(ISNUMBER(O242)),"",IF(O242=2,"ROJO",IF(O242=1,"ÁMBAR","VERDE")))</f>
      </c>
      <c r="K242" s="26">
        <f>IFERROR(IF(AND(N242=1,LEN(TRIM('DATOS'!N242&amp;""))&gt;0),'DATOS'!N242,""),"Hay una entrada con error. Corregimos el dato antes de cerrar la comprobación.")</f>
      </c>
      <c r="L242" s="26">
        <f>IFERROR(IF(N242=0,"",IF(O242&gt;0,"Completamos datos, claves o motivo. ","")&amp;IF(P242&gt;0,"Cotejamos precios e importe. ","")&amp;IF(Q242&gt;0,"Aclaramos el cero. ","")&amp;IF(R242&gt;0,"Comprobamos el texto. ","")&amp;IF(S242&gt;0,"Revisamos decimales visibles. ","")&amp;IF(T242&gt;0,"Confirmamos la unidad.","")),"Hay una entrada con error. Corregimos el dato antes de cerrar la comprobación.")</f>
      </c>
      <c r="N242" s="29" t="n">
        <f>IF(COUNTA('DATOS'!B242:O242)&gt;0,1,0)</f>
        <v>0</v>
      </c>
      <c r="O242" s="29">
        <f>IFERROR(IF(N242=0,"",IF(OR(NOT(AND(LEN(TRIM('DATOS'!B242&amp;""))&gt;0,TRIM('DATOS'!B242&amp;"")&lt;&gt;"Pendiente",TRIM('DATOS'!B242&amp;"")&lt;&gt;"Por confirmar",TRIM('DATOS'!B242&amp;"")&lt;&gt;"No consta",TRIM('DATOS'!B242&amp;"")&lt;&gt;"Desconocido",TRIM('DATOS'!B242&amp;"")&lt;&gt;"Sin confirmar",TRIM('DATOS'!B242&amp;"")&lt;&gt;"Por decidir",TRIM('DATOS'!B242&amp;"")&lt;&gt;"Por comprobar")),NOT(AND(LEN(TRIM('DATOS'!C242&amp;""))&gt;0,TRIM('DATOS'!C242&amp;"")&lt;&gt;"Pendiente",TRIM('DATOS'!C242&amp;"")&lt;&gt;"Por confirmar",TRIM('DATOS'!C242&amp;"")&lt;&gt;"No consta",TRIM('DATOS'!C242&amp;"")&lt;&gt;"Desconocido",TRIM('DATOS'!C242&amp;"")&lt;&gt;"Sin confirmar",TRIM('DATOS'!C242&amp;"")&lt;&gt;"Por decidir",TRIM('DATOS'!C242&amp;"")&lt;&gt;"Por comprobar")),NOT(AND(LEN(TRIM('DATOS'!D242&amp;""))&gt;0,TRIM('DATOS'!D242&amp;"")&lt;&gt;"Pendiente",TRIM('DATOS'!D242&amp;"")&lt;&gt;"Por confirmar",TRIM('DATOS'!D242&amp;"")&lt;&gt;"No consta",TRIM('DATOS'!D242&amp;"")&lt;&gt;"Desconocido",TRIM('DATOS'!D242&amp;"")&lt;&gt;"Sin confirmar",TRIM('DATOS'!D242&amp;"")&lt;&gt;"Por decidir",TRIM('DATOS'!D242&amp;"")&lt;&gt;"Por comprobar")),NOT(AND(LEN(TRIM('DATOS'!E242&amp;""))&gt;0,TRIM('DATOS'!E242&amp;"")&lt;&gt;"Pendiente",TRIM('DATOS'!E242&amp;"")&lt;&gt;"Por confirmar",TRIM('DATOS'!E242&amp;"")&lt;&gt;"No consta",TRIM('DATOS'!E242&amp;"")&lt;&gt;"Desconocido",TRIM('DATOS'!E242&amp;"")&lt;&gt;"Sin confirmar",TRIM('DATOS'!E242&amp;"")&lt;&gt;"Por decidir",TRIM('DATOS'!E242&amp;"")&lt;&gt;"Por comprobar")),NOT(AND(LEN(TRIM('DATOS'!F242&amp;""))&gt;0,TRIM('DATOS'!F242&amp;"")&lt;&gt;"Pendiente",TRIM('DATOS'!F242&amp;"")&lt;&gt;"Por confirmar",TRIM('DATOS'!F242&amp;"")&lt;&gt;"No consta",TRIM('DATOS'!F242&amp;"")&lt;&gt;"Desconocido",TRIM('DATOS'!F242&amp;"")&lt;&gt;"Sin confirmar",TRIM('DATOS'!F242&amp;"")&lt;&gt;"Por decidir",TRIM('DATOS'!F242&amp;"")&lt;&gt;"Por comprobar")),NOT(AND(LEN(TRIM('DATOS'!N242&amp;""))&gt;0,TRIM('DATOS'!N242&amp;"")&lt;&gt;"Pendiente",TRIM('DATOS'!N242&amp;"")&lt;&gt;"Por confirmar",TRIM('DATOS'!N242&amp;"")&lt;&gt;"No consta",TRIM('DATOS'!N242&amp;"")&lt;&gt;"Desconocido",TRIM('DATOS'!N242&amp;"")&lt;&gt;"Sin confirmar",TRIM('DATOS'!N242&amp;"")&lt;&gt;"Por decidir",TRIM('DATOS'!N242&amp;"")&lt;&gt;"Por comprobar")),NOT(Y242=1),W242&lt;&gt;1,X242&gt;1,NOT(OR(LEN(TRIM('DATOS'!K242&amp;""))=0,'DATOS'!K242="Sin valorar",'DATOS'!K242="Sin coste documentado",'DATOS'!K242="Incluido en otra partida",'DATOS'!K242="Por confirmar")),NOT(OR(LEN(TRIM('DATOS'!M242&amp;""))=0,'DATOS'!M242="Sí",'DATOS'!M242="No",'DATOS'!M242="Por confirmar")),NOT(OR(LEN(TRIM('DATOS'!O242&amp;""))=0,'DATOS'!O242="Comparamos",'DATOS'!O242="No existe",'DATOS'!O242="Por confirmar"))),2,IF(AND(OR('DATOS'!G242&lt;0,'DATOS'!H242&lt;0,'DATOS'!J242&lt;0),NOT(AND(LEN(TRIM('DATOS'!L242&amp;""))&gt;0,TRIM('DATOS'!L242&amp;"")&lt;&gt;"Pendiente",TRIM('DATOS'!L242&amp;"")&lt;&gt;"Por confirmar",TRIM('DATOS'!L242&amp;"")&lt;&gt;"No consta",TRIM('DATOS'!L242&amp;"")&lt;&gt;"Desconocido",TRIM('DATOS'!L242&amp;"")&lt;&gt;"Sin confirmar",TRIM('DATOS'!L242&amp;"")&lt;&gt;"Por decidir",TRIM('DATOS'!L242&amp;"")&lt;&gt;"Por comprobar"))),1,0))),2)</f>
      </c>
      <c r="P242" s="29">
        <f>IFERROR(IF(N242=0,"",IF(NOT(Y242=1),1,IF('REFERENCIAS'!$Q$8&lt;&gt;1,2,IF(ABS('DATOS'!J242-ROUND('DATOS'!G242*'DATOS'!H242,'REFERENCIAS'!$K$8))&gt;0.00000001,2,IF('DATOS'!O242="No existe",IF(LEN(TRIM('DATOS'!I242&amp;""))=0,0,2),IF('DATOS'!O242="Comparamos",IF(LEN(TRIM('DATOS'!I242&amp;""))=0,1,IF(ISNUMBER('DATOS'!I242),IF(ABS('DATOS'!H242-'DATOS'!I242)&gt;0.00000001,2,0),2)),1)))))),2)</f>
      </c>
      <c r="Q242" s="29">
        <f>IFERROR(IF(N242=0,"",IF(NOT(Y242=1),1,IF('DATOS'!K242="Sin valorar",2,IF('DATOS'!G242=0,1,IF(OR('DATOS'!H242=0,'DATOS'!J242=0),IF(AND(OR('DATOS'!K242="Sin coste documentado",'DATOS'!K242="Incluido en otra partida"),AND(LEN(TRIM('DATOS'!L242&amp;""))&gt;0,TRIM('DATOS'!L242&amp;"")&lt;&gt;"Pendiente",TRIM('DATOS'!L242&amp;"")&lt;&gt;"Por confirmar",TRIM('DATOS'!L242&amp;"")&lt;&gt;"No consta",TRIM('DATOS'!L242&amp;"")&lt;&gt;"Desconocido",TRIM('DATOS'!L242&amp;"")&lt;&gt;"Sin confirmar",TRIM('DATOS'!L242&amp;"")&lt;&gt;"Por decidir",TRIM('DATOS'!L242&amp;"")&lt;&gt;"Por comprobar")),0,1),0))))),2)</f>
      </c>
      <c r="R242" s="29">
        <f>IFERROR(IF(N242=0,"",IF(OR(NOT(AND(LEN(TRIM('DATOS'!D242&amp;""))&gt;0,TRIM('DATOS'!D242&amp;"")&lt;&gt;"Pendiente",TRIM('DATOS'!D242&amp;"")&lt;&gt;"Por confirmar",TRIM('DATOS'!D242&amp;"")&lt;&gt;"No consta",TRIM('DATOS'!D242&amp;"")&lt;&gt;"Desconocido",TRIM('DATOS'!D242&amp;"")&lt;&gt;"Sin confirmar",TRIM('DATOS'!D242&amp;"")&lt;&gt;"Por decidir",TRIM('DATOS'!D242&amp;"")&lt;&gt;"Por comprobar")),NOT(AND(LEN(TRIM('DATOS'!E242&amp;""))&gt;0,TRIM('DATOS'!E242&amp;"")&lt;&gt;"Pendiente",TRIM('DATOS'!E242&amp;"")&lt;&gt;"Por confirmar",TRIM('DATOS'!E242&amp;"")&lt;&gt;"No consta",TRIM('DATOS'!E242&amp;"")&lt;&gt;"Desconocido",TRIM('DATOS'!E242&amp;"")&lt;&gt;"Sin confirmar",TRIM('DATOS'!E242&amp;"")&lt;&gt;"Por decidir",TRIM('DATOS'!E242&amp;"")&lt;&gt;"Por comprobar"))),2,IF('DATOS'!M242="No",2,IF('DATOS'!M242="Sí",0,IF(OR('DATOS'!D242&lt;&gt;'DATOS'!E242,LEN('DATOS'!E242)&gt;300,RIGHT(TRIM('DATOS'!E242),3)="...",RIGHT(TRIM('DATOS'!E242),1)="…"),1,0))))),2)</f>
      </c>
      <c r="S242" s="29">
        <f>IFERROR(IF(N242=0,"",IF('REFERENCIAS'!$Q$8&lt;&gt;1,2,IF(NOT(Y242=1),1,IF(OR(ABS('DATOS'!G242-ROUND('DATOS'!G242,'REFERENCIAS'!$E$8))&gt;0.00000001,ABS('DATOS'!H242-ROUND('DATOS'!H242,'REFERENCIAS'!$H$8))&gt;0.00000001,ABS('DATOS'!J242-ROUND('DATOS'!J242,'REFERENCIAS'!$K$8))&gt;0.00000001,IF(ISNUMBER('DATOS'!I242),ABS('DATOS'!I242-ROUND('DATOS'!I242,'REFERENCIAS'!$H$8))&gt;0.00000001,FALSE)),1,0)))),2)</f>
      </c>
      <c r="T242" s="29">
        <f>IFERROR(IF(N242=0,"",IF(NOT(AND(LEN(TRIM('DATOS'!F242&amp;""))&gt;0,TRIM('DATOS'!F242&amp;"")&lt;&gt;"Pendiente",TRIM('DATOS'!F242&amp;"")&lt;&gt;"Por confirmar",TRIM('DATOS'!F242&amp;"")&lt;&gt;"No consta",TRIM('DATOS'!F242&amp;"")&lt;&gt;"Desconocido",TRIM('DATOS'!F242&amp;"")&lt;&gt;"Sin confirmar",TRIM('DATOS'!F242&amp;"")&lt;&gt;"Por decidir",TRIM('DATOS'!F242&amp;"")&lt;&gt;"Por comprobar")),2,IF(COUNTIFS('REFERENCIAS'!$T$15:$T$34,"ID:"&amp;SUBSTITUTE(SUBSTITUTE(SUBSTITUTE(SUBSTITUTE(UPPER(TRIM('DATOS'!F242&amp;"")),"!","!E"),"*","!A"),"?","!B"),"~","!C"),'REFERENCIAS'!$H$15:$H$34,"&lt;&gt;")&gt;0,0,1))),2)</f>
      </c>
      <c r="U242" s="29" t="str">
        <f>'DATOS'!R242</f>
        <v>ID:</v>
      </c>
      <c r="V242" s="29" t="str">
        <f>'DATOS'!S242</f>
        <v>ID:</v>
      </c>
      <c r="W242" s="29" t="n">
        <f>IF(N242=0,0,COUNTIFS('REFERENCIAS'!$R$15:$R$64,U242))</f>
        <v>0</v>
      </c>
      <c r="X242" s="29" t="n">
        <f>IF(N242=0,0,COUNTIFS('DATOS'!$R$10:$R$509,U242,'DATOS'!$S$10:$S$509,V242))</f>
        <v>0</v>
      </c>
      <c r="Y242" s="29" t="n">
        <f>IF(AND(ISNUMBER('DATOS'!G242),ISNUMBER('DATOS'!H242),ISNUMBER('DATOS'!J242)),1,0)</f>
        <v>0</v>
      </c>
    </row>
    <row r="243" ht="64" customHeight="1">
      <c r="B243" s="26">
        <f>IF(N243=1,234,"")</f>
      </c>
      <c r="C243" s="26">
        <f>IF(AND(N243=1,LEN(TRIM('DATOS'!B243&amp;""))&gt;0),'DATOS'!B243,"")</f>
      </c>
      <c r="D243" s="26">
        <f>IF(AND(N243=1,LEN(TRIM('DATOS'!C243&amp;""))&gt;0),'DATOS'!C243,"")</f>
      </c>
      <c r="E243" s="26">
        <f>IF(NOT(ISNUMBER(P243)),"",IF(P243=2,"ROJO",IF(P243=1,"ÁMBAR","VERDE")))</f>
      </c>
      <c r="F243" s="26">
        <f>IF(NOT(ISNUMBER(Q243)),"",IF(Q243=2,"ROJO",IF(Q243=1,"ÁMBAR","VERDE")))</f>
      </c>
      <c r="G243" s="26">
        <f>IF(NOT(ISNUMBER(R243)),"",IF(R243=2,"ROJO",IF(R243=1,"ÁMBAR","VERDE")))</f>
      </c>
      <c r="H243" s="26">
        <f>IF(NOT(ISNUMBER(S243)),"",IF(S243=2,"ROJO",IF(S243=1,"ÁMBAR","VERDE")))</f>
      </c>
      <c r="I243" s="26">
        <f>IF(NOT(ISNUMBER(T243)),"",IF(T243=2,"ROJO",IF(T243=1,"ÁMBAR","VERDE")))</f>
      </c>
      <c r="J243" s="26">
        <f>IF(NOT(ISNUMBER(O243)),"",IF(O243=2,"ROJO",IF(O243=1,"ÁMBAR","VERDE")))</f>
      </c>
      <c r="K243" s="26">
        <f>IFERROR(IF(AND(N243=1,LEN(TRIM('DATOS'!N243&amp;""))&gt;0),'DATOS'!N243,""),"Hay una entrada con error. Corregimos el dato antes de cerrar la comprobación.")</f>
      </c>
      <c r="L243" s="26">
        <f>IFERROR(IF(N243=0,"",IF(O243&gt;0,"Completamos datos, claves o motivo. ","")&amp;IF(P243&gt;0,"Cotejamos precios e importe. ","")&amp;IF(Q243&gt;0,"Aclaramos el cero. ","")&amp;IF(R243&gt;0,"Comprobamos el texto. ","")&amp;IF(S243&gt;0,"Revisamos decimales visibles. ","")&amp;IF(T243&gt;0,"Confirmamos la unidad.","")),"Hay una entrada con error. Corregimos el dato antes de cerrar la comprobación.")</f>
      </c>
      <c r="N243" s="29" t="n">
        <f>IF(COUNTA('DATOS'!B243:O243)&gt;0,1,0)</f>
        <v>0</v>
      </c>
      <c r="O243" s="29">
        <f>IFERROR(IF(N243=0,"",IF(OR(NOT(AND(LEN(TRIM('DATOS'!B243&amp;""))&gt;0,TRIM('DATOS'!B243&amp;"")&lt;&gt;"Pendiente",TRIM('DATOS'!B243&amp;"")&lt;&gt;"Por confirmar",TRIM('DATOS'!B243&amp;"")&lt;&gt;"No consta",TRIM('DATOS'!B243&amp;"")&lt;&gt;"Desconocido",TRIM('DATOS'!B243&amp;"")&lt;&gt;"Sin confirmar",TRIM('DATOS'!B243&amp;"")&lt;&gt;"Por decidir",TRIM('DATOS'!B243&amp;"")&lt;&gt;"Por comprobar")),NOT(AND(LEN(TRIM('DATOS'!C243&amp;""))&gt;0,TRIM('DATOS'!C243&amp;"")&lt;&gt;"Pendiente",TRIM('DATOS'!C243&amp;"")&lt;&gt;"Por confirmar",TRIM('DATOS'!C243&amp;"")&lt;&gt;"No consta",TRIM('DATOS'!C243&amp;"")&lt;&gt;"Desconocido",TRIM('DATOS'!C243&amp;"")&lt;&gt;"Sin confirmar",TRIM('DATOS'!C243&amp;"")&lt;&gt;"Por decidir",TRIM('DATOS'!C243&amp;"")&lt;&gt;"Por comprobar")),NOT(AND(LEN(TRIM('DATOS'!D243&amp;""))&gt;0,TRIM('DATOS'!D243&amp;"")&lt;&gt;"Pendiente",TRIM('DATOS'!D243&amp;"")&lt;&gt;"Por confirmar",TRIM('DATOS'!D243&amp;"")&lt;&gt;"No consta",TRIM('DATOS'!D243&amp;"")&lt;&gt;"Desconocido",TRIM('DATOS'!D243&amp;"")&lt;&gt;"Sin confirmar",TRIM('DATOS'!D243&amp;"")&lt;&gt;"Por decidir",TRIM('DATOS'!D243&amp;"")&lt;&gt;"Por comprobar")),NOT(AND(LEN(TRIM('DATOS'!E243&amp;""))&gt;0,TRIM('DATOS'!E243&amp;"")&lt;&gt;"Pendiente",TRIM('DATOS'!E243&amp;"")&lt;&gt;"Por confirmar",TRIM('DATOS'!E243&amp;"")&lt;&gt;"No consta",TRIM('DATOS'!E243&amp;"")&lt;&gt;"Desconocido",TRIM('DATOS'!E243&amp;"")&lt;&gt;"Sin confirmar",TRIM('DATOS'!E243&amp;"")&lt;&gt;"Por decidir",TRIM('DATOS'!E243&amp;"")&lt;&gt;"Por comprobar")),NOT(AND(LEN(TRIM('DATOS'!F243&amp;""))&gt;0,TRIM('DATOS'!F243&amp;"")&lt;&gt;"Pendiente",TRIM('DATOS'!F243&amp;"")&lt;&gt;"Por confirmar",TRIM('DATOS'!F243&amp;"")&lt;&gt;"No consta",TRIM('DATOS'!F243&amp;"")&lt;&gt;"Desconocido",TRIM('DATOS'!F243&amp;"")&lt;&gt;"Sin confirmar",TRIM('DATOS'!F243&amp;"")&lt;&gt;"Por decidir",TRIM('DATOS'!F243&amp;"")&lt;&gt;"Por comprobar")),NOT(AND(LEN(TRIM('DATOS'!N243&amp;""))&gt;0,TRIM('DATOS'!N243&amp;"")&lt;&gt;"Pendiente",TRIM('DATOS'!N243&amp;"")&lt;&gt;"Por confirmar",TRIM('DATOS'!N243&amp;"")&lt;&gt;"No consta",TRIM('DATOS'!N243&amp;"")&lt;&gt;"Desconocido",TRIM('DATOS'!N243&amp;"")&lt;&gt;"Sin confirmar",TRIM('DATOS'!N243&amp;"")&lt;&gt;"Por decidir",TRIM('DATOS'!N243&amp;"")&lt;&gt;"Por comprobar")),NOT(Y243=1),W243&lt;&gt;1,X243&gt;1,NOT(OR(LEN(TRIM('DATOS'!K243&amp;""))=0,'DATOS'!K243="Sin valorar",'DATOS'!K243="Sin coste documentado",'DATOS'!K243="Incluido en otra partida",'DATOS'!K243="Por confirmar")),NOT(OR(LEN(TRIM('DATOS'!M243&amp;""))=0,'DATOS'!M243="Sí",'DATOS'!M243="No",'DATOS'!M243="Por confirmar")),NOT(OR(LEN(TRIM('DATOS'!O243&amp;""))=0,'DATOS'!O243="Comparamos",'DATOS'!O243="No existe",'DATOS'!O243="Por confirmar"))),2,IF(AND(OR('DATOS'!G243&lt;0,'DATOS'!H243&lt;0,'DATOS'!J243&lt;0),NOT(AND(LEN(TRIM('DATOS'!L243&amp;""))&gt;0,TRIM('DATOS'!L243&amp;"")&lt;&gt;"Pendiente",TRIM('DATOS'!L243&amp;"")&lt;&gt;"Por confirmar",TRIM('DATOS'!L243&amp;"")&lt;&gt;"No consta",TRIM('DATOS'!L243&amp;"")&lt;&gt;"Desconocido",TRIM('DATOS'!L243&amp;"")&lt;&gt;"Sin confirmar",TRIM('DATOS'!L243&amp;"")&lt;&gt;"Por decidir",TRIM('DATOS'!L243&amp;"")&lt;&gt;"Por comprobar"))),1,0))),2)</f>
      </c>
      <c r="P243" s="29">
        <f>IFERROR(IF(N243=0,"",IF(NOT(Y243=1),1,IF('REFERENCIAS'!$Q$8&lt;&gt;1,2,IF(ABS('DATOS'!J243-ROUND('DATOS'!G243*'DATOS'!H243,'REFERENCIAS'!$K$8))&gt;0.00000001,2,IF('DATOS'!O243="No existe",IF(LEN(TRIM('DATOS'!I243&amp;""))=0,0,2),IF('DATOS'!O243="Comparamos",IF(LEN(TRIM('DATOS'!I243&amp;""))=0,1,IF(ISNUMBER('DATOS'!I243),IF(ABS('DATOS'!H243-'DATOS'!I243)&gt;0.00000001,2,0),2)),1)))))),2)</f>
      </c>
      <c r="Q243" s="29">
        <f>IFERROR(IF(N243=0,"",IF(NOT(Y243=1),1,IF('DATOS'!K243="Sin valorar",2,IF('DATOS'!G243=0,1,IF(OR('DATOS'!H243=0,'DATOS'!J243=0),IF(AND(OR('DATOS'!K243="Sin coste documentado",'DATOS'!K243="Incluido en otra partida"),AND(LEN(TRIM('DATOS'!L243&amp;""))&gt;0,TRIM('DATOS'!L243&amp;"")&lt;&gt;"Pendiente",TRIM('DATOS'!L243&amp;"")&lt;&gt;"Por confirmar",TRIM('DATOS'!L243&amp;"")&lt;&gt;"No consta",TRIM('DATOS'!L243&amp;"")&lt;&gt;"Desconocido",TRIM('DATOS'!L243&amp;"")&lt;&gt;"Sin confirmar",TRIM('DATOS'!L243&amp;"")&lt;&gt;"Por decidir",TRIM('DATOS'!L243&amp;"")&lt;&gt;"Por comprobar")),0,1),0))))),2)</f>
      </c>
      <c r="R243" s="29">
        <f>IFERROR(IF(N243=0,"",IF(OR(NOT(AND(LEN(TRIM('DATOS'!D243&amp;""))&gt;0,TRIM('DATOS'!D243&amp;"")&lt;&gt;"Pendiente",TRIM('DATOS'!D243&amp;"")&lt;&gt;"Por confirmar",TRIM('DATOS'!D243&amp;"")&lt;&gt;"No consta",TRIM('DATOS'!D243&amp;"")&lt;&gt;"Desconocido",TRIM('DATOS'!D243&amp;"")&lt;&gt;"Sin confirmar",TRIM('DATOS'!D243&amp;"")&lt;&gt;"Por decidir",TRIM('DATOS'!D243&amp;"")&lt;&gt;"Por comprobar")),NOT(AND(LEN(TRIM('DATOS'!E243&amp;""))&gt;0,TRIM('DATOS'!E243&amp;"")&lt;&gt;"Pendiente",TRIM('DATOS'!E243&amp;"")&lt;&gt;"Por confirmar",TRIM('DATOS'!E243&amp;"")&lt;&gt;"No consta",TRIM('DATOS'!E243&amp;"")&lt;&gt;"Desconocido",TRIM('DATOS'!E243&amp;"")&lt;&gt;"Sin confirmar",TRIM('DATOS'!E243&amp;"")&lt;&gt;"Por decidir",TRIM('DATOS'!E243&amp;"")&lt;&gt;"Por comprobar"))),2,IF('DATOS'!M243="No",2,IF('DATOS'!M243="Sí",0,IF(OR('DATOS'!D243&lt;&gt;'DATOS'!E243,LEN('DATOS'!E243)&gt;300,RIGHT(TRIM('DATOS'!E243),3)="...",RIGHT(TRIM('DATOS'!E243),1)="…"),1,0))))),2)</f>
      </c>
      <c r="S243" s="29">
        <f>IFERROR(IF(N243=0,"",IF('REFERENCIAS'!$Q$8&lt;&gt;1,2,IF(NOT(Y243=1),1,IF(OR(ABS('DATOS'!G243-ROUND('DATOS'!G243,'REFERENCIAS'!$E$8))&gt;0.00000001,ABS('DATOS'!H243-ROUND('DATOS'!H243,'REFERENCIAS'!$H$8))&gt;0.00000001,ABS('DATOS'!J243-ROUND('DATOS'!J243,'REFERENCIAS'!$K$8))&gt;0.00000001,IF(ISNUMBER('DATOS'!I243),ABS('DATOS'!I243-ROUND('DATOS'!I243,'REFERENCIAS'!$H$8))&gt;0.00000001,FALSE)),1,0)))),2)</f>
      </c>
      <c r="T243" s="29">
        <f>IFERROR(IF(N243=0,"",IF(NOT(AND(LEN(TRIM('DATOS'!F243&amp;""))&gt;0,TRIM('DATOS'!F243&amp;"")&lt;&gt;"Pendiente",TRIM('DATOS'!F243&amp;"")&lt;&gt;"Por confirmar",TRIM('DATOS'!F243&amp;"")&lt;&gt;"No consta",TRIM('DATOS'!F243&amp;"")&lt;&gt;"Desconocido",TRIM('DATOS'!F243&amp;"")&lt;&gt;"Sin confirmar",TRIM('DATOS'!F243&amp;"")&lt;&gt;"Por decidir",TRIM('DATOS'!F243&amp;"")&lt;&gt;"Por comprobar")),2,IF(COUNTIFS('REFERENCIAS'!$T$15:$T$34,"ID:"&amp;SUBSTITUTE(SUBSTITUTE(SUBSTITUTE(SUBSTITUTE(UPPER(TRIM('DATOS'!F243&amp;"")),"!","!E"),"*","!A"),"?","!B"),"~","!C"),'REFERENCIAS'!$H$15:$H$34,"&lt;&gt;")&gt;0,0,1))),2)</f>
      </c>
      <c r="U243" s="29" t="str">
        <f>'DATOS'!R243</f>
        <v>ID:</v>
      </c>
      <c r="V243" s="29" t="str">
        <f>'DATOS'!S243</f>
        <v>ID:</v>
      </c>
      <c r="W243" s="29" t="n">
        <f>IF(N243=0,0,COUNTIFS('REFERENCIAS'!$R$15:$R$64,U243))</f>
        <v>0</v>
      </c>
      <c r="X243" s="29" t="n">
        <f>IF(N243=0,0,COUNTIFS('DATOS'!$R$10:$R$509,U243,'DATOS'!$S$10:$S$509,V243))</f>
        <v>0</v>
      </c>
      <c r="Y243" s="29" t="n">
        <f>IF(AND(ISNUMBER('DATOS'!G243),ISNUMBER('DATOS'!H243),ISNUMBER('DATOS'!J243)),1,0)</f>
        <v>0</v>
      </c>
    </row>
    <row r="244" ht="64" customHeight="1">
      <c r="B244" s="26">
        <f>IF(N244=1,235,"")</f>
      </c>
      <c r="C244" s="26">
        <f>IF(AND(N244=1,LEN(TRIM('DATOS'!B244&amp;""))&gt;0),'DATOS'!B244,"")</f>
      </c>
      <c r="D244" s="26">
        <f>IF(AND(N244=1,LEN(TRIM('DATOS'!C244&amp;""))&gt;0),'DATOS'!C244,"")</f>
      </c>
      <c r="E244" s="26">
        <f>IF(NOT(ISNUMBER(P244)),"",IF(P244=2,"ROJO",IF(P244=1,"ÁMBAR","VERDE")))</f>
      </c>
      <c r="F244" s="26">
        <f>IF(NOT(ISNUMBER(Q244)),"",IF(Q244=2,"ROJO",IF(Q244=1,"ÁMBAR","VERDE")))</f>
      </c>
      <c r="G244" s="26">
        <f>IF(NOT(ISNUMBER(R244)),"",IF(R244=2,"ROJO",IF(R244=1,"ÁMBAR","VERDE")))</f>
      </c>
      <c r="H244" s="26">
        <f>IF(NOT(ISNUMBER(S244)),"",IF(S244=2,"ROJO",IF(S244=1,"ÁMBAR","VERDE")))</f>
      </c>
      <c r="I244" s="26">
        <f>IF(NOT(ISNUMBER(T244)),"",IF(T244=2,"ROJO",IF(T244=1,"ÁMBAR","VERDE")))</f>
      </c>
      <c r="J244" s="26">
        <f>IF(NOT(ISNUMBER(O244)),"",IF(O244=2,"ROJO",IF(O244=1,"ÁMBAR","VERDE")))</f>
      </c>
      <c r="K244" s="26">
        <f>IFERROR(IF(AND(N244=1,LEN(TRIM('DATOS'!N244&amp;""))&gt;0),'DATOS'!N244,""),"Hay una entrada con error. Corregimos el dato antes de cerrar la comprobación.")</f>
      </c>
      <c r="L244" s="26">
        <f>IFERROR(IF(N244=0,"",IF(O244&gt;0,"Completamos datos, claves o motivo. ","")&amp;IF(P244&gt;0,"Cotejamos precios e importe. ","")&amp;IF(Q244&gt;0,"Aclaramos el cero. ","")&amp;IF(R244&gt;0,"Comprobamos el texto. ","")&amp;IF(S244&gt;0,"Revisamos decimales visibles. ","")&amp;IF(T244&gt;0,"Confirmamos la unidad.","")),"Hay una entrada con error. Corregimos el dato antes de cerrar la comprobación.")</f>
      </c>
      <c r="N244" s="29" t="n">
        <f>IF(COUNTA('DATOS'!B244:O244)&gt;0,1,0)</f>
        <v>0</v>
      </c>
      <c r="O244" s="29">
        <f>IFERROR(IF(N244=0,"",IF(OR(NOT(AND(LEN(TRIM('DATOS'!B244&amp;""))&gt;0,TRIM('DATOS'!B244&amp;"")&lt;&gt;"Pendiente",TRIM('DATOS'!B244&amp;"")&lt;&gt;"Por confirmar",TRIM('DATOS'!B244&amp;"")&lt;&gt;"No consta",TRIM('DATOS'!B244&amp;"")&lt;&gt;"Desconocido",TRIM('DATOS'!B244&amp;"")&lt;&gt;"Sin confirmar",TRIM('DATOS'!B244&amp;"")&lt;&gt;"Por decidir",TRIM('DATOS'!B244&amp;"")&lt;&gt;"Por comprobar")),NOT(AND(LEN(TRIM('DATOS'!C244&amp;""))&gt;0,TRIM('DATOS'!C244&amp;"")&lt;&gt;"Pendiente",TRIM('DATOS'!C244&amp;"")&lt;&gt;"Por confirmar",TRIM('DATOS'!C244&amp;"")&lt;&gt;"No consta",TRIM('DATOS'!C244&amp;"")&lt;&gt;"Desconocido",TRIM('DATOS'!C244&amp;"")&lt;&gt;"Sin confirmar",TRIM('DATOS'!C244&amp;"")&lt;&gt;"Por decidir",TRIM('DATOS'!C244&amp;"")&lt;&gt;"Por comprobar")),NOT(AND(LEN(TRIM('DATOS'!D244&amp;""))&gt;0,TRIM('DATOS'!D244&amp;"")&lt;&gt;"Pendiente",TRIM('DATOS'!D244&amp;"")&lt;&gt;"Por confirmar",TRIM('DATOS'!D244&amp;"")&lt;&gt;"No consta",TRIM('DATOS'!D244&amp;"")&lt;&gt;"Desconocido",TRIM('DATOS'!D244&amp;"")&lt;&gt;"Sin confirmar",TRIM('DATOS'!D244&amp;"")&lt;&gt;"Por decidir",TRIM('DATOS'!D244&amp;"")&lt;&gt;"Por comprobar")),NOT(AND(LEN(TRIM('DATOS'!E244&amp;""))&gt;0,TRIM('DATOS'!E244&amp;"")&lt;&gt;"Pendiente",TRIM('DATOS'!E244&amp;"")&lt;&gt;"Por confirmar",TRIM('DATOS'!E244&amp;"")&lt;&gt;"No consta",TRIM('DATOS'!E244&amp;"")&lt;&gt;"Desconocido",TRIM('DATOS'!E244&amp;"")&lt;&gt;"Sin confirmar",TRIM('DATOS'!E244&amp;"")&lt;&gt;"Por decidir",TRIM('DATOS'!E244&amp;"")&lt;&gt;"Por comprobar")),NOT(AND(LEN(TRIM('DATOS'!F244&amp;""))&gt;0,TRIM('DATOS'!F244&amp;"")&lt;&gt;"Pendiente",TRIM('DATOS'!F244&amp;"")&lt;&gt;"Por confirmar",TRIM('DATOS'!F244&amp;"")&lt;&gt;"No consta",TRIM('DATOS'!F244&amp;"")&lt;&gt;"Desconocido",TRIM('DATOS'!F244&amp;"")&lt;&gt;"Sin confirmar",TRIM('DATOS'!F244&amp;"")&lt;&gt;"Por decidir",TRIM('DATOS'!F244&amp;"")&lt;&gt;"Por comprobar")),NOT(AND(LEN(TRIM('DATOS'!N244&amp;""))&gt;0,TRIM('DATOS'!N244&amp;"")&lt;&gt;"Pendiente",TRIM('DATOS'!N244&amp;"")&lt;&gt;"Por confirmar",TRIM('DATOS'!N244&amp;"")&lt;&gt;"No consta",TRIM('DATOS'!N244&amp;"")&lt;&gt;"Desconocido",TRIM('DATOS'!N244&amp;"")&lt;&gt;"Sin confirmar",TRIM('DATOS'!N244&amp;"")&lt;&gt;"Por decidir",TRIM('DATOS'!N244&amp;"")&lt;&gt;"Por comprobar")),NOT(Y244=1),W244&lt;&gt;1,X244&gt;1,NOT(OR(LEN(TRIM('DATOS'!K244&amp;""))=0,'DATOS'!K244="Sin valorar",'DATOS'!K244="Sin coste documentado",'DATOS'!K244="Incluido en otra partida",'DATOS'!K244="Por confirmar")),NOT(OR(LEN(TRIM('DATOS'!M244&amp;""))=0,'DATOS'!M244="Sí",'DATOS'!M244="No",'DATOS'!M244="Por confirmar")),NOT(OR(LEN(TRIM('DATOS'!O244&amp;""))=0,'DATOS'!O244="Comparamos",'DATOS'!O244="No existe",'DATOS'!O244="Por confirmar"))),2,IF(AND(OR('DATOS'!G244&lt;0,'DATOS'!H244&lt;0,'DATOS'!J244&lt;0),NOT(AND(LEN(TRIM('DATOS'!L244&amp;""))&gt;0,TRIM('DATOS'!L244&amp;"")&lt;&gt;"Pendiente",TRIM('DATOS'!L244&amp;"")&lt;&gt;"Por confirmar",TRIM('DATOS'!L244&amp;"")&lt;&gt;"No consta",TRIM('DATOS'!L244&amp;"")&lt;&gt;"Desconocido",TRIM('DATOS'!L244&amp;"")&lt;&gt;"Sin confirmar",TRIM('DATOS'!L244&amp;"")&lt;&gt;"Por decidir",TRIM('DATOS'!L244&amp;"")&lt;&gt;"Por comprobar"))),1,0))),2)</f>
      </c>
      <c r="P244" s="29">
        <f>IFERROR(IF(N244=0,"",IF(NOT(Y244=1),1,IF('REFERENCIAS'!$Q$8&lt;&gt;1,2,IF(ABS('DATOS'!J244-ROUND('DATOS'!G244*'DATOS'!H244,'REFERENCIAS'!$K$8))&gt;0.00000001,2,IF('DATOS'!O244="No existe",IF(LEN(TRIM('DATOS'!I244&amp;""))=0,0,2),IF('DATOS'!O244="Comparamos",IF(LEN(TRIM('DATOS'!I244&amp;""))=0,1,IF(ISNUMBER('DATOS'!I244),IF(ABS('DATOS'!H244-'DATOS'!I244)&gt;0.00000001,2,0),2)),1)))))),2)</f>
      </c>
      <c r="Q244" s="29">
        <f>IFERROR(IF(N244=0,"",IF(NOT(Y244=1),1,IF('DATOS'!K244="Sin valorar",2,IF('DATOS'!G244=0,1,IF(OR('DATOS'!H244=0,'DATOS'!J244=0),IF(AND(OR('DATOS'!K244="Sin coste documentado",'DATOS'!K244="Incluido en otra partida"),AND(LEN(TRIM('DATOS'!L244&amp;""))&gt;0,TRIM('DATOS'!L244&amp;"")&lt;&gt;"Pendiente",TRIM('DATOS'!L244&amp;"")&lt;&gt;"Por confirmar",TRIM('DATOS'!L244&amp;"")&lt;&gt;"No consta",TRIM('DATOS'!L244&amp;"")&lt;&gt;"Desconocido",TRIM('DATOS'!L244&amp;"")&lt;&gt;"Sin confirmar",TRIM('DATOS'!L244&amp;"")&lt;&gt;"Por decidir",TRIM('DATOS'!L244&amp;"")&lt;&gt;"Por comprobar")),0,1),0))))),2)</f>
      </c>
      <c r="R244" s="29">
        <f>IFERROR(IF(N244=0,"",IF(OR(NOT(AND(LEN(TRIM('DATOS'!D244&amp;""))&gt;0,TRIM('DATOS'!D244&amp;"")&lt;&gt;"Pendiente",TRIM('DATOS'!D244&amp;"")&lt;&gt;"Por confirmar",TRIM('DATOS'!D244&amp;"")&lt;&gt;"No consta",TRIM('DATOS'!D244&amp;"")&lt;&gt;"Desconocido",TRIM('DATOS'!D244&amp;"")&lt;&gt;"Sin confirmar",TRIM('DATOS'!D244&amp;"")&lt;&gt;"Por decidir",TRIM('DATOS'!D244&amp;"")&lt;&gt;"Por comprobar")),NOT(AND(LEN(TRIM('DATOS'!E244&amp;""))&gt;0,TRIM('DATOS'!E244&amp;"")&lt;&gt;"Pendiente",TRIM('DATOS'!E244&amp;"")&lt;&gt;"Por confirmar",TRIM('DATOS'!E244&amp;"")&lt;&gt;"No consta",TRIM('DATOS'!E244&amp;"")&lt;&gt;"Desconocido",TRIM('DATOS'!E244&amp;"")&lt;&gt;"Sin confirmar",TRIM('DATOS'!E244&amp;"")&lt;&gt;"Por decidir",TRIM('DATOS'!E244&amp;"")&lt;&gt;"Por comprobar"))),2,IF('DATOS'!M244="No",2,IF('DATOS'!M244="Sí",0,IF(OR('DATOS'!D244&lt;&gt;'DATOS'!E244,LEN('DATOS'!E244)&gt;300,RIGHT(TRIM('DATOS'!E244),3)="...",RIGHT(TRIM('DATOS'!E244),1)="…"),1,0))))),2)</f>
      </c>
      <c r="S244" s="29">
        <f>IFERROR(IF(N244=0,"",IF('REFERENCIAS'!$Q$8&lt;&gt;1,2,IF(NOT(Y244=1),1,IF(OR(ABS('DATOS'!G244-ROUND('DATOS'!G244,'REFERENCIAS'!$E$8))&gt;0.00000001,ABS('DATOS'!H244-ROUND('DATOS'!H244,'REFERENCIAS'!$H$8))&gt;0.00000001,ABS('DATOS'!J244-ROUND('DATOS'!J244,'REFERENCIAS'!$K$8))&gt;0.00000001,IF(ISNUMBER('DATOS'!I244),ABS('DATOS'!I244-ROUND('DATOS'!I244,'REFERENCIAS'!$H$8))&gt;0.00000001,FALSE)),1,0)))),2)</f>
      </c>
      <c r="T244" s="29">
        <f>IFERROR(IF(N244=0,"",IF(NOT(AND(LEN(TRIM('DATOS'!F244&amp;""))&gt;0,TRIM('DATOS'!F244&amp;"")&lt;&gt;"Pendiente",TRIM('DATOS'!F244&amp;"")&lt;&gt;"Por confirmar",TRIM('DATOS'!F244&amp;"")&lt;&gt;"No consta",TRIM('DATOS'!F244&amp;"")&lt;&gt;"Desconocido",TRIM('DATOS'!F244&amp;"")&lt;&gt;"Sin confirmar",TRIM('DATOS'!F244&amp;"")&lt;&gt;"Por decidir",TRIM('DATOS'!F244&amp;"")&lt;&gt;"Por comprobar")),2,IF(COUNTIFS('REFERENCIAS'!$T$15:$T$34,"ID:"&amp;SUBSTITUTE(SUBSTITUTE(SUBSTITUTE(SUBSTITUTE(UPPER(TRIM('DATOS'!F244&amp;"")),"!","!E"),"*","!A"),"?","!B"),"~","!C"),'REFERENCIAS'!$H$15:$H$34,"&lt;&gt;")&gt;0,0,1))),2)</f>
      </c>
      <c r="U244" s="29" t="str">
        <f>'DATOS'!R244</f>
        <v>ID:</v>
      </c>
      <c r="V244" s="29" t="str">
        <f>'DATOS'!S244</f>
        <v>ID:</v>
      </c>
      <c r="W244" s="29" t="n">
        <f>IF(N244=0,0,COUNTIFS('REFERENCIAS'!$R$15:$R$64,U244))</f>
        <v>0</v>
      </c>
      <c r="X244" s="29" t="n">
        <f>IF(N244=0,0,COUNTIFS('DATOS'!$R$10:$R$509,U244,'DATOS'!$S$10:$S$509,V244))</f>
        <v>0</v>
      </c>
      <c r="Y244" s="29" t="n">
        <f>IF(AND(ISNUMBER('DATOS'!G244),ISNUMBER('DATOS'!H244),ISNUMBER('DATOS'!J244)),1,0)</f>
        <v>0</v>
      </c>
    </row>
    <row r="245" ht="64" customHeight="1">
      <c r="B245" s="26">
        <f>IF(N245=1,236,"")</f>
      </c>
      <c r="C245" s="26">
        <f>IF(AND(N245=1,LEN(TRIM('DATOS'!B245&amp;""))&gt;0),'DATOS'!B245,"")</f>
      </c>
      <c r="D245" s="26">
        <f>IF(AND(N245=1,LEN(TRIM('DATOS'!C245&amp;""))&gt;0),'DATOS'!C245,"")</f>
      </c>
      <c r="E245" s="26">
        <f>IF(NOT(ISNUMBER(P245)),"",IF(P245=2,"ROJO",IF(P245=1,"ÁMBAR","VERDE")))</f>
      </c>
      <c r="F245" s="26">
        <f>IF(NOT(ISNUMBER(Q245)),"",IF(Q245=2,"ROJO",IF(Q245=1,"ÁMBAR","VERDE")))</f>
      </c>
      <c r="G245" s="26">
        <f>IF(NOT(ISNUMBER(R245)),"",IF(R245=2,"ROJO",IF(R245=1,"ÁMBAR","VERDE")))</f>
      </c>
      <c r="H245" s="26">
        <f>IF(NOT(ISNUMBER(S245)),"",IF(S245=2,"ROJO",IF(S245=1,"ÁMBAR","VERDE")))</f>
      </c>
      <c r="I245" s="26">
        <f>IF(NOT(ISNUMBER(T245)),"",IF(T245=2,"ROJO",IF(T245=1,"ÁMBAR","VERDE")))</f>
      </c>
      <c r="J245" s="26">
        <f>IF(NOT(ISNUMBER(O245)),"",IF(O245=2,"ROJO",IF(O245=1,"ÁMBAR","VERDE")))</f>
      </c>
      <c r="K245" s="26">
        <f>IFERROR(IF(AND(N245=1,LEN(TRIM('DATOS'!N245&amp;""))&gt;0),'DATOS'!N245,""),"Hay una entrada con error. Corregimos el dato antes de cerrar la comprobación.")</f>
      </c>
      <c r="L245" s="26">
        <f>IFERROR(IF(N245=0,"",IF(O245&gt;0,"Completamos datos, claves o motivo. ","")&amp;IF(P245&gt;0,"Cotejamos precios e importe. ","")&amp;IF(Q245&gt;0,"Aclaramos el cero. ","")&amp;IF(R245&gt;0,"Comprobamos el texto. ","")&amp;IF(S245&gt;0,"Revisamos decimales visibles. ","")&amp;IF(T245&gt;0,"Confirmamos la unidad.","")),"Hay una entrada con error. Corregimos el dato antes de cerrar la comprobación.")</f>
      </c>
      <c r="N245" s="29" t="n">
        <f>IF(COUNTA('DATOS'!B245:O245)&gt;0,1,0)</f>
        <v>0</v>
      </c>
      <c r="O245" s="29">
        <f>IFERROR(IF(N245=0,"",IF(OR(NOT(AND(LEN(TRIM('DATOS'!B245&amp;""))&gt;0,TRIM('DATOS'!B245&amp;"")&lt;&gt;"Pendiente",TRIM('DATOS'!B245&amp;"")&lt;&gt;"Por confirmar",TRIM('DATOS'!B245&amp;"")&lt;&gt;"No consta",TRIM('DATOS'!B245&amp;"")&lt;&gt;"Desconocido",TRIM('DATOS'!B245&amp;"")&lt;&gt;"Sin confirmar",TRIM('DATOS'!B245&amp;"")&lt;&gt;"Por decidir",TRIM('DATOS'!B245&amp;"")&lt;&gt;"Por comprobar")),NOT(AND(LEN(TRIM('DATOS'!C245&amp;""))&gt;0,TRIM('DATOS'!C245&amp;"")&lt;&gt;"Pendiente",TRIM('DATOS'!C245&amp;"")&lt;&gt;"Por confirmar",TRIM('DATOS'!C245&amp;"")&lt;&gt;"No consta",TRIM('DATOS'!C245&amp;"")&lt;&gt;"Desconocido",TRIM('DATOS'!C245&amp;"")&lt;&gt;"Sin confirmar",TRIM('DATOS'!C245&amp;"")&lt;&gt;"Por decidir",TRIM('DATOS'!C245&amp;"")&lt;&gt;"Por comprobar")),NOT(AND(LEN(TRIM('DATOS'!D245&amp;""))&gt;0,TRIM('DATOS'!D245&amp;"")&lt;&gt;"Pendiente",TRIM('DATOS'!D245&amp;"")&lt;&gt;"Por confirmar",TRIM('DATOS'!D245&amp;"")&lt;&gt;"No consta",TRIM('DATOS'!D245&amp;"")&lt;&gt;"Desconocido",TRIM('DATOS'!D245&amp;"")&lt;&gt;"Sin confirmar",TRIM('DATOS'!D245&amp;"")&lt;&gt;"Por decidir",TRIM('DATOS'!D245&amp;"")&lt;&gt;"Por comprobar")),NOT(AND(LEN(TRIM('DATOS'!E245&amp;""))&gt;0,TRIM('DATOS'!E245&amp;"")&lt;&gt;"Pendiente",TRIM('DATOS'!E245&amp;"")&lt;&gt;"Por confirmar",TRIM('DATOS'!E245&amp;"")&lt;&gt;"No consta",TRIM('DATOS'!E245&amp;"")&lt;&gt;"Desconocido",TRIM('DATOS'!E245&amp;"")&lt;&gt;"Sin confirmar",TRIM('DATOS'!E245&amp;"")&lt;&gt;"Por decidir",TRIM('DATOS'!E245&amp;"")&lt;&gt;"Por comprobar")),NOT(AND(LEN(TRIM('DATOS'!F245&amp;""))&gt;0,TRIM('DATOS'!F245&amp;"")&lt;&gt;"Pendiente",TRIM('DATOS'!F245&amp;"")&lt;&gt;"Por confirmar",TRIM('DATOS'!F245&amp;"")&lt;&gt;"No consta",TRIM('DATOS'!F245&amp;"")&lt;&gt;"Desconocido",TRIM('DATOS'!F245&amp;"")&lt;&gt;"Sin confirmar",TRIM('DATOS'!F245&amp;"")&lt;&gt;"Por decidir",TRIM('DATOS'!F245&amp;"")&lt;&gt;"Por comprobar")),NOT(AND(LEN(TRIM('DATOS'!N245&amp;""))&gt;0,TRIM('DATOS'!N245&amp;"")&lt;&gt;"Pendiente",TRIM('DATOS'!N245&amp;"")&lt;&gt;"Por confirmar",TRIM('DATOS'!N245&amp;"")&lt;&gt;"No consta",TRIM('DATOS'!N245&amp;"")&lt;&gt;"Desconocido",TRIM('DATOS'!N245&amp;"")&lt;&gt;"Sin confirmar",TRIM('DATOS'!N245&amp;"")&lt;&gt;"Por decidir",TRIM('DATOS'!N245&amp;"")&lt;&gt;"Por comprobar")),NOT(Y245=1),W245&lt;&gt;1,X245&gt;1,NOT(OR(LEN(TRIM('DATOS'!K245&amp;""))=0,'DATOS'!K245="Sin valorar",'DATOS'!K245="Sin coste documentado",'DATOS'!K245="Incluido en otra partida",'DATOS'!K245="Por confirmar")),NOT(OR(LEN(TRIM('DATOS'!M245&amp;""))=0,'DATOS'!M245="Sí",'DATOS'!M245="No",'DATOS'!M245="Por confirmar")),NOT(OR(LEN(TRIM('DATOS'!O245&amp;""))=0,'DATOS'!O245="Comparamos",'DATOS'!O245="No existe",'DATOS'!O245="Por confirmar"))),2,IF(AND(OR('DATOS'!G245&lt;0,'DATOS'!H245&lt;0,'DATOS'!J245&lt;0),NOT(AND(LEN(TRIM('DATOS'!L245&amp;""))&gt;0,TRIM('DATOS'!L245&amp;"")&lt;&gt;"Pendiente",TRIM('DATOS'!L245&amp;"")&lt;&gt;"Por confirmar",TRIM('DATOS'!L245&amp;"")&lt;&gt;"No consta",TRIM('DATOS'!L245&amp;"")&lt;&gt;"Desconocido",TRIM('DATOS'!L245&amp;"")&lt;&gt;"Sin confirmar",TRIM('DATOS'!L245&amp;"")&lt;&gt;"Por decidir",TRIM('DATOS'!L245&amp;"")&lt;&gt;"Por comprobar"))),1,0))),2)</f>
      </c>
      <c r="P245" s="29">
        <f>IFERROR(IF(N245=0,"",IF(NOT(Y245=1),1,IF('REFERENCIAS'!$Q$8&lt;&gt;1,2,IF(ABS('DATOS'!J245-ROUND('DATOS'!G245*'DATOS'!H245,'REFERENCIAS'!$K$8))&gt;0.00000001,2,IF('DATOS'!O245="No existe",IF(LEN(TRIM('DATOS'!I245&amp;""))=0,0,2),IF('DATOS'!O245="Comparamos",IF(LEN(TRIM('DATOS'!I245&amp;""))=0,1,IF(ISNUMBER('DATOS'!I245),IF(ABS('DATOS'!H245-'DATOS'!I245)&gt;0.00000001,2,0),2)),1)))))),2)</f>
      </c>
      <c r="Q245" s="29">
        <f>IFERROR(IF(N245=0,"",IF(NOT(Y245=1),1,IF('DATOS'!K245="Sin valorar",2,IF('DATOS'!G245=0,1,IF(OR('DATOS'!H245=0,'DATOS'!J245=0),IF(AND(OR('DATOS'!K245="Sin coste documentado",'DATOS'!K245="Incluido en otra partida"),AND(LEN(TRIM('DATOS'!L245&amp;""))&gt;0,TRIM('DATOS'!L245&amp;"")&lt;&gt;"Pendiente",TRIM('DATOS'!L245&amp;"")&lt;&gt;"Por confirmar",TRIM('DATOS'!L245&amp;"")&lt;&gt;"No consta",TRIM('DATOS'!L245&amp;"")&lt;&gt;"Desconocido",TRIM('DATOS'!L245&amp;"")&lt;&gt;"Sin confirmar",TRIM('DATOS'!L245&amp;"")&lt;&gt;"Por decidir",TRIM('DATOS'!L245&amp;"")&lt;&gt;"Por comprobar")),0,1),0))))),2)</f>
      </c>
      <c r="R245" s="29">
        <f>IFERROR(IF(N245=0,"",IF(OR(NOT(AND(LEN(TRIM('DATOS'!D245&amp;""))&gt;0,TRIM('DATOS'!D245&amp;"")&lt;&gt;"Pendiente",TRIM('DATOS'!D245&amp;"")&lt;&gt;"Por confirmar",TRIM('DATOS'!D245&amp;"")&lt;&gt;"No consta",TRIM('DATOS'!D245&amp;"")&lt;&gt;"Desconocido",TRIM('DATOS'!D245&amp;"")&lt;&gt;"Sin confirmar",TRIM('DATOS'!D245&amp;"")&lt;&gt;"Por decidir",TRIM('DATOS'!D245&amp;"")&lt;&gt;"Por comprobar")),NOT(AND(LEN(TRIM('DATOS'!E245&amp;""))&gt;0,TRIM('DATOS'!E245&amp;"")&lt;&gt;"Pendiente",TRIM('DATOS'!E245&amp;"")&lt;&gt;"Por confirmar",TRIM('DATOS'!E245&amp;"")&lt;&gt;"No consta",TRIM('DATOS'!E245&amp;"")&lt;&gt;"Desconocido",TRIM('DATOS'!E245&amp;"")&lt;&gt;"Sin confirmar",TRIM('DATOS'!E245&amp;"")&lt;&gt;"Por decidir",TRIM('DATOS'!E245&amp;"")&lt;&gt;"Por comprobar"))),2,IF('DATOS'!M245="No",2,IF('DATOS'!M245="Sí",0,IF(OR('DATOS'!D245&lt;&gt;'DATOS'!E245,LEN('DATOS'!E245)&gt;300,RIGHT(TRIM('DATOS'!E245),3)="...",RIGHT(TRIM('DATOS'!E245),1)="…"),1,0))))),2)</f>
      </c>
      <c r="S245" s="29">
        <f>IFERROR(IF(N245=0,"",IF('REFERENCIAS'!$Q$8&lt;&gt;1,2,IF(NOT(Y245=1),1,IF(OR(ABS('DATOS'!G245-ROUND('DATOS'!G245,'REFERENCIAS'!$E$8))&gt;0.00000001,ABS('DATOS'!H245-ROUND('DATOS'!H245,'REFERENCIAS'!$H$8))&gt;0.00000001,ABS('DATOS'!J245-ROUND('DATOS'!J245,'REFERENCIAS'!$K$8))&gt;0.00000001,IF(ISNUMBER('DATOS'!I245),ABS('DATOS'!I245-ROUND('DATOS'!I245,'REFERENCIAS'!$H$8))&gt;0.00000001,FALSE)),1,0)))),2)</f>
      </c>
      <c r="T245" s="29">
        <f>IFERROR(IF(N245=0,"",IF(NOT(AND(LEN(TRIM('DATOS'!F245&amp;""))&gt;0,TRIM('DATOS'!F245&amp;"")&lt;&gt;"Pendiente",TRIM('DATOS'!F245&amp;"")&lt;&gt;"Por confirmar",TRIM('DATOS'!F245&amp;"")&lt;&gt;"No consta",TRIM('DATOS'!F245&amp;"")&lt;&gt;"Desconocido",TRIM('DATOS'!F245&amp;"")&lt;&gt;"Sin confirmar",TRIM('DATOS'!F245&amp;"")&lt;&gt;"Por decidir",TRIM('DATOS'!F245&amp;"")&lt;&gt;"Por comprobar")),2,IF(COUNTIFS('REFERENCIAS'!$T$15:$T$34,"ID:"&amp;SUBSTITUTE(SUBSTITUTE(SUBSTITUTE(SUBSTITUTE(UPPER(TRIM('DATOS'!F245&amp;"")),"!","!E"),"*","!A"),"?","!B"),"~","!C"),'REFERENCIAS'!$H$15:$H$34,"&lt;&gt;")&gt;0,0,1))),2)</f>
      </c>
      <c r="U245" s="29" t="str">
        <f>'DATOS'!R245</f>
        <v>ID:</v>
      </c>
      <c r="V245" s="29" t="str">
        <f>'DATOS'!S245</f>
        <v>ID:</v>
      </c>
      <c r="W245" s="29" t="n">
        <f>IF(N245=0,0,COUNTIFS('REFERENCIAS'!$R$15:$R$64,U245))</f>
        <v>0</v>
      </c>
      <c r="X245" s="29" t="n">
        <f>IF(N245=0,0,COUNTIFS('DATOS'!$R$10:$R$509,U245,'DATOS'!$S$10:$S$509,V245))</f>
        <v>0</v>
      </c>
      <c r="Y245" s="29" t="n">
        <f>IF(AND(ISNUMBER('DATOS'!G245),ISNUMBER('DATOS'!H245),ISNUMBER('DATOS'!J245)),1,0)</f>
        <v>0</v>
      </c>
    </row>
    <row r="246" ht="64" customHeight="1">
      <c r="B246" s="26">
        <f>IF(N246=1,237,"")</f>
      </c>
      <c r="C246" s="26">
        <f>IF(AND(N246=1,LEN(TRIM('DATOS'!B246&amp;""))&gt;0),'DATOS'!B246,"")</f>
      </c>
      <c r="D246" s="26">
        <f>IF(AND(N246=1,LEN(TRIM('DATOS'!C246&amp;""))&gt;0),'DATOS'!C246,"")</f>
      </c>
      <c r="E246" s="26">
        <f>IF(NOT(ISNUMBER(P246)),"",IF(P246=2,"ROJO",IF(P246=1,"ÁMBAR","VERDE")))</f>
      </c>
      <c r="F246" s="26">
        <f>IF(NOT(ISNUMBER(Q246)),"",IF(Q246=2,"ROJO",IF(Q246=1,"ÁMBAR","VERDE")))</f>
      </c>
      <c r="G246" s="26">
        <f>IF(NOT(ISNUMBER(R246)),"",IF(R246=2,"ROJO",IF(R246=1,"ÁMBAR","VERDE")))</f>
      </c>
      <c r="H246" s="26">
        <f>IF(NOT(ISNUMBER(S246)),"",IF(S246=2,"ROJO",IF(S246=1,"ÁMBAR","VERDE")))</f>
      </c>
      <c r="I246" s="26">
        <f>IF(NOT(ISNUMBER(T246)),"",IF(T246=2,"ROJO",IF(T246=1,"ÁMBAR","VERDE")))</f>
      </c>
      <c r="J246" s="26">
        <f>IF(NOT(ISNUMBER(O246)),"",IF(O246=2,"ROJO",IF(O246=1,"ÁMBAR","VERDE")))</f>
      </c>
      <c r="K246" s="26">
        <f>IFERROR(IF(AND(N246=1,LEN(TRIM('DATOS'!N246&amp;""))&gt;0),'DATOS'!N246,""),"Hay una entrada con error. Corregimos el dato antes de cerrar la comprobación.")</f>
      </c>
      <c r="L246" s="26">
        <f>IFERROR(IF(N246=0,"",IF(O246&gt;0,"Completamos datos, claves o motivo. ","")&amp;IF(P246&gt;0,"Cotejamos precios e importe. ","")&amp;IF(Q246&gt;0,"Aclaramos el cero. ","")&amp;IF(R246&gt;0,"Comprobamos el texto. ","")&amp;IF(S246&gt;0,"Revisamos decimales visibles. ","")&amp;IF(T246&gt;0,"Confirmamos la unidad.","")),"Hay una entrada con error. Corregimos el dato antes de cerrar la comprobación.")</f>
      </c>
      <c r="N246" s="29" t="n">
        <f>IF(COUNTA('DATOS'!B246:O246)&gt;0,1,0)</f>
        <v>0</v>
      </c>
      <c r="O246" s="29">
        <f>IFERROR(IF(N246=0,"",IF(OR(NOT(AND(LEN(TRIM('DATOS'!B246&amp;""))&gt;0,TRIM('DATOS'!B246&amp;"")&lt;&gt;"Pendiente",TRIM('DATOS'!B246&amp;"")&lt;&gt;"Por confirmar",TRIM('DATOS'!B246&amp;"")&lt;&gt;"No consta",TRIM('DATOS'!B246&amp;"")&lt;&gt;"Desconocido",TRIM('DATOS'!B246&amp;"")&lt;&gt;"Sin confirmar",TRIM('DATOS'!B246&amp;"")&lt;&gt;"Por decidir",TRIM('DATOS'!B246&amp;"")&lt;&gt;"Por comprobar")),NOT(AND(LEN(TRIM('DATOS'!C246&amp;""))&gt;0,TRIM('DATOS'!C246&amp;"")&lt;&gt;"Pendiente",TRIM('DATOS'!C246&amp;"")&lt;&gt;"Por confirmar",TRIM('DATOS'!C246&amp;"")&lt;&gt;"No consta",TRIM('DATOS'!C246&amp;"")&lt;&gt;"Desconocido",TRIM('DATOS'!C246&amp;"")&lt;&gt;"Sin confirmar",TRIM('DATOS'!C246&amp;"")&lt;&gt;"Por decidir",TRIM('DATOS'!C246&amp;"")&lt;&gt;"Por comprobar")),NOT(AND(LEN(TRIM('DATOS'!D246&amp;""))&gt;0,TRIM('DATOS'!D246&amp;"")&lt;&gt;"Pendiente",TRIM('DATOS'!D246&amp;"")&lt;&gt;"Por confirmar",TRIM('DATOS'!D246&amp;"")&lt;&gt;"No consta",TRIM('DATOS'!D246&amp;"")&lt;&gt;"Desconocido",TRIM('DATOS'!D246&amp;"")&lt;&gt;"Sin confirmar",TRIM('DATOS'!D246&amp;"")&lt;&gt;"Por decidir",TRIM('DATOS'!D246&amp;"")&lt;&gt;"Por comprobar")),NOT(AND(LEN(TRIM('DATOS'!E246&amp;""))&gt;0,TRIM('DATOS'!E246&amp;"")&lt;&gt;"Pendiente",TRIM('DATOS'!E246&amp;"")&lt;&gt;"Por confirmar",TRIM('DATOS'!E246&amp;"")&lt;&gt;"No consta",TRIM('DATOS'!E246&amp;"")&lt;&gt;"Desconocido",TRIM('DATOS'!E246&amp;"")&lt;&gt;"Sin confirmar",TRIM('DATOS'!E246&amp;"")&lt;&gt;"Por decidir",TRIM('DATOS'!E246&amp;"")&lt;&gt;"Por comprobar")),NOT(AND(LEN(TRIM('DATOS'!F246&amp;""))&gt;0,TRIM('DATOS'!F246&amp;"")&lt;&gt;"Pendiente",TRIM('DATOS'!F246&amp;"")&lt;&gt;"Por confirmar",TRIM('DATOS'!F246&amp;"")&lt;&gt;"No consta",TRIM('DATOS'!F246&amp;"")&lt;&gt;"Desconocido",TRIM('DATOS'!F246&amp;"")&lt;&gt;"Sin confirmar",TRIM('DATOS'!F246&amp;"")&lt;&gt;"Por decidir",TRIM('DATOS'!F246&amp;"")&lt;&gt;"Por comprobar")),NOT(AND(LEN(TRIM('DATOS'!N246&amp;""))&gt;0,TRIM('DATOS'!N246&amp;"")&lt;&gt;"Pendiente",TRIM('DATOS'!N246&amp;"")&lt;&gt;"Por confirmar",TRIM('DATOS'!N246&amp;"")&lt;&gt;"No consta",TRIM('DATOS'!N246&amp;"")&lt;&gt;"Desconocido",TRIM('DATOS'!N246&amp;"")&lt;&gt;"Sin confirmar",TRIM('DATOS'!N246&amp;"")&lt;&gt;"Por decidir",TRIM('DATOS'!N246&amp;"")&lt;&gt;"Por comprobar")),NOT(Y246=1),W246&lt;&gt;1,X246&gt;1,NOT(OR(LEN(TRIM('DATOS'!K246&amp;""))=0,'DATOS'!K246="Sin valorar",'DATOS'!K246="Sin coste documentado",'DATOS'!K246="Incluido en otra partida",'DATOS'!K246="Por confirmar")),NOT(OR(LEN(TRIM('DATOS'!M246&amp;""))=0,'DATOS'!M246="Sí",'DATOS'!M246="No",'DATOS'!M246="Por confirmar")),NOT(OR(LEN(TRIM('DATOS'!O246&amp;""))=0,'DATOS'!O246="Comparamos",'DATOS'!O246="No existe",'DATOS'!O246="Por confirmar"))),2,IF(AND(OR('DATOS'!G246&lt;0,'DATOS'!H246&lt;0,'DATOS'!J246&lt;0),NOT(AND(LEN(TRIM('DATOS'!L246&amp;""))&gt;0,TRIM('DATOS'!L246&amp;"")&lt;&gt;"Pendiente",TRIM('DATOS'!L246&amp;"")&lt;&gt;"Por confirmar",TRIM('DATOS'!L246&amp;"")&lt;&gt;"No consta",TRIM('DATOS'!L246&amp;"")&lt;&gt;"Desconocido",TRIM('DATOS'!L246&amp;"")&lt;&gt;"Sin confirmar",TRIM('DATOS'!L246&amp;"")&lt;&gt;"Por decidir",TRIM('DATOS'!L246&amp;"")&lt;&gt;"Por comprobar"))),1,0))),2)</f>
      </c>
      <c r="P246" s="29">
        <f>IFERROR(IF(N246=0,"",IF(NOT(Y246=1),1,IF('REFERENCIAS'!$Q$8&lt;&gt;1,2,IF(ABS('DATOS'!J246-ROUND('DATOS'!G246*'DATOS'!H246,'REFERENCIAS'!$K$8))&gt;0.00000001,2,IF('DATOS'!O246="No existe",IF(LEN(TRIM('DATOS'!I246&amp;""))=0,0,2),IF('DATOS'!O246="Comparamos",IF(LEN(TRIM('DATOS'!I246&amp;""))=0,1,IF(ISNUMBER('DATOS'!I246),IF(ABS('DATOS'!H246-'DATOS'!I246)&gt;0.00000001,2,0),2)),1)))))),2)</f>
      </c>
      <c r="Q246" s="29">
        <f>IFERROR(IF(N246=0,"",IF(NOT(Y246=1),1,IF('DATOS'!K246="Sin valorar",2,IF('DATOS'!G246=0,1,IF(OR('DATOS'!H246=0,'DATOS'!J246=0),IF(AND(OR('DATOS'!K246="Sin coste documentado",'DATOS'!K246="Incluido en otra partida"),AND(LEN(TRIM('DATOS'!L246&amp;""))&gt;0,TRIM('DATOS'!L246&amp;"")&lt;&gt;"Pendiente",TRIM('DATOS'!L246&amp;"")&lt;&gt;"Por confirmar",TRIM('DATOS'!L246&amp;"")&lt;&gt;"No consta",TRIM('DATOS'!L246&amp;"")&lt;&gt;"Desconocido",TRIM('DATOS'!L246&amp;"")&lt;&gt;"Sin confirmar",TRIM('DATOS'!L246&amp;"")&lt;&gt;"Por decidir",TRIM('DATOS'!L246&amp;"")&lt;&gt;"Por comprobar")),0,1),0))))),2)</f>
      </c>
      <c r="R246" s="29">
        <f>IFERROR(IF(N246=0,"",IF(OR(NOT(AND(LEN(TRIM('DATOS'!D246&amp;""))&gt;0,TRIM('DATOS'!D246&amp;"")&lt;&gt;"Pendiente",TRIM('DATOS'!D246&amp;"")&lt;&gt;"Por confirmar",TRIM('DATOS'!D246&amp;"")&lt;&gt;"No consta",TRIM('DATOS'!D246&amp;"")&lt;&gt;"Desconocido",TRIM('DATOS'!D246&amp;"")&lt;&gt;"Sin confirmar",TRIM('DATOS'!D246&amp;"")&lt;&gt;"Por decidir",TRIM('DATOS'!D246&amp;"")&lt;&gt;"Por comprobar")),NOT(AND(LEN(TRIM('DATOS'!E246&amp;""))&gt;0,TRIM('DATOS'!E246&amp;"")&lt;&gt;"Pendiente",TRIM('DATOS'!E246&amp;"")&lt;&gt;"Por confirmar",TRIM('DATOS'!E246&amp;"")&lt;&gt;"No consta",TRIM('DATOS'!E246&amp;"")&lt;&gt;"Desconocido",TRIM('DATOS'!E246&amp;"")&lt;&gt;"Sin confirmar",TRIM('DATOS'!E246&amp;"")&lt;&gt;"Por decidir",TRIM('DATOS'!E246&amp;"")&lt;&gt;"Por comprobar"))),2,IF('DATOS'!M246="No",2,IF('DATOS'!M246="Sí",0,IF(OR('DATOS'!D246&lt;&gt;'DATOS'!E246,LEN('DATOS'!E246)&gt;300,RIGHT(TRIM('DATOS'!E246),3)="...",RIGHT(TRIM('DATOS'!E246),1)="…"),1,0))))),2)</f>
      </c>
      <c r="S246" s="29">
        <f>IFERROR(IF(N246=0,"",IF('REFERENCIAS'!$Q$8&lt;&gt;1,2,IF(NOT(Y246=1),1,IF(OR(ABS('DATOS'!G246-ROUND('DATOS'!G246,'REFERENCIAS'!$E$8))&gt;0.00000001,ABS('DATOS'!H246-ROUND('DATOS'!H246,'REFERENCIAS'!$H$8))&gt;0.00000001,ABS('DATOS'!J246-ROUND('DATOS'!J246,'REFERENCIAS'!$K$8))&gt;0.00000001,IF(ISNUMBER('DATOS'!I246),ABS('DATOS'!I246-ROUND('DATOS'!I246,'REFERENCIAS'!$H$8))&gt;0.00000001,FALSE)),1,0)))),2)</f>
      </c>
      <c r="T246" s="29">
        <f>IFERROR(IF(N246=0,"",IF(NOT(AND(LEN(TRIM('DATOS'!F246&amp;""))&gt;0,TRIM('DATOS'!F246&amp;"")&lt;&gt;"Pendiente",TRIM('DATOS'!F246&amp;"")&lt;&gt;"Por confirmar",TRIM('DATOS'!F246&amp;"")&lt;&gt;"No consta",TRIM('DATOS'!F246&amp;"")&lt;&gt;"Desconocido",TRIM('DATOS'!F246&amp;"")&lt;&gt;"Sin confirmar",TRIM('DATOS'!F246&amp;"")&lt;&gt;"Por decidir",TRIM('DATOS'!F246&amp;"")&lt;&gt;"Por comprobar")),2,IF(COUNTIFS('REFERENCIAS'!$T$15:$T$34,"ID:"&amp;SUBSTITUTE(SUBSTITUTE(SUBSTITUTE(SUBSTITUTE(UPPER(TRIM('DATOS'!F246&amp;"")),"!","!E"),"*","!A"),"?","!B"),"~","!C"),'REFERENCIAS'!$H$15:$H$34,"&lt;&gt;")&gt;0,0,1))),2)</f>
      </c>
      <c r="U246" s="29" t="str">
        <f>'DATOS'!R246</f>
        <v>ID:</v>
      </c>
      <c r="V246" s="29" t="str">
        <f>'DATOS'!S246</f>
        <v>ID:</v>
      </c>
      <c r="W246" s="29" t="n">
        <f>IF(N246=0,0,COUNTIFS('REFERENCIAS'!$R$15:$R$64,U246))</f>
        <v>0</v>
      </c>
      <c r="X246" s="29" t="n">
        <f>IF(N246=0,0,COUNTIFS('DATOS'!$R$10:$R$509,U246,'DATOS'!$S$10:$S$509,V246))</f>
        <v>0</v>
      </c>
      <c r="Y246" s="29" t="n">
        <f>IF(AND(ISNUMBER('DATOS'!G246),ISNUMBER('DATOS'!H246),ISNUMBER('DATOS'!J246)),1,0)</f>
        <v>0</v>
      </c>
    </row>
    <row r="247" ht="64" customHeight="1">
      <c r="B247" s="26">
        <f>IF(N247=1,238,"")</f>
      </c>
      <c r="C247" s="26">
        <f>IF(AND(N247=1,LEN(TRIM('DATOS'!B247&amp;""))&gt;0),'DATOS'!B247,"")</f>
      </c>
      <c r="D247" s="26">
        <f>IF(AND(N247=1,LEN(TRIM('DATOS'!C247&amp;""))&gt;0),'DATOS'!C247,"")</f>
      </c>
      <c r="E247" s="26">
        <f>IF(NOT(ISNUMBER(P247)),"",IF(P247=2,"ROJO",IF(P247=1,"ÁMBAR","VERDE")))</f>
      </c>
      <c r="F247" s="26">
        <f>IF(NOT(ISNUMBER(Q247)),"",IF(Q247=2,"ROJO",IF(Q247=1,"ÁMBAR","VERDE")))</f>
      </c>
      <c r="G247" s="26">
        <f>IF(NOT(ISNUMBER(R247)),"",IF(R247=2,"ROJO",IF(R247=1,"ÁMBAR","VERDE")))</f>
      </c>
      <c r="H247" s="26">
        <f>IF(NOT(ISNUMBER(S247)),"",IF(S247=2,"ROJO",IF(S247=1,"ÁMBAR","VERDE")))</f>
      </c>
      <c r="I247" s="26">
        <f>IF(NOT(ISNUMBER(T247)),"",IF(T247=2,"ROJO",IF(T247=1,"ÁMBAR","VERDE")))</f>
      </c>
      <c r="J247" s="26">
        <f>IF(NOT(ISNUMBER(O247)),"",IF(O247=2,"ROJO",IF(O247=1,"ÁMBAR","VERDE")))</f>
      </c>
      <c r="K247" s="26">
        <f>IFERROR(IF(AND(N247=1,LEN(TRIM('DATOS'!N247&amp;""))&gt;0),'DATOS'!N247,""),"Hay una entrada con error. Corregimos el dato antes de cerrar la comprobación.")</f>
      </c>
      <c r="L247" s="26">
        <f>IFERROR(IF(N247=0,"",IF(O247&gt;0,"Completamos datos, claves o motivo. ","")&amp;IF(P247&gt;0,"Cotejamos precios e importe. ","")&amp;IF(Q247&gt;0,"Aclaramos el cero. ","")&amp;IF(R247&gt;0,"Comprobamos el texto. ","")&amp;IF(S247&gt;0,"Revisamos decimales visibles. ","")&amp;IF(T247&gt;0,"Confirmamos la unidad.","")),"Hay una entrada con error. Corregimos el dato antes de cerrar la comprobación.")</f>
      </c>
      <c r="N247" s="29" t="n">
        <f>IF(COUNTA('DATOS'!B247:O247)&gt;0,1,0)</f>
        <v>0</v>
      </c>
      <c r="O247" s="29">
        <f>IFERROR(IF(N247=0,"",IF(OR(NOT(AND(LEN(TRIM('DATOS'!B247&amp;""))&gt;0,TRIM('DATOS'!B247&amp;"")&lt;&gt;"Pendiente",TRIM('DATOS'!B247&amp;"")&lt;&gt;"Por confirmar",TRIM('DATOS'!B247&amp;"")&lt;&gt;"No consta",TRIM('DATOS'!B247&amp;"")&lt;&gt;"Desconocido",TRIM('DATOS'!B247&amp;"")&lt;&gt;"Sin confirmar",TRIM('DATOS'!B247&amp;"")&lt;&gt;"Por decidir",TRIM('DATOS'!B247&amp;"")&lt;&gt;"Por comprobar")),NOT(AND(LEN(TRIM('DATOS'!C247&amp;""))&gt;0,TRIM('DATOS'!C247&amp;"")&lt;&gt;"Pendiente",TRIM('DATOS'!C247&amp;"")&lt;&gt;"Por confirmar",TRIM('DATOS'!C247&amp;"")&lt;&gt;"No consta",TRIM('DATOS'!C247&amp;"")&lt;&gt;"Desconocido",TRIM('DATOS'!C247&amp;"")&lt;&gt;"Sin confirmar",TRIM('DATOS'!C247&amp;"")&lt;&gt;"Por decidir",TRIM('DATOS'!C247&amp;"")&lt;&gt;"Por comprobar")),NOT(AND(LEN(TRIM('DATOS'!D247&amp;""))&gt;0,TRIM('DATOS'!D247&amp;"")&lt;&gt;"Pendiente",TRIM('DATOS'!D247&amp;"")&lt;&gt;"Por confirmar",TRIM('DATOS'!D247&amp;"")&lt;&gt;"No consta",TRIM('DATOS'!D247&amp;"")&lt;&gt;"Desconocido",TRIM('DATOS'!D247&amp;"")&lt;&gt;"Sin confirmar",TRIM('DATOS'!D247&amp;"")&lt;&gt;"Por decidir",TRIM('DATOS'!D247&amp;"")&lt;&gt;"Por comprobar")),NOT(AND(LEN(TRIM('DATOS'!E247&amp;""))&gt;0,TRIM('DATOS'!E247&amp;"")&lt;&gt;"Pendiente",TRIM('DATOS'!E247&amp;"")&lt;&gt;"Por confirmar",TRIM('DATOS'!E247&amp;"")&lt;&gt;"No consta",TRIM('DATOS'!E247&amp;"")&lt;&gt;"Desconocido",TRIM('DATOS'!E247&amp;"")&lt;&gt;"Sin confirmar",TRIM('DATOS'!E247&amp;"")&lt;&gt;"Por decidir",TRIM('DATOS'!E247&amp;"")&lt;&gt;"Por comprobar")),NOT(AND(LEN(TRIM('DATOS'!F247&amp;""))&gt;0,TRIM('DATOS'!F247&amp;"")&lt;&gt;"Pendiente",TRIM('DATOS'!F247&amp;"")&lt;&gt;"Por confirmar",TRIM('DATOS'!F247&amp;"")&lt;&gt;"No consta",TRIM('DATOS'!F247&amp;"")&lt;&gt;"Desconocido",TRIM('DATOS'!F247&amp;"")&lt;&gt;"Sin confirmar",TRIM('DATOS'!F247&amp;"")&lt;&gt;"Por decidir",TRIM('DATOS'!F247&amp;"")&lt;&gt;"Por comprobar")),NOT(AND(LEN(TRIM('DATOS'!N247&amp;""))&gt;0,TRIM('DATOS'!N247&amp;"")&lt;&gt;"Pendiente",TRIM('DATOS'!N247&amp;"")&lt;&gt;"Por confirmar",TRIM('DATOS'!N247&amp;"")&lt;&gt;"No consta",TRIM('DATOS'!N247&amp;"")&lt;&gt;"Desconocido",TRIM('DATOS'!N247&amp;"")&lt;&gt;"Sin confirmar",TRIM('DATOS'!N247&amp;"")&lt;&gt;"Por decidir",TRIM('DATOS'!N247&amp;"")&lt;&gt;"Por comprobar")),NOT(Y247=1),W247&lt;&gt;1,X247&gt;1,NOT(OR(LEN(TRIM('DATOS'!K247&amp;""))=0,'DATOS'!K247="Sin valorar",'DATOS'!K247="Sin coste documentado",'DATOS'!K247="Incluido en otra partida",'DATOS'!K247="Por confirmar")),NOT(OR(LEN(TRIM('DATOS'!M247&amp;""))=0,'DATOS'!M247="Sí",'DATOS'!M247="No",'DATOS'!M247="Por confirmar")),NOT(OR(LEN(TRIM('DATOS'!O247&amp;""))=0,'DATOS'!O247="Comparamos",'DATOS'!O247="No existe",'DATOS'!O247="Por confirmar"))),2,IF(AND(OR('DATOS'!G247&lt;0,'DATOS'!H247&lt;0,'DATOS'!J247&lt;0),NOT(AND(LEN(TRIM('DATOS'!L247&amp;""))&gt;0,TRIM('DATOS'!L247&amp;"")&lt;&gt;"Pendiente",TRIM('DATOS'!L247&amp;"")&lt;&gt;"Por confirmar",TRIM('DATOS'!L247&amp;"")&lt;&gt;"No consta",TRIM('DATOS'!L247&amp;"")&lt;&gt;"Desconocido",TRIM('DATOS'!L247&amp;"")&lt;&gt;"Sin confirmar",TRIM('DATOS'!L247&amp;"")&lt;&gt;"Por decidir",TRIM('DATOS'!L247&amp;"")&lt;&gt;"Por comprobar"))),1,0))),2)</f>
      </c>
      <c r="P247" s="29">
        <f>IFERROR(IF(N247=0,"",IF(NOT(Y247=1),1,IF('REFERENCIAS'!$Q$8&lt;&gt;1,2,IF(ABS('DATOS'!J247-ROUND('DATOS'!G247*'DATOS'!H247,'REFERENCIAS'!$K$8))&gt;0.00000001,2,IF('DATOS'!O247="No existe",IF(LEN(TRIM('DATOS'!I247&amp;""))=0,0,2),IF('DATOS'!O247="Comparamos",IF(LEN(TRIM('DATOS'!I247&amp;""))=0,1,IF(ISNUMBER('DATOS'!I247),IF(ABS('DATOS'!H247-'DATOS'!I247)&gt;0.00000001,2,0),2)),1)))))),2)</f>
      </c>
      <c r="Q247" s="29">
        <f>IFERROR(IF(N247=0,"",IF(NOT(Y247=1),1,IF('DATOS'!K247="Sin valorar",2,IF('DATOS'!G247=0,1,IF(OR('DATOS'!H247=0,'DATOS'!J247=0),IF(AND(OR('DATOS'!K247="Sin coste documentado",'DATOS'!K247="Incluido en otra partida"),AND(LEN(TRIM('DATOS'!L247&amp;""))&gt;0,TRIM('DATOS'!L247&amp;"")&lt;&gt;"Pendiente",TRIM('DATOS'!L247&amp;"")&lt;&gt;"Por confirmar",TRIM('DATOS'!L247&amp;"")&lt;&gt;"No consta",TRIM('DATOS'!L247&amp;"")&lt;&gt;"Desconocido",TRIM('DATOS'!L247&amp;"")&lt;&gt;"Sin confirmar",TRIM('DATOS'!L247&amp;"")&lt;&gt;"Por decidir",TRIM('DATOS'!L247&amp;"")&lt;&gt;"Por comprobar")),0,1),0))))),2)</f>
      </c>
      <c r="R247" s="29">
        <f>IFERROR(IF(N247=0,"",IF(OR(NOT(AND(LEN(TRIM('DATOS'!D247&amp;""))&gt;0,TRIM('DATOS'!D247&amp;"")&lt;&gt;"Pendiente",TRIM('DATOS'!D247&amp;"")&lt;&gt;"Por confirmar",TRIM('DATOS'!D247&amp;"")&lt;&gt;"No consta",TRIM('DATOS'!D247&amp;"")&lt;&gt;"Desconocido",TRIM('DATOS'!D247&amp;"")&lt;&gt;"Sin confirmar",TRIM('DATOS'!D247&amp;"")&lt;&gt;"Por decidir",TRIM('DATOS'!D247&amp;"")&lt;&gt;"Por comprobar")),NOT(AND(LEN(TRIM('DATOS'!E247&amp;""))&gt;0,TRIM('DATOS'!E247&amp;"")&lt;&gt;"Pendiente",TRIM('DATOS'!E247&amp;"")&lt;&gt;"Por confirmar",TRIM('DATOS'!E247&amp;"")&lt;&gt;"No consta",TRIM('DATOS'!E247&amp;"")&lt;&gt;"Desconocido",TRIM('DATOS'!E247&amp;"")&lt;&gt;"Sin confirmar",TRIM('DATOS'!E247&amp;"")&lt;&gt;"Por decidir",TRIM('DATOS'!E247&amp;"")&lt;&gt;"Por comprobar"))),2,IF('DATOS'!M247="No",2,IF('DATOS'!M247="Sí",0,IF(OR('DATOS'!D247&lt;&gt;'DATOS'!E247,LEN('DATOS'!E247)&gt;300,RIGHT(TRIM('DATOS'!E247),3)="...",RIGHT(TRIM('DATOS'!E247),1)="…"),1,0))))),2)</f>
      </c>
      <c r="S247" s="29">
        <f>IFERROR(IF(N247=0,"",IF('REFERENCIAS'!$Q$8&lt;&gt;1,2,IF(NOT(Y247=1),1,IF(OR(ABS('DATOS'!G247-ROUND('DATOS'!G247,'REFERENCIAS'!$E$8))&gt;0.00000001,ABS('DATOS'!H247-ROUND('DATOS'!H247,'REFERENCIAS'!$H$8))&gt;0.00000001,ABS('DATOS'!J247-ROUND('DATOS'!J247,'REFERENCIAS'!$K$8))&gt;0.00000001,IF(ISNUMBER('DATOS'!I247),ABS('DATOS'!I247-ROUND('DATOS'!I247,'REFERENCIAS'!$H$8))&gt;0.00000001,FALSE)),1,0)))),2)</f>
      </c>
      <c r="T247" s="29">
        <f>IFERROR(IF(N247=0,"",IF(NOT(AND(LEN(TRIM('DATOS'!F247&amp;""))&gt;0,TRIM('DATOS'!F247&amp;"")&lt;&gt;"Pendiente",TRIM('DATOS'!F247&amp;"")&lt;&gt;"Por confirmar",TRIM('DATOS'!F247&amp;"")&lt;&gt;"No consta",TRIM('DATOS'!F247&amp;"")&lt;&gt;"Desconocido",TRIM('DATOS'!F247&amp;"")&lt;&gt;"Sin confirmar",TRIM('DATOS'!F247&amp;"")&lt;&gt;"Por decidir",TRIM('DATOS'!F247&amp;"")&lt;&gt;"Por comprobar")),2,IF(COUNTIFS('REFERENCIAS'!$T$15:$T$34,"ID:"&amp;SUBSTITUTE(SUBSTITUTE(SUBSTITUTE(SUBSTITUTE(UPPER(TRIM('DATOS'!F247&amp;"")),"!","!E"),"*","!A"),"?","!B"),"~","!C"),'REFERENCIAS'!$H$15:$H$34,"&lt;&gt;")&gt;0,0,1))),2)</f>
      </c>
      <c r="U247" s="29" t="str">
        <f>'DATOS'!R247</f>
        <v>ID:</v>
      </c>
      <c r="V247" s="29" t="str">
        <f>'DATOS'!S247</f>
        <v>ID:</v>
      </c>
      <c r="W247" s="29" t="n">
        <f>IF(N247=0,0,COUNTIFS('REFERENCIAS'!$R$15:$R$64,U247))</f>
        <v>0</v>
      </c>
      <c r="X247" s="29" t="n">
        <f>IF(N247=0,0,COUNTIFS('DATOS'!$R$10:$R$509,U247,'DATOS'!$S$10:$S$509,V247))</f>
        <v>0</v>
      </c>
      <c r="Y247" s="29" t="n">
        <f>IF(AND(ISNUMBER('DATOS'!G247),ISNUMBER('DATOS'!H247),ISNUMBER('DATOS'!J247)),1,0)</f>
        <v>0</v>
      </c>
    </row>
    <row r="248" ht="64" customHeight="1">
      <c r="B248" s="26">
        <f>IF(N248=1,239,"")</f>
      </c>
      <c r="C248" s="26">
        <f>IF(AND(N248=1,LEN(TRIM('DATOS'!B248&amp;""))&gt;0),'DATOS'!B248,"")</f>
      </c>
      <c r="D248" s="26">
        <f>IF(AND(N248=1,LEN(TRIM('DATOS'!C248&amp;""))&gt;0),'DATOS'!C248,"")</f>
      </c>
      <c r="E248" s="26">
        <f>IF(NOT(ISNUMBER(P248)),"",IF(P248=2,"ROJO",IF(P248=1,"ÁMBAR","VERDE")))</f>
      </c>
      <c r="F248" s="26">
        <f>IF(NOT(ISNUMBER(Q248)),"",IF(Q248=2,"ROJO",IF(Q248=1,"ÁMBAR","VERDE")))</f>
      </c>
      <c r="G248" s="26">
        <f>IF(NOT(ISNUMBER(R248)),"",IF(R248=2,"ROJO",IF(R248=1,"ÁMBAR","VERDE")))</f>
      </c>
      <c r="H248" s="26">
        <f>IF(NOT(ISNUMBER(S248)),"",IF(S248=2,"ROJO",IF(S248=1,"ÁMBAR","VERDE")))</f>
      </c>
      <c r="I248" s="26">
        <f>IF(NOT(ISNUMBER(T248)),"",IF(T248=2,"ROJO",IF(T248=1,"ÁMBAR","VERDE")))</f>
      </c>
      <c r="J248" s="26">
        <f>IF(NOT(ISNUMBER(O248)),"",IF(O248=2,"ROJO",IF(O248=1,"ÁMBAR","VERDE")))</f>
      </c>
      <c r="K248" s="26">
        <f>IFERROR(IF(AND(N248=1,LEN(TRIM('DATOS'!N248&amp;""))&gt;0),'DATOS'!N248,""),"Hay una entrada con error. Corregimos el dato antes de cerrar la comprobación.")</f>
      </c>
      <c r="L248" s="26">
        <f>IFERROR(IF(N248=0,"",IF(O248&gt;0,"Completamos datos, claves o motivo. ","")&amp;IF(P248&gt;0,"Cotejamos precios e importe. ","")&amp;IF(Q248&gt;0,"Aclaramos el cero. ","")&amp;IF(R248&gt;0,"Comprobamos el texto. ","")&amp;IF(S248&gt;0,"Revisamos decimales visibles. ","")&amp;IF(T248&gt;0,"Confirmamos la unidad.","")),"Hay una entrada con error. Corregimos el dato antes de cerrar la comprobación.")</f>
      </c>
      <c r="N248" s="29" t="n">
        <f>IF(COUNTA('DATOS'!B248:O248)&gt;0,1,0)</f>
        <v>0</v>
      </c>
      <c r="O248" s="29">
        <f>IFERROR(IF(N248=0,"",IF(OR(NOT(AND(LEN(TRIM('DATOS'!B248&amp;""))&gt;0,TRIM('DATOS'!B248&amp;"")&lt;&gt;"Pendiente",TRIM('DATOS'!B248&amp;"")&lt;&gt;"Por confirmar",TRIM('DATOS'!B248&amp;"")&lt;&gt;"No consta",TRIM('DATOS'!B248&amp;"")&lt;&gt;"Desconocido",TRIM('DATOS'!B248&amp;"")&lt;&gt;"Sin confirmar",TRIM('DATOS'!B248&amp;"")&lt;&gt;"Por decidir",TRIM('DATOS'!B248&amp;"")&lt;&gt;"Por comprobar")),NOT(AND(LEN(TRIM('DATOS'!C248&amp;""))&gt;0,TRIM('DATOS'!C248&amp;"")&lt;&gt;"Pendiente",TRIM('DATOS'!C248&amp;"")&lt;&gt;"Por confirmar",TRIM('DATOS'!C248&amp;"")&lt;&gt;"No consta",TRIM('DATOS'!C248&amp;"")&lt;&gt;"Desconocido",TRIM('DATOS'!C248&amp;"")&lt;&gt;"Sin confirmar",TRIM('DATOS'!C248&amp;"")&lt;&gt;"Por decidir",TRIM('DATOS'!C248&amp;"")&lt;&gt;"Por comprobar")),NOT(AND(LEN(TRIM('DATOS'!D248&amp;""))&gt;0,TRIM('DATOS'!D248&amp;"")&lt;&gt;"Pendiente",TRIM('DATOS'!D248&amp;"")&lt;&gt;"Por confirmar",TRIM('DATOS'!D248&amp;"")&lt;&gt;"No consta",TRIM('DATOS'!D248&amp;"")&lt;&gt;"Desconocido",TRIM('DATOS'!D248&amp;"")&lt;&gt;"Sin confirmar",TRIM('DATOS'!D248&amp;"")&lt;&gt;"Por decidir",TRIM('DATOS'!D248&amp;"")&lt;&gt;"Por comprobar")),NOT(AND(LEN(TRIM('DATOS'!E248&amp;""))&gt;0,TRIM('DATOS'!E248&amp;"")&lt;&gt;"Pendiente",TRIM('DATOS'!E248&amp;"")&lt;&gt;"Por confirmar",TRIM('DATOS'!E248&amp;"")&lt;&gt;"No consta",TRIM('DATOS'!E248&amp;"")&lt;&gt;"Desconocido",TRIM('DATOS'!E248&amp;"")&lt;&gt;"Sin confirmar",TRIM('DATOS'!E248&amp;"")&lt;&gt;"Por decidir",TRIM('DATOS'!E248&amp;"")&lt;&gt;"Por comprobar")),NOT(AND(LEN(TRIM('DATOS'!F248&amp;""))&gt;0,TRIM('DATOS'!F248&amp;"")&lt;&gt;"Pendiente",TRIM('DATOS'!F248&amp;"")&lt;&gt;"Por confirmar",TRIM('DATOS'!F248&amp;"")&lt;&gt;"No consta",TRIM('DATOS'!F248&amp;"")&lt;&gt;"Desconocido",TRIM('DATOS'!F248&amp;"")&lt;&gt;"Sin confirmar",TRIM('DATOS'!F248&amp;"")&lt;&gt;"Por decidir",TRIM('DATOS'!F248&amp;"")&lt;&gt;"Por comprobar")),NOT(AND(LEN(TRIM('DATOS'!N248&amp;""))&gt;0,TRIM('DATOS'!N248&amp;"")&lt;&gt;"Pendiente",TRIM('DATOS'!N248&amp;"")&lt;&gt;"Por confirmar",TRIM('DATOS'!N248&amp;"")&lt;&gt;"No consta",TRIM('DATOS'!N248&amp;"")&lt;&gt;"Desconocido",TRIM('DATOS'!N248&amp;"")&lt;&gt;"Sin confirmar",TRIM('DATOS'!N248&amp;"")&lt;&gt;"Por decidir",TRIM('DATOS'!N248&amp;"")&lt;&gt;"Por comprobar")),NOT(Y248=1),W248&lt;&gt;1,X248&gt;1,NOT(OR(LEN(TRIM('DATOS'!K248&amp;""))=0,'DATOS'!K248="Sin valorar",'DATOS'!K248="Sin coste documentado",'DATOS'!K248="Incluido en otra partida",'DATOS'!K248="Por confirmar")),NOT(OR(LEN(TRIM('DATOS'!M248&amp;""))=0,'DATOS'!M248="Sí",'DATOS'!M248="No",'DATOS'!M248="Por confirmar")),NOT(OR(LEN(TRIM('DATOS'!O248&amp;""))=0,'DATOS'!O248="Comparamos",'DATOS'!O248="No existe",'DATOS'!O248="Por confirmar"))),2,IF(AND(OR('DATOS'!G248&lt;0,'DATOS'!H248&lt;0,'DATOS'!J248&lt;0),NOT(AND(LEN(TRIM('DATOS'!L248&amp;""))&gt;0,TRIM('DATOS'!L248&amp;"")&lt;&gt;"Pendiente",TRIM('DATOS'!L248&amp;"")&lt;&gt;"Por confirmar",TRIM('DATOS'!L248&amp;"")&lt;&gt;"No consta",TRIM('DATOS'!L248&amp;"")&lt;&gt;"Desconocido",TRIM('DATOS'!L248&amp;"")&lt;&gt;"Sin confirmar",TRIM('DATOS'!L248&amp;"")&lt;&gt;"Por decidir",TRIM('DATOS'!L248&amp;"")&lt;&gt;"Por comprobar"))),1,0))),2)</f>
      </c>
      <c r="P248" s="29">
        <f>IFERROR(IF(N248=0,"",IF(NOT(Y248=1),1,IF('REFERENCIAS'!$Q$8&lt;&gt;1,2,IF(ABS('DATOS'!J248-ROUND('DATOS'!G248*'DATOS'!H248,'REFERENCIAS'!$K$8))&gt;0.00000001,2,IF('DATOS'!O248="No existe",IF(LEN(TRIM('DATOS'!I248&amp;""))=0,0,2),IF('DATOS'!O248="Comparamos",IF(LEN(TRIM('DATOS'!I248&amp;""))=0,1,IF(ISNUMBER('DATOS'!I248),IF(ABS('DATOS'!H248-'DATOS'!I248)&gt;0.00000001,2,0),2)),1)))))),2)</f>
      </c>
      <c r="Q248" s="29">
        <f>IFERROR(IF(N248=0,"",IF(NOT(Y248=1),1,IF('DATOS'!K248="Sin valorar",2,IF('DATOS'!G248=0,1,IF(OR('DATOS'!H248=0,'DATOS'!J248=0),IF(AND(OR('DATOS'!K248="Sin coste documentado",'DATOS'!K248="Incluido en otra partida"),AND(LEN(TRIM('DATOS'!L248&amp;""))&gt;0,TRIM('DATOS'!L248&amp;"")&lt;&gt;"Pendiente",TRIM('DATOS'!L248&amp;"")&lt;&gt;"Por confirmar",TRIM('DATOS'!L248&amp;"")&lt;&gt;"No consta",TRIM('DATOS'!L248&amp;"")&lt;&gt;"Desconocido",TRIM('DATOS'!L248&amp;"")&lt;&gt;"Sin confirmar",TRIM('DATOS'!L248&amp;"")&lt;&gt;"Por decidir",TRIM('DATOS'!L248&amp;"")&lt;&gt;"Por comprobar")),0,1),0))))),2)</f>
      </c>
      <c r="R248" s="29">
        <f>IFERROR(IF(N248=0,"",IF(OR(NOT(AND(LEN(TRIM('DATOS'!D248&amp;""))&gt;0,TRIM('DATOS'!D248&amp;"")&lt;&gt;"Pendiente",TRIM('DATOS'!D248&amp;"")&lt;&gt;"Por confirmar",TRIM('DATOS'!D248&amp;"")&lt;&gt;"No consta",TRIM('DATOS'!D248&amp;"")&lt;&gt;"Desconocido",TRIM('DATOS'!D248&amp;"")&lt;&gt;"Sin confirmar",TRIM('DATOS'!D248&amp;"")&lt;&gt;"Por decidir",TRIM('DATOS'!D248&amp;"")&lt;&gt;"Por comprobar")),NOT(AND(LEN(TRIM('DATOS'!E248&amp;""))&gt;0,TRIM('DATOS'!E248&amp;"")&lt;&gt;"Pendiente",TRIM('DATOS'!E248&amp;"")&lt;&gt;"Por confirmar",TRIM('DATOS'!E248&amp;"")&lt;&gt;"No consta",TRIM('DATOS'!E248&amp;"")&lt;&gt;"Desconocido",TRIM('DATOS'!E248&amp;"")&lt;&gt;"Sin confirmar",TRIM('DATOS'!E248&amp;"")&lt;&gt;"Por decidir",TRIM('DATOS'!E248&amp;"")&lt;&gt;"Por comprobar"))),2,IF('DATOS'!M248="No",2,IF('DATOS'!M248="Sí",0,IF(OR('DATOS'!D248&lt;&gt;'DATOS'!E248,LEN('DATOS'!E248)&gt;300,RIGHT(TRIM('DATOS'!E248),3)="...",RIGHT(TRIM('DATOS'!E248),1)="…"),1,0))))),2)</f>
      </c>
      <c r="S248" s="29">
        <f>IFERROR(IF(N248=0,"",IF('REFERENCIAS'!$Q$8&lt;&gt;1,2,IF(NOT(Y248=1),1,IF(OR(ABS('DATOS'!G248-ROUND('DATOS'!G248,'REFERENCIAS'!$E$8))&gt;0.00000001,ABS('DATOS'!H248-ROUND('DATOS'!H248,'REFERENCIAS'!$H$8))&gt;0.00000001,ABS('DATOS'!J248-ROUND('DATOS'!J248,'REFERENCIAS'!$K$8))&gt;0.00000001,IF(ISNUMBER('DATOS'!I248),ABS('DATOS'!I248-ROUND('DATOS'!I248,'REFERENCIAS'!$H$8))&gt;0.00000001,FALSE)),1,0)))),2)</f>
      </c>
      <c r="T248" s="29">
        <f>IFERROR(IF(N248=0,"",IF(NOT(AND(LEN(TRIM('DATOS'!F248&amp;""))&gt;0,TRIM('DATOS'!F248&amp;"")&lt;&gt;"Pendiente",TRIM('DATOS'!F248&amp;"")&lt;&gt;"Por confirmar",TRIM('DATOS'!F248&amp;"")&lt;&gt;"No consta",TRIM('DATOS'!F248&amp;"")&lt;&gt;"Desconocido",TRIM('DATOS'!F248&amp;"")&lt;&gt;"Sin confirmar",TRIM('DATOS'!F248&amp;"")&lt;&gt;"Por decidir",TRIM('DATOS'!F248&amp;"")&lt;&gt;"Por comprobar")),2,IF(COUNTIFS('REFERENCIAS'!$T$15:$T$34,"ID:"&amp;SUBSTITUTE(SUBSTITUTE(SUBSTITUTE(SUBSTITUTE(UPPER(TRIM('DATOS'!F248&amp;"")),"!","!E"),"*","!A"),"?","!B"),"~","!C"),'REFERENCIAS'!$H$15:$H$34,"&lt;&gt;")&gt;0,0,1))),2)</f>
      </c>
      <c r="U248" s="29" t="str">
        <f>'DATOS'!R248</f>
        <v>ID:</v>
      </c>
      <c r="V248" s="29" t="str">
        <f>'DATOS'!S248</f>
        <v>ID:</v>
      </c>
      <c r="W248" s="29" t="n">
        <f>IF(N248=0,0,COUNTIFS('REFERENCIAS'!$R$15:$R$64,U248))</f>
        <v>0</v>
      </c>
      <c r="X248" s="29" t="n">
        <f>IF(N248=0,0,COUNTIFS('DATOS'!$R$10:$R$509,U248,'DATOS'!$S$10:$S$509,V248))</f>
        <v>0</v>
      </c>
      <c r="Y248" s="29" t="n">
        <f>IF(AND(ISNUMBER('DATOS'!G248),ISNUMBER('DATOS'!H248),ISNUMBER('DATOS'!J248)),1,0)</f>
        <v>0</v>
      </c>
    </row>
    <row r="249" ht="64" customHeight="1">
      <c r="B249" s="26">
        <f>IF(N249=1,240,"")</f>
      </c>
      <c r="C249" s="26">
        <f>IF(AND(N249=1,LEN(TRIM('DATOS'!B249&amp;""))&gt;0),'DATOS'!B249,"")</f>
      </c>
      <c r="D249" s="26">
        <f>IF(AND(N249=1,LEN(TRIM('DATOS'!C249&amp;""))&gt;0),'DATOS'!C249,"")</f>
      </c>
      <c r="E249" s="26">
        <f>IF(NOT(ISNUMBER(P249)),"",IF(P249=2,"ROJO",IF(P249=1,"ÁMBAR","VERDE")))</f>
      </c>
      <c r="F249" s="26">
        <f>IF(NOT(ISNUMBER(Q249)),"",IF(Q249=2,"ROJO",IF(Q249=1,"ÁMBAR","VERDE")))</f>
      </c>
      <c r="G249" s="26">
        <f>IF(NOT(ISNUMBER(R249)),"",IF(R249=2,"ROJO",IF(R249=1,"ÁMBAR","VERDE")))</f>
      </c>
      <c r="H249" s="26">
        <f>IF(NOT(ISNUMBER(S249)),"",IF(S249=2,"ROJO",IF(S249=1,"ÁMBAR","VERDE")))</f>
      </c>
      <c r="I249" s="26">
        <f>IF(NOT(ISNUMBER(T249)),"",IF(T249=2,"ROJO",IF(T249=1,"ÁMBAR","VERDE")))</f>
      </c>
      <c r="J249" s="26">
        <f>IF(NOT(ISNUMBER(O249)),"",IF(O249=2,"ROJO",IF(O249=1,"ÁMBAR","VERDE")))</f>
      </c>
      <c r="K249" s="26">
        <f>IFERROR(IF(AND(N249=1,LEN(TRIM('DATOS'!N249&amp;""))&gt;0),'DATOS'!N249,""),"Hay una entrada con error. Corregimos el dato antes de cerrar la comprobación.")</f>
      </c>
      <c r="L249" s="26">
        <f>IFERROR(IF(N249=0,"",IF(O249&gt;0,"Completamos datos, claves o motivo. ","")&amp;IF(P249&gt;0,"Cotejamos precios e importe. ","")&amp;IF(Q249&gt;0,"Aclaramos el cero. ","")&amp;IF(R249&gt;0,"Comprobamos el texto. ","")&amp;IF(S249&gt;0,"Revisamos decimales visibles. ","")&amp;IF(T249&gt;0,"Confirmamos la unidad.","")),"Hay una entrada con error. Corregimos el dato antes de cerrar la comprobación.")</f>
      </c>
      <c r="N249" s="29" t="n">
        <f>IF(COUNTA('DATOS'!B249:O249)&gt;0,1,0)</f>
        <v>0</v>
      </c>
      <c r="O249" s="29">
        <f>IFERROR(IF(N249=0,"",IF(OR(NOT(AND(LEN(TRIM('DATOS'!B249&amp;""))&gt;0,TRIM('DATOS'!B249&amp;"")&lt;&gt;"Pendiente",TRIM('DATOS'!B249&amp;"")&lt;&gt;"Por confirmar",TRIM('DATOS'!B249&amp;"")&lt;&gt;"No consta",TRIM('DATOS'!B249&amp;"")&lt;&gt;"Desconocido",TRIM('DATOS'!B249&amp;"")&lt;&gt;"Sin confirmar",TRIM('DATOS'!B249&amp;"")&lt;&gt;"Por decidir",TRIM('DATOS'!B249&amp;"")&lt;&gt;"Por comprobar")),NOT(AND(LEN(TRIM('DATOS'!C249&amp;""))&gt;0,TRIM('DATOS'!C249&amp;"")&lt;&gt;"Pendiente",TRIM('DATOS'!C249&amp;"")&lt;&gt;"Por confirmar",TRIM('DATOS'!C249&amp;"")&lt;&gt;"No consta",TRIM('DATOS'!C249&amp;"")&lt;&gt;"Desconocido",TRIM('DATOS'!C249&amp;"")&lt;&gt;"Sin confirmar",TRIM('DATOS'!C249&amp;"")&lt;&gt;"Por decidir",TRIM('DATOS'!C249&amp;"")&lt;&gt;"Por comprobar")),NOT(AND(LEN(TRIM('DATOS'!D249&amp;""))&gt;0,TRIM('DATOS'!D249&amp;"")&lt;&gt;"Pendiente",TRIM('DATOS'!D249&amp;"")&lt;&gt;"Por confirmar",TRIM('DATOS'!D249&amp;"")&lt;&gt;"No consta",TRIM('DATOS'!D249&amp;"")&lt;&gt;"Desconocido",TRIM('DATOS'!D249&amp;"")&lt;&gt;"Sin confirmar",TRIM('DATOS'!D249&amp;"")&lt;&gt;"Por decidir",TRIM('DATOS'!D249&amp;"")&lt;&gt;"Por comprobar")),NOT(AND(LEN(TRIM('DATOS'!E249&amp;""))&gt;0,TRIM('DATOS'!E249&amp;"")&lt;&gt;"Pendiente",TRIM('DATOS'!E249&amp;"")&lt;&gt;"Por confirmar",TRIM('DATOS'!E249&amp;"")&lt;&gt;"No consta",TRIM('DATOS'!E249&amp;"")&lt;&gt;"Desconocido",TRIM('DATOS'!E249&amp;"")&lt;&gt;"Sin confirmar",TRIM('DATOS'!E249&amp;"")&lt;&gt;"Por decidir",TRIM('DATOS'!E249&amp;"")&lt;&gt;"Por comprobar")),NOT(AND(LEN(TRIM('DATOS'!F249&amp;""))&gt;0,TRIM('DATOS'!F249&amp;"")&lt;&gt;"Pendiente",TRIM('DATOS'!F249&amp;"")&lt;&gt;"Por confirmar",TRIM('DATOS'!F249&amp;"")&lt;&gt;"No consta",TRIM('DATOS'!F249&amp;"")&lt;&gt;"Desconocido",TRIM('DATOS'!F249&amp;"")&lt;&gt;"Sin confirmar",TRIM('DATOS'!F249&amp;"")&lt;&gt;"Por decidir",TRIM('DATOS'!F249&amp;"")&lt;&gt;"Por comprobar")),NOT(AND(LEN(TRIM('DATOS'!N249&amp;""))&gt;0,TRIM('DATOS'!N249&amp;"")&lt;&gt;"Pendiente",TRIM('DATOS'!N249&amp;"")&lt;&gt;"Por confirmar",TRIM('DATOS'!N249&amp;"")&lt;&gt;"No consta",TRIM('DATOS'!N249&amp;"")&lt;&gt;"Desconocido",TRIM('DATOS'!N249&amp;"")&lt;&gt;"Sin confirmar",TRIM('DATOS'!N249&amp;"")&lt;&gt;"Por decidir",TRIM('DATOS'!N249&amp;"")&lt;&gt;"Por comprobar")),NOT(Y249=1),W249&lt;&gt;1,X249&gt;1,NOT(OR(LEN(TRIM('DATOS'!K249&amp;""))=0,'DATOS'!K249="Sin valorar",'DATOS'!K249="Sin coste documentado",'DATOS'!K249="Incluido en otra partida",'DATOS'!K249="Por confirmar")),NOT(OR(LEN(TRIM('DATOS'!M249&amp;""))=0,'DATOS'!M249="Sí",'DATOS'!M249="No",'DATOS'!M249="Por confirmar")),NOT(OR(LEN(TRIM('DATOS'!O249&amp;""))=0,'DATOS'!O249="Comparamos",'DATOS'!O249="No existe",'DATOS'!O249="Por confirmar"))),2,IF(AND(OR('DATOS'!G249&lt;0,'DATOS'!H249&lt;0,'DATOS'!J249&lt;0),NOT(AND(LEN(TRIM('DATOS'!L249&amp;""))&gt;0,TRIM('DATOS'!L249&amp;"")&lt;&gt;"Pendiente",TRIM('DATOS'!L249&amp;"")&lt;&gt;"Por confirmar",TRIM('DATOS'!L249&amp;"")&lt;&gt;"No consta",TRIM('DATOS'!L249&amp;"")&lt;&gt;"Desconocido",TRIM('DATOS'!L249&amp;"")&lt;&gt;"Sin confirmar",TRIM('DATOS'!L249&amp;"")&lt;&gt;"Por decidir",TRIM('DATOS'!L249&amp;"")&lt;&gt;"Por comprobar"))),1,0))),2)</f>
      </c>
      <c r="P249" s="29">
        <f>IFERROR(IF(N249=0,"",IF(NOT(Y249=1),1,IF('REFERENCIAS'!$Q$8&lt;&gt;1,2,IF(ABS('DATOS'!J249-ROUND('DATOS'!G249*'DATOS'!H249,'REFERENCIAS'!$K$8))&gt;0.00000001,2,IF('DATOS'!O249="No existe",IF(LEN(TRIM('DATOS'!I249&amp;""))=0,0,2),IF('DATOS'!O249="Comparamos",IF(LEN(TRIM('DATOS'!I249&amp;""))=0,1,IF(ISNUMBER('DATOS'!I249),IF(ABS('DATOS'!H249-'DATOS'!I249)&gt;0.00000001,2,0),2)),1)))))),2)</f>
      </c>
      <c r="Q249" s="29">
        <f>IFERROR(IF(N249=0,"",IF(NOT(Y249=1),1,IF('DATOS'!K249="Sin valorar",2,IF('DATOS'!G249=0,1,IF(OR('DATOS'!H249=0,'DATOS'!J249=0),IF(AND(OR('DATOS'!K249="Sin coste documentado",'DATOS'!K249="Incluido en otra partida"),AND(LEN(TRIM('DATOS'!L249&amp;""))&gt;0,TRIM('DATOS'!L249&amp;"")&lt;&gt;"Pendiente",TRIM('DATOS'!L249&amp;"")&lt;&gt;"Por confirmar",TRIM('DATOS'!L249&amp;"")&lt;&gt;"No consta",TRIM('DATOS'!L249&amp;"")&lt;&gt;"Desconocido",TRIM('DATOS'!L249&amp;"")&lt;&gt;"Sin confirmar",TRIM('DATOS'!L249&amp;"")&lt;&gt;"Por decidir",TRIM('DATOS'!L249&amp;"")&lt;&gt;"Por comprobar")),0,1),0))))),2)</f>
      </c>
      <c r="R249" s="29">
        <f>IFERROR(IF(N249=0,"",IF(OR(NOT(AND(LEN(TRIM('DATOS'!D249&amp;""))&gt;0,TRIM('DATOS'!D249&amp;"")&lt;&gt;"Pendiente",TRIM('DATOS'!D249&amp;"")&lt;&gt;"Por confirmar",TRIM('DATOS'!D249&amp;"")&lt;&gt;"No consta",TRIM('DATOS'!D249&amp;"")&lt;&gt;"Desconocido",TRIM('DATOS'!D249&amp;"")&lt;&gt;"Sin confirmar",TRIM('DATOS'!D249&amp;"")&lt;&gt;"Por decidir",TRIM('DATOS'!D249&amp;"")&lt;&gt;"Por comprobar")),NOT(AND(LEN(TRIM('DATOS'!E249&amp;""))&gt;0,TRIM('DATOS'!E249&amp;"")&lt;&gt;"Pendiente",TRIM('DATOS'!E249&amp;"")&lt;&gt;"Por confirmar",TRIM('DATOS'!E249&amp;"")&lt;&gt;"No consta",TRIM('DATOS'!E249&amp;"")&lt;&gt;"Desconocido",TRIM('DATOS'!E249&amp;"")&lt;&gt;"Sin confirmar",TRIM('DATOS'!E249&amp;"")&lt;&gt;"Por decidir",TRIM('DATOS'!E249&amp;"")&lt;&gt;"Por comprobar"))),2,IF('DATOS'!M249="No",2,IF('DATOS'!M249="Sí",0,IF(OR('DATOS'!D249&lt;&gt;'DATOS'!E249,LEN('DATOS'!E249)&gt;300,RIGHT(TRIM('DATOS'!E249),3)="...",RIGHT(TRIM('DATOS'!E249),1)="…"),1,0))))),2)</f>
      </c>
      <c r="S249" s="29">
        <f>IFERROR(IF(N249=0,"",IF('REFERENCIAS'!$Q$8&lt;&gt;1,2,IF(NOT(Y249=1),1,IF(OR(ABS('DATOS'!G249-ROUND('DATOS'!G249,'REFERENCIAS'!$E$8))&gt;0.00000001,ABS('DATOS'!H249-ROUND('DATOS'!H249,'REFERENCIAS'!$H$8))&gt;0.00000001,ABS('DATOS'!J249-ROUND('DATOS'!J249,'REFERENCIAS'!$K$8))&gt;0.00000001,IF(ISNUMBER('DATOS'!I249),ABS('DATOS'!I249-ROUND('DATOS'!I249,'REFERENCIAS'!$H$8))&gt;0.00000001,FALSE)),1,0)))),2)</f>
      </c>
      <c r="T249" s="29">
        <f>IFERROR(IF(N249=0,"",IF(NOT(AND(LEN(TRIM('DATOS'!F249&amp;""))&gt;0,TRIM('DATOS'!F249&amp;"")&lt;&gt;"Pendiente",TRIM('DATOS'!F249&amp;"")&lt;&gt;"Por confirmar",TRIM('DATOS'!F249&amp;"")&lt;&gt;"No consta",TRIM('DATOS'!F249&amp;"")&lt;&gt;"Desconocido",TRIM('DATOS'!F249&amp;"")&lt;&gt;"Sin confirmar",TRIM('DATOS'!F249&amp;"")&lt;&gt;"Por decidir",TRIM('DATOS'!F249&amp;"")&lt;&gt;"Por comprobar")),2,IF(COUNTIFS('REFERENCIAS'!$T$15:$T$34,"ID:"&amp;SUBSTITUTE(SUBSTITUTE(SUBSTITUTE(SUBSTITUTE(UPPER(TRIM('DATOS'!F249&amp;"")),"!","!E"),"*","!A"),"?","!B"),"~","!C"),'REFERENCIAS'!$H$15:$H$34,"&lt;&gt;")&gt;0,0,1))),2)</f>
      </c>
      <c r="U249" s="29" t="str">
        <f>'DATOS'!R249</f>
        <v>ID:</v>
      </c>
      <c r="V249" s="29" t="str">
        <f>'DATOS'!S249</f>
        <v>ID:</v>
      </c>
      <c r="W249" s="29" t="n">
        <f>IF(N249=0,0,COUNTIFS('REFERENCIAS'!$R$15:$R$64,U249))</f>
        <v>0</v>
      </c>
      <c r="X249" s="29" t="n">
        <f>IF(N249=0,0,COUNTIFS('DATOS'!$R$10:$R$509,U249,'DATOS'!$S$10:$S$509,V249))</f>
        <v>0</v>
      </c>
      <c r="Y249" s="29" t="n">
        <f>IF(AND(ISNUMBER('DATOS'!G249),ISNUMBER('DATOS'!H249),ISNUMBER('DATOS'!J249)),1,0)</f>
        <v>0</v>
      </c>
    </row>
    <row r="250" ht="64" customHeight="1">
      <c r="B250" s="26">
        <f>IF(N250=1,241,"")</f>
      </c>
      <c r="C250" s="26">
        <f>IF(AND(N250=1,LEN(TRIM('DATOS'!B250&amp;""))&gt;0),'DATOS'!B250,"")</f>
      </c>
      <c r="D250" s="26">
        <f>IF(AND(N250=1,LEN(TRIM('DATOS'!C250&amp;""))&gt;0),'DATOS'!C250,"")</f>
      </c>
      <c r="E250" s="26">
        <f>IF(NOT(ISNUMBER(P250)),"",IF(P250=2,"ROJO",IF(P250=1,"ÁMBAR","VERDE")))</f>
      </c>
      <c r="F250" s="26">
        <f>IF(NOT(ISNUMBER(Q250)),"",IF(Q250=2,"ROJO",IF(Q250=1,"ÁMBAR","VERDE")))</f>
      </c>
      <c r="G250" s="26">
        <f>IF(NOT(ISNUMBER(R250)),"",IF(R250=2,"ROJO",IF(R250=1,"ÁMBAR","VERDE")))</f>
      </c>
      <c r="H250" s="26">
        <f>IF(NOT(ISNUMBER(S250)),"",IF(S250=2,"ROJO",IF(S250=1,"ÁMBAR","VERDE")))</f>
      </c>
      <c r="I250" s="26">
        <f>IF(NOT(ISNUMBER(T250)),"",IF(T250=2,"ROJO",IF(T250=1,"ÁMBAR","VERDE")))</f>
      </c>
      <c r="J250" s="26">
        <f>IF(NOT(ISNUMBER(O250)),"",IF(O250=2,"ROJO",IF(O250=1,"ÁMBAR","VERDE")))</f>
      </c>
      <c r="K250" s="26">
        <f>IFERROR(IF(AND(N250=1,LEN(TRIM('DATOS'!N250&amp;""))&gt;0),'DATOS'!N250,""),"Hay una entrada con error. Corregimos el dato antes de cerrar la comprobación.")</f>
      </c>
      <c r="L250" s="26">
        <f>IFERROR(IF(N250=0,"",IF(O250&gt;0,"Completamos datos, claves o motivo. ","")&amp;IF(P250&gt;0,"Cotejamos precios e importe. ","")&amp;IF(Q250&gt;0,"Aclaramos el cero. ","")&amp;IF(R250&gt;0,"Comprobamos el texto. ","")&amp;IF(S250&gt;0,"Revisamos decimales visibles. ","")&amp;IF(T250&gt;0,"Confirmamos la unidad.","")),"Hay una entrada con error. Corregimos el dato antes de cerrar la comprobación.")</f>
      </c>
      <c r="N250" s="29" t="n">
        <f>IF(COUNTA('DATOS'!B250:O250)&gt;0,1,0)</f>
        <v>0</v>
      </c>
      <c r="O250" s="29">
        <f>IFERROR(IF(N250=0,"",IF(OR(NOT(AND(LEN(TRIM('DATOS'!B250&amp;""))&gt;0,TRIM('DATOS'!B250&amp;"")&lt;&gt;"Pendiente",TRIM('DATOS'!B250&amp;"")&lt;&gt;"Por confirmar",TRIM('DATOS'!B250&amp;"")&lt;&gt;"No consta",TRIM('DATOS'!B250&amp;"")&lt;&gt;"Desconocido",TRIM('DATOS'!B250&amp;"")&lt;&gt;"Sin confirmar",TRIM('DATOS'!B250&amp;"")&lt;&gt;"Por decidir",TRIM('DATOS'!B250&amp;"")&lt;&gt;"Por comprobar")),NOT(AND(LEN(TRIM('DATOS'!C250&amp;""))&gt;0,TRIM('DATOS'!C250&amp;"")&lt;&gt;"Pendiente",TRIM('DATOS'!C250&amp;"")&lt;&gt;"Por confirmar",TRIM('DATOS'!C250&amp;"")&lt;&gt;"No consta",TRIM('DATOS'!C250&amp;"")&lt;&gt;"Desconocido",TRIM('DATOS'!C250&amp;"")&lt;&gt;"Sin confirmar",TRIM('DATOS'!C250&amp;"")&lt;&gt;"Por decidir",TRIM('DATOS'!C250&amp;"")&lt;&gt;"Por comprobar")),NOT(AND(LEN(TRIM('DATOS'!D250&amp;""))&gt;0,TRIM('DATOS'!D250&amp;"")&lt;&gt;"Pendiente",TRIM('DATOS'!D250&amp;"")&lt;&gt;"Por confirmar",TRIM('DATOS'!D250&amp;"")&lt;&gt;"No consta",TRIM('DATOS'!D250&amp;"")&lt;&gt;"Desconocido",TRIM('DATOS'!D250&amp;"")&lt;&gt;"Sin confirmar",TRIM('DATOS'!D250&amp;"")&lt;&gt;"Por decidir",TRIM('DATOS'!D250&amp;"")&lt;&gt;"Por comprobar")),NOT(AND(LEN(TRIM('DATOS'!E250&amp;""))&gt;0,TRIM('DATOS'!E250&amp;"")&lt;&gt;"Pendiente",TRIM('DATOS'!E250&amp;"")&lt;&gt;"Por confirmar",TRIM('DATOS'!E250&amp;"")&lt;&gt;"No consta",TRIM('DATOS'!E250&amp;"")&lt;&gt;"Desconocido",TRIM('DATOS'!E250&amp;"")&lt;&gt;"Sin confirmar",TRIM('DATOS'!E250&amp;"")&lt;&gt;"Por decidir",TRIM('DATOS'!E250&amp;"")&lt;&gt;"Por comprobar")),NOT(AND(LEN(TRIM('DATOS'!F250&amp;""))&gt;0,TRIM('DATOS'!F250&amp;"")&lt;&gt;"Pendiente",TRIM('DATOS'!F250&amp;"")&lt;&gt;"Por confirmar",TRIM('DATOS'!F250&amp;"")&lt;&gt;"No consta",TRIM('DATOS'!F250&amp;"")&lt;&gt;"Desconocido",TRIM('DATOS'!F250&amp;"")&lt;&gt;"Sin confirmar",TRIM('DATOS'!F250&amp;"")&lt;&gt;"Por decidir",TRIM('DATOS'!F250&amp;"")&lt;&gt;"Por comprobar")),NOT(AND(LEN(TRIM('DATOS'!N250&amp;""))&gt;0,TRIM('DATOS'!N250&amp;"")&lt;&gt;"Pendiente",TRIM('DATOS'!N250&amp;"")&lt;&gt;"Por confirmar",TRIM('DATOS'!N250&amp;"")&lt;&gt;"No consta",TRIM('DATOS'!N250&amp;"")&lt;&gt;"Desconocido",TRIM('DATOS'!N250&amp;"")&lt;&gt;"Sin confirmar",TRIM('DATOS'!N250&amp;"")&lt;&gt;"Por decidir",TRIM('DATOS'!N250&amp;"")&lt;&gt;"Por comprobar")),NOT(Y250=1),W250&lt;&gt;1,X250&gt;1,NOT(OR(LEN(TRIM('DATOS'!K250&amp;""))=0,'DATOS'!K250="Sin valorar",'DATOS'!K250="Sin coste documentado",'DATOS'!K250="Incluido en otra partida",'DATOS'!K250="Por confirmar")),NOT(OR(LEN(TRIM('DATOS'!M250&amp;""))=0,'DATOS'!M250="Sí",'DATOS'!M250="No",'DATOS'!M250="Por confirmar")),NOT(OR(LEN(TRIM('DATOS'!O250&amp;""))=0,'DATOS'!O250="Comparamos",'DATOS'!O250="No existe",'DATOS'!O250="Por confirmar"))),2,IF(AND(OR('DATOS'!G250&lt;0,'DATOS'!H250&lt;0,'DATOS'!J250&lt;0),NOT(AND(LEN(TRIM('DATOS'!L250&amp;""))&gt;0,TRIM('DATOS'!L250&amp;"")&lt;&gt;"Pendiente",TRIM('DATOS'!L250&amp;"")&lt;&gt;"Por confirmar",TRIM('DATOS'!L250&amp;"")&lt;&gt;"No consta",TRIM('DATOS'!L250&amp;"")&lt;&gt;"Desconocido",TRIM('DATOS'!L250&amp;"")&lt;&gt;"Sin confirmar",TRIM('DATOS'!L250&amp;"")&lt;&gt;"Por decidir",TRIM('DATOS'!L250&amp;"")&lt;&gt;"Por comprobar"))),1,0))),2)</f>
      </c>
      <c r="P250" s="29">
        <f>IFERROR(IF(N250=0,"",IF(NOT(Y250=1),1,IF('REFERENCIAS'!$Q$8&lt;&gt;1,2,IF(ABS('DATOS'!J250-ROUND('DATOS'!G250*'DATOS'!H250,'REFERENCIAS'!$K$8))&gt;0.00000001,2,IF('DATOS'!O250="No existe",IF(LEN(TRIM('DATOS'!I250&amp;""))=0,0,2),IF('DATOS'!O250="Comparamos",IF(LEN(TRIM('DATOS'!I250&amp;""))=0,1,IF(ISNUMBER('DATOS'!I250),IF(ABS('DATOS'!H250-'DATOS'!I250)&gt;0.00000001,2,0),2)),1)))))),2)</f>
      </c>
      <c r="Q250" s="29">
        <f>IFERROR(IF(N250=0,"",IF(NOT(Y250=1),1,IF('DATOS'!K250="Sin valorar",2,IF('DATOS'!G250=0,1,IF(OR('DATOS'!H250=0,'DATOS'!J250=0),IF(AND(OR('DATOS'!K250="Sin coste documentado",'DATOS'!K250="Incluido en otra partida"),AND(LEN(TRIM('DATOS'!L250&amp;""))&gt;0,TRIM('DATOS'!L250&amp;"")&lt;&gt;"Pendiente",TRIM('DATOS'!L250&amp;"")&lt;&gt;"Por confirmar",TRIM('DATOS'!L250&amp;"")&lt;&gt;"No consta",TRIM('DATOS'!L250&amp;"")&lt;&gt;"Desconocido",TRIM('DATOS'!L250&amp;"")&lt;&gt;"Sin confirmar",TRIM('DATOS'!L250&amp;"")&lt;&gt;"Por decidir",TRIM('DATOS'!L250&amp;"")&lt;&gt;"Por comprobar")),0,1),0))))),2)</f>
      </c>
      <c r="R250" s="29">
        <f>IFERROR(IF(N250=0,"",IF(OR(NOT(AND(LEN(TRIM('DATOS'!D250&amp;""))&gt;0,TRIM('DATOS'!D250&amp;"")&lt;&gt;"Pendiente",TRIM('DATOS'!D250&amp;"")&lt;&gt;"Por confirmar",TRIM('DATOS'!D250&amp;"")&lt;&gt;"No consta",TRIM('DATOS'!D250&amp;"")&lt;&gt;"Desconocido",TRIM('DATOS'!D250&amp;"")&lt;&gt;"Sin confirmar",TRIM('DATOS'!D250&amp;"")&lt;&gt;"Por decidir",TRIM('DATOS'!D250&amp;"")&lt;&gt;"Por comprobar")),NOT(AND(LEN(TRIM('DATOS'!E250&amp;""))&gt;0,TRIM('DATOS'!E250&amp;"")&lt;&gt;"Pendiente",TRIM('DATOS'!E250&amp;"")&lt;&gt;"Por confirmar",TRIM('DATOS'!E250&amp;"")&lt;&gt;"No consta",TRIM('DATOS'!E250&amp;"")&lt;&gt;"Desconocido",TRIM('DATOS'!E250&amp;"")&lt;&gt;"Sin confirmar",TRIM('DATOS'!E250&amp;"")&lt;&gt;"Por decidir",TRIM('DATOS'!E250&amp;"")&lt;&gt;"Por comprobar"))),2,IF('DATOS'!M250="No",2,IF('DATOS'!M250="Sí",0,IF(OR('DATOS'!D250&lt;&gt;'DATOS'!E250,LEN('DATOS'!E250)&gt;300,RIGHT(TRIM('DATOS'!E250),3)="...",RIGHT(TRIM('DATOS'!E250),1)="…"),1,0))))),2)</f>
      </c>
      <c r="S250" s="29">
        <f>IFERROR(IF(N250=0,"",IF('REFERENCIAS'!$Q$8&lt;&gt;1,2,IF(NOT(Y250=1),1,IF(OR(ABS('DATOS'!G250-ROUND('DATOS'!G250,'REFERENCIAS'!$E$8))&gt;0.00000001,ABS('DATOS'!H250-ROUND('DATOS'!H250,'REFERENCIAS'!$H$8))&gt;0.00000001,ABS('DATOS'!J250-ROUND('DATOS'!J250,'REFERENCIAS'!$K$8))&gt;0.00000001,IF(ISNUMBER('DATOS'!I250),ABS('DATOS'!I250-ROUND('DATOS'!I250,'REFERENCIAS'!$H$8))&gt;0.00000001,FALSE)),1,0)))),2)</f>
      </c>
      <c r="T250" s="29">
        <f>IFERROR(IF(N250=0,"",IF(NOT(AND(LEN(TRIM('DATOS'!F250&amp;""))&gt;0,TRIM('DATOS'!F250&amp;"")&lt;&gt;"Pendiente",TRIM('DATOS'!F250&amp;"")&lt;&gt;"Por confirmar",TRIM('DATOS'!F250&amp;"")&lt;&gt;"No consta",TRIM('DATOS'!F250&amp;"")&lt;&gt;"Desconocido",TRIM('DATOS'!F250&amp;"")&lt;&gt;"Sin confirmar",TRIM('DATOS'!F250&amp;"")&lt;&gt;"Por decidir",TRIM('DATOS'!F250&amp;"")&lt;&gt;"Por comprobar")),2,IF(COUNTIFS('REFERENCIAS'!$T$15:$T$34,"ID:"&amp;SUBSTITUTE(SUBSTITUTE(SUBSTITUTE(SUBSTITUTE(UPPER(TRIM('DATOS'!F250&amp;"")),"!","!E"),"*","!A"),"?","!B"),"~","!C"),'REFERENCIAS'!$H$15:$H$34,"&lt;&gt;")&gt;0,0,1))),2)</f>
      </c>
      <c r="U250" s="29" t="str">
        <f>'DATOS'!R250</f>
        <v>ID:</v>
      </c>
      <c r="V250" s="29" t="str">
        <f>'DATOS'!S250</f>
        <v>ID:</v>
      </c>
      <c r="W250" s="29" t="n">
        <f>IF(N250=0,0,COUNTIFS('REFERENCIAS'!$R$15:$R$64,U250))</f>
        <v>0</v>
      </c>
      <c r="X250" s="29" t="n">
        <f>IF(N250=0,0,COUNTIFS('DATOS'!$R$10:$R$509,U250,'DATOS'!$S$10:$S$509,V250))</f>
        <v>0</v>
      </c>
      <c r="Y250" s="29" t="n">
        <f>IF(AND(ISNUMBER('DATOS'!G250),ISNUMBER('DATOS'!H250),ISNUMBER('DATOS'!J250)),1,0)</f>
        <v>0</v>
      </c>
    </row>
    <row r="251" ht="64" customHeight="1">
      <c r="B251" s="26">
        <f>IF(N251=1,242,"")</f>
      </c>
      <c r="C251" s="26">
        <f>IF(AND(N251=1,LEN(TRIM('DATOS'!B251&amp;""))&gt;0),'DATOS'!B251,"")</f>
      </c>
      <c r="D251" s="26">
        <f>IF(AND(N251=1,LEN(TRIM('DATOS'!C251&amp;""))&gt;0),'DATOS'!C251,"")</f>
      </c>
      <c r="E251" s="26">
        <f>IF(NOT(ISNUMBER(P251)),"",IF(P251=2,"ROJO",IF(P251=1,"ÁMBAR","VERDE")))</f>
      </c>
      <c r="F251" s="26">
        <f>IF(NOT(ISNUMBER(Q251)),"",IF(Q251=2,"ROJO",IF(Q251=1,"ÁMBAR","VERDE")))</f>
      </c>
      <c r="G251" s="26">
        <f>IF(NOT(ISNUMBER(R251)),"",IF(R251=2,"ROJO",IF(R251=1,"ÁMBAR","VERDE")))</f>
      </c>
      <c r="H251" s="26">
        <f>IF(NOT(ISNUMBER(S251)),"",IF(S251=2,"ROJO",IF(S251=1,"ÁMBAR","VERDE")))</f>
      </c>
      <c r="I251" s="26">
        <f>IF(NOT(ISNUMBER(T251)),"",IF(T251=2,"ROJO",IF(T251=1,"ÁMBAR","VERDE")))</f>
      </c>
      <c r="J251" s="26">
        <f>IF(NOT(ISNUMBER(O251)),"",IF(O251=2,"ROJO",IF(O251=1,"ÁMBAR","VERDE")))</f>
      </c>
      <c r="K251" s="26">
        <f>IFERROR(IF(AND(N251=1,LEN(TRIM('DATOS'!N251&amp;""))&gt;0),'DATOS'!N251,""),"Hay una entrada con error. Corregimos el dato antes de cerrar la comprobación.")</f>
      </c>
      <c r="L251" s="26">
        <f>IFERROR(IF(N251=0,"",IF(O251&gt;0,"Completamos datos, claves o motivo. ","")&amp;IF(P251&gt;0,"Cotejamos precios e importe. ","")&amp;IF(Q251&gt;0,"Aclaramos el cero. ","")&amp;IF(R251&gt;0,"Comprobamos el texto. ","")&amp;IF(S251&gt;0,"Revisamos decimales visibles. ","")&amp;IF(T251&gt;0,"Confirmamos la unidad.","")),"Hay una entrada con error. Corregimos el dato antes de cerrar la comprobación.")</f>
      </c>
      <c r="N251" s="29" t="n">
        <f>IF(COUNTA('DATOS'!B251:O251)&gt;0,1,0)</f>
        <v>0</v>
      </c>
      <c r="O251" s="29">
        <f>IFERROR(IF(N251=0,"",IF(OR(NOT(AND(LEN(TRIM('DATOS'!B251&amp;""))&gt;0,TRIM('DATOS'!B251&amp;"")&lt;&gt;"Pendiente",TRIM('DATOS'!B251&amp;"")&lt;&gt;"Por confirmar",TRIM('DATOS'!B251&amp;"")&lt;&gt;"No consta",TRIM('DATOS'!B251&amp;"")&lt;&gt;"Desconocido",TRIM('DATOS'!B251&amp;"")&lt;&gt;"Sin confirmar",TRIM('DATOS'!B251&amp;"")&lt;&gt;"Por decidir",TRIM('DATOS'!B251&amp;"")&lt;&gt;"Por comprobar")),NOT(AND(LEN(TRIM('DATOS'!C251&amp;""))&gt;0,TRIM('DATOS'!C251&amp;"")&lt;&gt;"Pendiente",TRIM('DATOS'!C251&amp;"")&lt;&gt;"Por confirmar",TRIM('DATOS'!C251&amp;"")&lt;&gt;"No consta",TRIM('DATOS'!C251&amp;"")&lt;&gt;"Desconocido",TRIM('DATOS'!C251&amp;"")&lt;&gt;"Sin confirmar",TRIM('DATOS'!C251&amp;"")&lt;&gt;"Por decidir",TRIM('DATOS'!C251&amp;"")&lt;&gt;"Por comprobar")),NOT(AND(LEN(TRIM('DATOS'!D251&amp;""))&gt;0,TRIM('DATOS'!D251&amp;"")&lt;&gt;"Pendiente",TRIM('DATOS'!D251&amp;"")&lt;&gt;"Por confirmar",TRIM('DATOS'!D251&amp;"")&lt;&gt;"No consta",TRIM('DATOS'!D251&amp;"")&lt;&gt;"Desconocido",TRIM('DATOS'!D251&amp;"")&lt;&gt;"Sin confirmar",TRIM('DATOS'!D251&amp;"")&lt;&gt;"Por decidir",TRIM('DATOS'!D251&amp;"")&lt;&gt;"Por comprobar")),NOT(AND(LEN(TRIM('DATOS'!E251&amp;""))&gt;0,TRIM('DATOS'!E251&amp;"")&lt;&gt;"Pendiente",TRIM('DATOS'!E251&amp;"")&lt;&gt;"Por confirmar",TRIM('DATOS'!E251&amp;"")&lt;&gt;"No consta",TRIM('DATOS'!E251&amp;"")&lt;&gt;"Desconocido",TRIM('DATOS'!E251&amp;"")&lt;&gt;"Sin confirmar",TRIM('DATOS'!E251&amp;"")&lt;&gt;"Por decidir",TRIM('DATOS'!E251&amp;"")&lt;&gt;"Por comprobar")),NOT(AND(LEN(TRIM('DATOS'!F251&amp;""))&gt;0,TRIM('DATOS'!F251&amp;"")&lt;&gt;"Pendiente",TRIM('DATOS'!F251&amp;"")&lt;&gt;"Por confirmar",TRIM('DATOS'!F251&amp;"")&lt;&gt;"No consta",TRIM('DATOS'!F251&amp;"")&lt;&gt;"Desconocido",TRIM('DATOS'!F251&amp;"")&lt;&gt;"Sin confirmar",TRIM('DATOS'!F251&amp;"")&lt;&gt;"Por decidir",TRIM('DATOS'!F251&amp;"")&lt;&gt;"Por comprobar")),NOT(AND(LEN(TRIM('DATOS'!N251&amp;""))&gt;0,TRIM('DATOS'!N251&amp;"")&lt;&gt;"Pendiente",TRIM('DATOS'!N251&amp;"")&lt;&gt;"Por confirmar",TRIM('DATOS'!N251&amp;"")&lt;&gt;"No consta",TRIM('DATOS'!N251&amp;"")&lt;&gt;"Desconocido",TRIM('DATOS'!N251&amp;"")&lt;&gt;"Sin confirmar",TRIM('DATOS'!N251&amp;"")&lt;&gt;"Por decidir",TRIM('DATOS'!N251&amp;"")&lt;&gt;"Por comprobar")),NOT(Y251=1),W251&lt;&gt;1,X251&gt;1,NOT(OR(LEN(TRIM('DATOS'!K251&amp;""))=0,'DATOS'!K251="Sin valorar",'DATOS'!K251="Sin coste documentado",'DATOS'!K251="Incluido en otra partida",'DATOS'!K251="Por confirmar")),NOT(OR(LEN(TRIM('DATOS'!M251&amp;""))=0,'DATOS'!M251="Sí",'DATOS'!M251="No",'DATOS'!M251="Por confirmar")),NOT(OR(LEN(TRIM('DATOS'!O251&amp;""))=0,'DATOS'!O251="Comparamos",'DATOS'!O251="No existe",'DATOS'!O251="Por confirmar"))),2,IF(AND(OR('DATOS'!G251&lt;0,'DATOS'!H251&lt;0,'DATOS'!J251&lt;0),NOT(AND(LEN(TRIM('DATOS'!L251&amp;""))&gt;0,TRIM('DATOS'!L251&amp;"")&lt;&gt;"Pendiente",TRIM('DATOS'!L251&amp;"")&lt;&gt;"Por confirmar",TRIM('DATOS'!L251&amp;"")&lt;&gt;"No consta",TRIM('DATOS'!L251&amp;"")&lt;&gt;"Desconocido",TRIM('DATOS'!L251&amp;"")&lt;&gt;"Sin confirmar",TRIM('DATOS'!L251&amp;"")&lt;&gt;"Por decidir",TRIM('DATOS'!L251&amp;"")&lt;&gt;"Por comprobar"))),1,0))),2)</f>
      </c>
      <c r="P251" s="29">
        <f>IFERROR(IF(N251=0,"",IF(NOT(Y251=1),1,IF('REFERENCIAS'!$Q$8&lt;&gt;1,2,IF(ABS('DATOS'!J251-ROUND('DATOS'!G251*'DATOS'!H251,'REFERENCIAS'!$K$8))&gt;0.00000001,2,IF('DATOS'!O251="No existe",IF(LEN(TRIM('DATOS'!I251&amp;""))=0,0,2),IF('DATOS'!O251="Comparamos",IF(LEN(TRIM('DATOS'!I251&amp;""))=0,1,IF(ISNUMBER('DATOS'!I251),IF(ABS('DATOS'!H251-'DATOS'!I251)&gt;0.00000001,2,0),2)),1)))))),2)</f>
      </c>
      <c r="Q251" s="29">
        <f>IFERROR(IF(N251=0,"",IF(NOT(Y251=1),1,IF('DATOS'!K251="Sin valorar",2,IF('DATOS'!G251=0,1,IF(OR('DATOS'!H251=0,'DATOS'!J251=0),IF(AND(OR('DATOS'!K251="Sin coste documentado",'DATOS'!K251="Incluido en otra partida"),AND(LEN(TRIM('DATOS'!L251&amp;""))&gt;0,TRIM('DATOS'!L251&amp;"")&lt;&gt;"Pendiente",TRIM('DATOS'!L251&amp;"")&lt;&gt;"Por confirmar",TRIM('DATOS'!L251&amp;"")&lt;&gt;"No consta",TRIM('DATOS'!L251&amp;"")&lt;&gt;"Desconocido",TRIM('DATOS'!L251&amp;"")&lt;&gt;"Sin confirmar",TRIM('DATOS'!L251&amp;"")&lt;&gt;"Por decidir",TRIM('DATOS'!L251&amp;"")&lt;&gt;"Por comprobar")),0,1),0))))),2)</f>
      </c>
      <c r="R251" s="29">
        <f>IFERROR(IF(N251=0,"",IF(OR(NOT(AND(LEN(TRIM('DATOS'!D251&amp;""))&gt;0,TRIM('DATOS'!D251&amp;"")&lt;&gt;"Pendiente",TRIM('DATOS'!D251&amp;"")&lt;&gt;"Por confirmar",TRIM('DATOS'!D251&amp;"")&lt;&gt;"No consta",TRIM('DATOS'!D251&amp;"")&lt;&gt;"Desconocido",TRIM('DATOS'!D251&amp;"")&lt;&gt;"Sin confirmar",TRIM('DATOS'!D251&amp;"")&lt;&gt;"Por decidir",TRIM('DATOS'!D251&amp;"")&lt;&gt;"Por comprobar")),NOT(AND(LEN(TRIM('DATOS'!E251&amp;""))&gt;0,TRIM('DATOS'!E251&amp;"")&lt;&gt;"Pendiente",TRIM('DATOS'!E251&amp;"")&lt;&gt;"Por confirmar",TRIM('DATOS'!E251&amp;"")&lt;&gt;"No consta",TRIM('DATOS'!E251&amp;"")&lt;&gt;"Desconocido",TRIM('DATOS'!E251&amp;"")&lt;&gt;"Sin confirmar",TRIM('DATOS'!E251&amp;"")&lt;&gt;"Por decidir",TRIM('DATOS'!E251&amp;"")&lt;&gt;"Por comprobar"))),2,IF('DATOS'!M251="No",2,IF('DATOS'!M251="Sí",0,IF(OR('DATOS'!D251&lt;&gt;'DATOS'!E251,LEN('DATOS'!E251)&gt;300,RIGHT(TRIM('DATOS'!E251),3)="...",RIGHT(TRIM('DATOS'!E251),1)="…"),1,0))))),2)</f>
      </c>
      <c r="S251" s="29">
        <f>IFERROR(IF(N251=0,"",IF('REFERENCIAS'!$Q$8&lt;&gt;1,2,IF(NOT(Y251=1),1,IF(OR(ABS('DATOS'!G251-ROUND('DATOS'!G251,'REFERENCIAS'!$E$8))&gt;0.00000001,ABS('DATOS'!H251-ROUND('DATOS'!H251,'REFERENCIAS'!$H$8))&gt;0.00000001,ABS('DATOS'!J251-ROUND('DATOS'!J251,'REFERENCIAS'!$K$8))&gt;0.00000001,IF(ISNUMBER('DATOS'!I251),ABS('DATOS'!I251-ROUND('DATOS'!I251,'REFERENCIAS'!$H$8))&gt;0.00000001,FALSE)),1,0)))),2)</f>
      </c>
      <c r="T251" s="29">
        <f>IFERROR(IF(N251=0,"",IF(NOT(AND(LEN(TRIM('DATOS'!F251&amp;""))&gt;0,TRIM('DATOS'!F251&amp;"")&lt;&gt;"Pendiente",TRIM('DATOS'!F251&amp;"")&lt;&gt;"Por confirmar",TRIM('DATOS'!F251&amp;"")&lt;&gt;"No consta",TRIM('DATOS'!F251&amp;"")&lt;&gt;"Desconocido",TRIM('DATOS'!F251&amp;"")&lt;&gt;"Sin confirmar",TRIM('DATOS'!F251&amp;"")&lt;&gt;"Por decidir",TRIM('DATOS'!F251&amp;"")&lt;&gt;"Por comprobar")),2,IF(COUNTIFS('REFERENCIAS'!$T$15:$T$34,"ID:"&amp;SUBSTITUTE(SUBSTITUTE(SUBSTITUTE(SUBSTITUTE(UPPER(TRIM('DATOS'!F251&amp;"")),"!","!E"),"*","!A"),"?","!B"),"~","!C"),'REFERENCIAS'!$H$15:$H$34,"&lt;&gt;")&gt;0,0,1))),2)</f>
      </c>
      <c r="U251" s="29" t="str">
        <f>'DATOS'!R251</f>
        <v>ID:</v>
      </c>
      <c r="V251" s="29" t="str">
        <f>'DATOS'!S251</f>
        <v>ID:</v>
      </c>
      <c r="W251" s="29" t="n">
        <f>IF(N251=0,0,COUNTIFS('REFERENCIAS'!$R$15:$R$64,U251))</f>
        <v>0</v>
      </c>
      <c r="X251" s="29" t="n">
        <f>IF(N251=0,0,COUNTIFS('DATOS'!$R$10:$R$509,U251,'DATOS'!$S$10:$S$509,V251))</f>
        <v>0</v>
      </c>
      <c r="Y251" s="29" t="n">
        <f>IF(AND(ISNUMBER('DATOS'!G251),ISNUMBER('DATOS'!H251),ISNUMBER('DATOS'!J251)),1,0)</f>
        <v>0</v>
      </c>
    </row>
    <row r="252" ht="64" customHeight="1">
      <c r="B252" s="26">
        <f>IF(N252=1,243,"")</f>
      </c>
      <c r="C252" s="26">
        <f>IF(AND(N252=1,LEN(TRIM('DATOS'!B252&amp;""))&gt;0),'DATOS'!B252,"")</f>
      </c>
      <c r="D252" s="26">
        <f>IF(AND(N252=1,LEN(TRIM('DATOS'!C252&amp;""))&gt;0),'DATOS'!C252,"")</f>
      </c>
      <c r="E252" s="26">
        <f>IF(NOT(ISNUMBER(P252)),"",IF(P252=2,"ROJO",IF(P252=1,"ÁMBAR","VERDE")))</f>
      </c>
      <c r="F252" s="26">
        <f>IF(NOT(ISNUMBER(Q252)),"",IF(Q252=2,"ROJO",IF(Q252=1,"ÁMBAR","VERDE")))</f>
      </c>
      <c r="G252" s="26">
        <f>IF(NOT(ISNUMBER(R252)),"",IF(R252=2,"ROJO",IF(R252=1,"ÁMBAR","VERDE")))</f>
      </c>
      <c r="H252" s="26">
        <f>IF(NOT(ISNUMBER(S252)),"",IF(S252=2,"ROJO",IF(S252=1,"ÁMBAR","VERDE")))</f>
      </c>
      <c r="I252" s="26">
        <f>IF(NOT(ISNUMBER(T252)),"",IF(T252=2,"ROJO",IF(T252=1,"ÁMBAR","VERDE")))</f>
      </c>
      <c r="J252" s="26">
        <f>IF(NOT(ISNUMBER(O252)),"",IF(O252=2,"ROJO",IF(O252=1,"ÁMBAR","VERDE")))</f>
      </c>
      <c r="K252" s="26">
        <f>IFERROR(IF(AND(N252=1,LEN(TRIM('DATOS'!N252&amp;""))&gt;0),'DATOS'!N252,""),"Hay una entrada con error. Corregimos el dato antes de cerrar la comprobación.")</f>
      </c>
      <c r="L252" s="26">
        <f>IFERROR(IF(N252=0,"",IF(O252&gt;0,"Completamos datos, claves o motivo. ","")&amp;IF(P252&gt;0,"Cotejamos precios e importe. ","")&amp;IF(Q252&gt;0,"Aclaramos el cero. ","")&amp;IF(R252&gt;0,"Comprobamos el texto. ","")&amp;IF(S252&gt;0,"Revisamos decimales visibles. ","")&amp;IF(T252&gt;0,"Confirmamos la unidad.","")),"Hay una entrada con error. Corregimos el dato antes de cerrar la comprobación.")</f>
      </c>
      <c r="N252" s="29" t="n">
        <f>IF(COUNTA('DATOS'!B252:O252)&gt;0,1,0)</f>
        <v>0</v>
      </c>
      <c r="O252" s="29">
        <f>IFERROR(IF(N252=0,"",IF(OR(NOT(AND(LEN(TRIM('DATOS'!B252&amp;""))&gt;0,TRIM('DATOS'!B252&amp;"")&lt;&gt;"Pendiente",TRIM('DATOS'!B252&amp;"")&lt;&gt;"Por confirmar",TRIM('DATOS'!B252&amp;"")&lt;&gt;"No consta",TRIM('DATOS'!B252&amp;"")&lt;&gt;"Desconocido",TRIM('DATOS'!B252&amp;"")&lt;&gt;"Sin confirmar",TRIM('DATOS'!B252&amp;"")&lt;&gt;"Por decidir",TRIM('DATOS'!B252&amp;"")&lt;&gt;"Por comprobar")),NOT(AND(LEN(TRIM('DATOS'!C252&amp;""))&gt;0,TRIM('DATOS'!C252&amp;"")&lt;&gt;"Pendiente",TRIM('DATOS'!C252&amp;"")&lt;&gt;"Por confirmar",TRIM('DATOS'!C252&amp;"")&lt;&gt;"No consta",TRIM('DATOS'!C252&amp;"")&lt;&gt;"Desconocido",TRIM('DATOS'!C252&amp;"")&lt;&gt;"Sin confirmar",TRIM('DATOS'!C252&amp;"")&lt;&gt;"Por decidir",TRIM('DATOS'!C252&amp;"")&lt;&gt;"Por comprobar")),NOT(AND(LEN(TRIM('DATOS'!D252&amp;""))&gt;0,TRIM('DATOS'!D252&amp;"")&lt;&gt;"Pendiente",TRIM('DATOS'!D252&amp;"")&lt;&gt;"Por confirmar",TRIM('DATOS'!D252&amp;"")&lt;&gt;"No consta",TRIM('DATOS'!D252&amp;"")&lt;&gt;"Desconocido",TRIM('DATOS'!D252&amp;"")&lt;&gt;"Sin confirmar",TRIM('DATOS'!D252&amp;"")&lt;&gt;"Por decidir",TRIM('DATOS'!D252&amp;"")&lt;&gt;"Por comprobar")),NOT(AND(LEN(TRIM('DATOS'!E252&amp;""))&gt;0,TRIM('DATOS'!E252&amp;"")&lt;&gt;"Pendiente",TRIM('DATOS'!E252&amp;"")&lt;&gt;"Por confirmar",TRIM('DATOS'!E252&amp;"")&lt;&gt;"No consta",TRIM('DATOS'!E252&amp;"")&lt;&gt;"Desconocido",TRIM('DATOS'!E252&amp;"")&lt;&gt;"Sin confirmar",TRIM('DATOS'!E252&amp;"")&lt;&gt;"Por decidir",TRIM('DATOS'!E252&amp;"")&lt;&gt;"Por comprobar")),NOT(AND(LEN(TRIM('DATOS'!F252&amp;""))&gt;0,TRIM('DATOS'!F252&amp;"")&lt;&gt;"Pendiente",TRIM('DATOS'!F252&amp;"")&lt;&gt;"Por confirmar",TRIM('DATOS'!F252&amp;"")&lt;&gt;"No consta",TRIM('DATOS'!F252&amp;"")&lt;&gt;"Desconocido",TRIM('DATOS'!F252&amp;"")&lt;&gt;"Sin confirmar",TRIM('DATOS'!F252&amp;"")&lt;&gt;"Por decidir",TRIM('DATOS'!F252&amp;"")&lt;&gt;"Por comprobar")),NOT(AND(LEN(TRIM('DATOS'!N252&amp;""))&gt;0,TRIM('DATOS'!N252&amp;"")&lt;&gt;"Pendiente",TRIM('DATOS'!N252&amp;"")&lt;&gt;"Por confirmar",TRIM('DATOS'!N252&amp;"")&lt;&gt;"No consta",TRIM('DATOS'!N252&amp;"")&lt;&gt;"Desconocido",TRIM('DATOS'!N252&amp;"")&lt;&gt;"Sin confirmar",TRIM('DATOS'!N252&amp;"")&lt;&gt;"Por decidir",TRIM('DATOS'!N252&amp;"")&lt;&gt;"Por comprobar")),NOT(Y252=1),W252&lt;&gt;1,X252&gt;1,NOT(OR(LEN(TRIM('DATOS'!K252&amp;""))=0,'DATOS'!K252="Sin valorar",'DATOS'!K252="Sin coste documentado",'DATOS'!K252="Incluido en otra partida",'DATOS'!K252="Por confirmar")),NOT(OR(LEN(TRIM('DATOS'!M252&amp;""))=0,'DATOS'!M252="Sí",'DATOS'!M252="No",'DATOS'!M252="Por confirmar")),NOT(OR(LEN(TRIM('DATOS'!O252&amp;""))=0,'DATOS'!O252="Comparamos",'DATOS'!O252="No existe",'DATOS'!O252="Por confirmar"))),2,IF(AND(OR('DATOS'!G252&lt;0,'DATOS'!H252&lt;0,'DATOS'!J252&lt;0),NOT(AND(LEN(TRIM('DATOS'!L252&amp;""))&gt;0,TRIM('DATOS'!L252&amp;"")&lt;&gt;"Pendiente",TRIM('DATOS'!L252&amp;"")&lt;&gt;"Por confirmar",TRIM('DATOS'!L252&amp;"")&lt;&gt;"No consta",TRIM('DATOS'!L252&amp;"")&lt;&gt;"Desconocido",TRIM('DATOS'!L252&amp;"")&lt;&gt;"Sin confirmar",TRIM('DATOS'!L252&amp;"")&lt;&gt;"Por decidir",TRIM('DATOS'!L252&amp;"")&lt;&gt;"Por comprobar"))),1,0))),2)</f>
      </c>
      <c r="P252" s="29">
        <f>IFERROR(IF(N252=0,"",IF(NOT(Y252=1),1,IF('REFERENCIAS'!$Q$8&lt;&gt;1,2,IF(ABS('DATOS'!J252-ROUND('DATOS'!G252*'DATOS'!H252,'REFERENCIAS'!$K$8))&gt;0.00000001,2,IF('DATOS'!O252="No existe",IF(LEN(TRIM('DATOS'!I252&amp;""))=0,0,2),IF('DATOS'!O252="Comparamos",IF(LEN(TRIM('DATOS'!I252&amp;""))=0,1,IF(ISNUMBER('DATOS'!I252),IF(ABS('DATOS'!H252-'DATOS'!I252)&gt;0.00000001,2,0),2)),1)))))),2)</f>
      </c>
      <c r="Q252" s="29">
        <f>IFERROR(IF(N252=0,"",IF(NOT(Y252=1),1,IF('DATOS'!K252="Sin valorar",2,IF('DATOS'!G252=0,1,IF(OR('DATOS'!H252=0,'DATOS'!J252=0),IF(AND(OR('DATOS'!K252="Sin coste documentado",'DATOS'!K252="Incluido en otra partida"),AND(LEN(TRIM('DATOS'!L252&amp;""))&gt;0,TRIM('DATOS'!L252&amp;"")&lt;&gt;"Pendiente",TRIM('DATOS'!L252&amp;"")&lt;&gt;"Por confirmar",TRIM('DATOS'!L252&amp;"")&lt;&gt;"No consta",TRIM('DATOS'!L252&amp;"")&lt;&gt;"Desconocido",TRIM('DATOS'!L252&amp;"")&lt;&gt;"Sin confirmar",TRIM('DATOS'!L252&amp;"")&lt;&gt;"Por decidir",TRIM('DATOS'!L252&amp;"")&lt;&gt;"Por comprobar")),0,1),0))))),2)</f>
      </c>
      <c r="R252" s="29">
        <f>IFERROR(IF(N252=0,"",IF(OR(NOT(AND(LEN(TRIM('DATOS'!D252&amp;""))&gt;0,TRIM('DATOS'!D252&amp;"")&lt;&gt;"Pendiente",TRIM('DATOS'!D252&amp;"")&lt;&gt;"Por confirmar",TRIM('DATOS'!D252&amp;"")&lt;&gt;"No consta",TRIM('DATOS'!D252&amp;"")&lt;&gt;"Desconocido",TRIM('DATOS'!D252&amp;"")&lt;&gt;"Sin confirmar",TRIM('DATOS'!D252&amp;"")&lt;&gt;"Por decidir",TRIM('DATOS'!D252&amp;"")&lt;&gt;"Por comprobar")),NOT(AND(LEN(TRIM('DATOS'!E252&amp;""))&gt;0,TRIM('DATOS'!E252&amp;"")&lt;&gt;"Pendiente",TRIM('DATOS'!E252&amp;"")&lt;&gt;"Por confirmar",TRIM('DATOS'!E252&amp;"")&lt;&gt;"No consta",TRIM('DATOS'!E252&amp;"")&lt;&gt;"Desconocido",TRIM('DATOS'!E252&amp;"")&lt;&gt;"Sin confirmar",TRIM('DATOS'!E252&amp;"")&lt;&gt;"Por decidir",TRIM('DATOS'!E252&amp;"")&lt;&gt;"Por comprobar"))),2,IF('DATOS'!M252="No",2,IF('DATOS'!M252="Sí",0,IF(OR('DATOS'!D252&lt;&gt;'DATOS'!E252,LEN('DATOS'!E252)&gt;300,RIGHT(TRIM('DATOS'!E252),3)="...",RIGHT(TRIM('DATOS'!E252),1)="…"),1,0))))),2)</f>
      </c>
      <c r="S252" s="29">
        <f>IFERROR(IF(N252=0,"",IF('REFERENCIAS'!$Q$8&lt;&gt;1,2,IF(NOT(Y252=1),1,IF(OR(ABS('DATOS'!G252-ROUND('DATOS'!G252,'REFERENCIAS'!$E$8))&gt;0.00000001,ABS('DATOS'!H252-ROUND('DATOS'!H252,'REFERENCIAS'!$H$8))&gt;0.00000001,ABS('DATOS'!J252-ROUND('DATOS'!J252,'REFERENCIAS'!$K$8))&gt;0.00000001,IF(ISNUMBER('DATOS'!I252),ABS('DATOS'!I252-ROUND('DATOS'!I252,'REFERENCIAS'!$H$8))&gt;0.00000001,FALSE)),1,0)))),2)</f>
      </c>
      <c r="T252" s="29">
        <f>IFERROR(IF(N252=0,"",IF(NOT(AND(LEN(TRIM('DATOS'!F252&amp;""))&gt;0,TRIM('DATOS'!F252&amp;"")&lt;&gt;"Pendiente",TRIM('DATOS'!F252&amp;"")&lt;&gt;"Por confirmar",TRIM('DATOS'!F252&amp;"")&lt;&gt;"No consta",TRIM('DATOS'!F252&amp;"")&lt;&gt;"Desconocido",TRIM('DATOS'!F252&amp;"")&lt;&gt;"Sin confirmar",TRIM('DATOS'!F252&amp;"")&lt;&gt;"Por decidir",TRIM('DATOS'!F252&amp;"")&lt;&gt;"Por comprobar")),2,IF(COUNTIFS('REFERENCIAS'!$T$15:$T$34,"ID:"&amp;SUBSTITUTE(SUBSTITUTE(SUBSTITUTE(SUBSTITUTE(UPPER(TRIM('DATOS'!F252&amp;"")),"!","!E"),"*","!A"),"?","!B"),"~","!C"),'REFERENCIAS'!$H$15:$H$34,"&lt;&gt;")&gt;0,0,1))),2)</f>
      </c>
      <c r="U252" s="29" t="str">
        <f>'DATOS'!R252</f>
        <v>ID:</v>
      </c>
      <c r="V252" s="29" t="str">
        <f>'DATOS'!S252</f>
        <v>ID:</v>
      </c>
      <c r="W252" s="29" t="n">
        <f>IF(N252=0,0,COUNTIFS('REFERENCIAS'!$R$15:$R$64,U252))</f>
        <v>0</v>
      </c>
      <c r="X252" s="29" t="n">
        <f>IF(N252=0,0,COUNTIFS('DATOS'!$R$10:$R$509,U252,'DATOS'!$S$10:$S$509,V252))</f>
        <v>0</v>
      </c>
      <c r="Y252" s="29" t="n">
        <f>IF(AND(ISNUMBER('DATOS'!G252),ISNUMBER('DATOS'!H252),ISNUMBER('DATOS'!J252)),1,0)</f>
        <v>0</v>
      </c>
    </row>
    <row r="253" ht="64" customHeight="1">
      <c r="B253" s="26">
        <f>IF(N253=1,244,"")</f>
      </c>
      <c r="C253" s="26">
        <f>IF(AND(N253=1,LEN(TRIM('DATOS'!B253&amp;""))&gt;0),'DATOS'!B253,"")</f>
      </c>
      <c r="D253" s="26">
        <f>IF(AND(N253=1,LEN(TRIM('DATOS'!C253&amp;""))&gt;0),'DATOS'!C253,"")</f>
      </c>
      <c r="E253" s="26">
        <f>IF(NOT(ISNUMBER(P253)),"",IF(P253=2,"ROJO",IF(P253=1,"ÁMBAR","VERDE")))</f>
      </c>
      <c r="F253" s="26">
        <f>IF(NOT(ISNUMBER(Q253)),"",IF(Q253=2,"ROJO",IF(Q253=1,"ÁMBAR","VERDE")))</f>
      </c>
      <c r="G253" s="26">
        <f>IF(NOT(ISNUMBER(R253)),"",IF(R253=2,"ROJO",IF(R253=1,"ÁMBAR","VERDE")))</f>
      </c>
      <c r="H253" s="26">
        <f>IF(NOT(ISNUMBER(S253)),"",IF(S253=2,"ROJO",IF(S253=1,"ÁMBAR","VERDE")))</f>
      </c>
      <c r="I253" s="26">
        <f>IF(NOT(ISNUMBER(T253)),"",IF(T253=2,"ROJO",IF(T253=1,"ÁMBAR","VERDE")))</f>
      </c>
      <c r="J253" s="26">
        <f>IF(NOT(ISNUMBER(O253)),"",IF(O253=2,"ROJO",IF(O253=1,"ÁMBAR","VERDE")))</f>
      </c>
      <c r="K253" s="26">
        <f>IFERROR(IF(AND(N253=1,LEN(TRIM('DATOS'!N253&amp;""))&gt;0),'DATOS'!N253,""),"Hay una entrada con error. Corregimos el dato antes de cerrar la comprobación.")</f>
      </c>
      <c r="L253" s="26">
        <f>IFERROR(IF(N253=0,"",IF(O253&gt;0,"Completamos datos, claves o motivo. ","")&amp;IF(P253&gt;0,"Cotejamos precios e importe. ","")&amp;IF(Q253&gt;0,"Aclaramos el cero. ","")&amp;IF(R253&gt;0,"Comprobamos el texto. ","")&amp;IF(S253&gt;0,"Revisamos decimales visibles. ","")&amp;IF(T253&gt;0,"Confirmamos la unidad.","")),"Hay una entrada con error. Corregimos el dato antes de cerrar la comprobación.")</f>
      </c>
      <c r="N253" s="29" t="n">
        <f>IF(COUNTA('DATOS'!B253:O253)&gt;0,1,0)</f>
        <v>0</v>
      </c>
      <c r="O253" s="29">
        <f>IFERROR(IF(N253=0,"",IF(OR(NOT(AND(LEN(TRIM('DATOS'!B253&amp;""))&gt;0,TRIM('DATOS'!B253&amp;"")&lt;&gt;"Pendiente",TRIM('DATOS'!B253&amp;"")&lt;&gt;"Por confirmar",TRIM('DATOS'!B253&amp;"")&lt;&gt;"No consta",TRIM('DATOS'!B253&amp;"")&lt;&gt;"Desconocido",TRIM('DATOS'!B253&amp;"")&lt;&gt;"Sin confirmar",TRIM('DATOS'!B253&amp;"")&lt;&gt;"Por decidir",TRIM('DATOS'!B253&amp;"")&lt;&gt;"Por comprobar")),NOT(AND(LEN(TRIM('DATOS'!C253&amp;""))&gt;0,TRIM('DATOS'!C253&amp;"")&lt;&gt;"Pendiente",TRIM('DATOS'!C253&amp;"")&lt;&gt;"Por confirmar",TRIM('DATOS'!C253&amp;"")&lt;&gt;"No consta",TRIM('DATOS'!C253&amp;"")&lt;&gt;"Desconocido",TRIM('DATOS'!C253&amp;"")&lt;&gt;"Sin confirmar",TRIM('DATOS'!C253&amp;"")&lt;&gt;"Por decidir",TRIM('DATOS'!C253&amp;"")&lt;&gt;"Por comprobar")),NOT(AND(LEN(TRIM('DATOS'!D253&amp;""))&gt;0,TRIM('DATOS'!D253&amp;"")&lt;&gt;"Pendiente",TRIM('DATOS'!D253&amp;"")&lt;&gt;"Por confirmar",TRIM('DATOS'!D253&amp;"")&lt;&gt;"No consta",TRIM('DATOS'!D253&amp;"")&lt;&gt;"Desconocido",TRIM('DATOS'!D253&amp;"")&lt;&gt;"Sin confirmar",TRIM('DATOS'!D253&amp;"")&lt;&gt;"Por decidir",TRIM('DATOS'!D253&amp;"")&lt;&gt;"Por comprobar")),NOT(AND(LEN(TRIM('DATOS'!E253&amp;""))&gt;0,TRIM('DATOS'!E253&amp;"")&lt;&gt;"Pendiente",TRIM('DATOS'!E253&amp;"")&lt;&gt;"Por confirmar",TRIM('DATOS'!E253&amp;"")&lt;&gt;"No consta",TRIM('DATOS'!E253&amp;"")&lt;&gt;"Desconocido",TRIM('DATOS'!E253&amp;"")&lt;&gt;"Sin confirmar",TRIM('DATOS'!E253&amp;"")&lt;&gt;"Por decidir",TRIM('DATOS'!E253&amp;"")&lt;&gt;"Por comprobar")),NOT(AND(LEN(TRIM('DATOS'!F253&amp;""))&gt;0,TRIM('DATOS'!F253&amp;"")&lt;&gt;"Pendiente",TRIM('DATOS'!F253&amp;"")&lt;&gt;"Por confirmar",TRIM('DATOS'!F253&amp;"")&lt;&gt;"No consta",TRIM('DATOS'!F253&amp;"")&lt;&gt;"Desconocido",TRIM('DATOS'!F253&amp;"")&lt;&gt;"Sin confirmar",TRIM('DATOS'!F253&amp;"")&lt;&gt;"Por decidir",TRIM('DATOS'!F253&amp;"")&lt;&gt;"Por comprobar")),NOT(AND(LEN(TRIM('DATOS'!N253&amp;""))&gt;0,TRIM('DATOS'!N253&amp;"")&lt;&gt;"Pendiente",TRIM('DATOS'!N253&amp;"")&lt;&gt;"Por confirmar",TRIM('DATOS'!N253&amp;"")&lt;&gt;"No consta",TRIM('DATOS'!N253&amp;"")&lt;&gt;"Desconocido",TRIM('DATOS'!N253&amp;"")&lt;&gt;"Sin confirmar",TRIM('DATOS'!N253&amp;"")&lt;&gt;"Por decidir",TRIM('DATOS'!N253&amp;"")&lt;&gt;"Por comprobar")),NOT(Y253=1),W253&lt;&gt;1,X253&gt;1,NOT(OR(LEN(TRIM('DATOS'!K253&amp;""))=0,'DATOS'!K253="Sin valorar",'DATOS'!K253="Sin coste documentado",'DATOS'!K253="Incluido en otra partida",'DATOS'!K253="Por confirmar")),NOT(OR(LEN(TRIM('DATOS'!M253&amp;""))=0,'DATOS'!M253="Sí",'DATOS'!M253="No",'DATOS'!M253="Por confirmar")),NOT(OR(LEN(TRIM('DATOS'!O253&amp;""))=0,'DATOS'!O253="Comparamos",'DATOS'!O253="No existe",'DATOS'!O253="Por confirmar"))),2,IF(AND(OR('DATOS'!G253&lt;0,'DATOS'!H253&lt;0,'DATOS'!J253&lt;0),NOT(AND(LEN(TRIM('DATOS'!L253&amp;""))&gt;0,TRIM('DATOS'!L253&amp;"")&lt;&gt;"Pendiente",TRIM('DATOS'!L253&amp;"")&lt;&gt;"Por confirmar",TRIM('DATOS'!L253&amp;"")&lt;&gt;"No consta",TRIM('DATOS'!L253&amp;"")&lt;&gt;"Desconocido",TRIM('DATOS'!L253&amp;"")&lt;&gt;"Sin confirmar",TRIM('DATOS'!L253&amp;"")&lt;&gt;"Por decidir",TRIM('DATOS'!L253&amp;"")&lt;&gt;"Por comprobar"))),1,0))),2)</f>
      </c>
      <c r="P253" s="29">
        <f>IFERROR(IF(N253=0,"",IF(NOT(Y253=1),1,IF('REFERENCIAS'!$Q$8&lt;&gt;1,2,IF(ABS('DATOS'!J253-ROUND('DATOS'!G253*'DATOS'!H253,'REFERENCIAS'!$K$8))&gt;0.00000001,2,IF('DATOS'!O253="No existe",IF(LEN(TRIM('DATOS'!I253&amp;""))=0,0,2),IF('DATOS'!O253="Comparamos",IF(LEN(TRIM('DATOS'!I253&amp;""))=0,1,IF(ISNUMBER('DATOS'!I253),IF(ABS('DATOS'!H253-'DATOS'!I253)&gt;0.00000001,2,0),2)),1)))))),2)</f>
      </c>
      <c r="Q253" s="29">
        <f>IFERROR(IF(N253=0,"",IF(NOT(Y253=1),1,IF('DATOS'!K253="Sin valorar",2,IF('DATOS'!G253=0,1,IF(OR('DATOS'!H253=0,'DATOS'!J253=0),IF(AND(OR('DATOS'!K253="Sin coste documentado",'DATOS'!K253="Incluido en otra partida"),AND(LEN(TRIM('DATOS'!L253&amp;""))&gt;0,TRIM('DATOS'!L253&amp;"")&lt;&gt;"Pendiente",TRIM('DATOS'!L253&amp;"")&lt;&gt;"Por confirmar",TRIM('DATOS'!L253&amp;"")&lt;&gt;"No consta",TRIM('DATOS'!L253&amp;"")&lt;&gt;"Desconocido",TRIM('DATOS'!L253&amp;"")&lt;&gt;"Sin confirmar",TRIM('DATOS'!L253&amp;"")&lt;&gt;"Por decidir",TRIM('DATOS'!L253&amp;"")&lt;&gt;"Por comprobar")),0,1),0))))),2)</f>
      </c>
      <c r="R253" s="29">
        <f>IFERROR(IF(N253=0,"",IF(OR(NOT(AND(LEN(TRIM('DATOS'!D253&amp;""))&gt;0,TRIM('DATOS'!D253&amp;"")&lt;&gt;"Pendiente",TRIM('DATOS'!D253&amp;"")&lt;&gt;"Por confirmar",TRIM('DATOS'!D253&amp;"")&lt;&gt;"No consta",TRIM('DATOS'!D253&amp;"")&lt;&gt;"Desconocido",TRIM('DATOS'!D253&amp;"")&lt;&gt;"Sin confirmar",TRIM('DATOS'!D253&amp;"")&lt;&gt;"Por decidir",TRIM('DATOS'!D253&amp;"")&lt;&gt;"Por comprobar")),NOT(AND(LEN(TRIM('DATOS'!E253&amp;""))&gt;0,TRIM('DATOS'!E253&amp;"")&lt;&gt;"Pendiente",TRIM('DATOS'!E253&amp;"")&lt;&gt;"Por confirmar",TRIM('DATOS'!E253&amp;"")&lt;&gt;"No consta",TRIM('DATOS'!E253&amp;"")&lt;&gt;"Desconocido",TRIM('DATOS'!E253&amp;"")&lt;&gt;"Sin confirmar",TRIM('DATOS'!E253&amp;"")&lt;&gt;"Por decidir",TRIM('DATOS'!E253&amp;"")&lt;&gt;"Por comprobar"))),2,IF('DATOS'!M253="No",2,IF('DATOS'!M253="Sí",0,IF(OR('DATOS'!D253&lt;&gt;'DATOS'!E253,LEN('DATOS'!E253)&gt;300,RIGHT(TRIM('DATOS'!E253),3)="...",RIGHT(TRIM('DATOS'!E253),1)="…"),1,0))))),2)</f>
      </c>
      <c r="S253" s="29">
        <f>IFERROR(IF(N253=0,"",IF('REFERENCIAS'!$Q$8&lt;&gt;1,2,IF(NOT(Y253=1),1,IF(OR(ABS('DATOS'!G253-ROUND('DATOS'!G253,'REFERENCIAS'!$E$8))&gt;0.00000001,ABS('DATOS'!H253-ROUND('DATOS'!H253,'REFERENCIAS'!$H$8))&gt;0.00000001,ABS('DATOS'!J253-ROUND('DATOS'!J253,'REFERENCIAS'!$K$8))&gt;0.00000001,IF(ISNUMBER('DATOS'!I253),ABS('DATOS'!I253-ROUND('DATOS'!I253,'REFERENCIAS'!$H$8))&gt;0.00000001,FALSE)),1,0)))),2)</f>
      </c>
      <c r="T253" s="29">
        <f>IFERROR(IF(N253=0,"",IF(NOT(AND(LEN(TRIM('DATOS'!F253&amp;""))&gt;0,TRIM('DATOS'!F253&amp;"")&lt;&gt;"Pendiente",TRIM('DATOS'!F253&amp;"")&lt;&gt;"Por confirmar",TRIM('DATOS'!F253&amp;"")&lt;&gt;"No consta",TRIM('DATOS'!F253&amp;"")&lt;&gt;"Desconocido",TRIM('DATOS'!F253&amp;"")&lt;&gt;"Sin confirmar",TRIM('DATOS'!F253&amp;"")&lt;&gt;"Por decidir",TRIM('DATOS'!F253&amp;"")&lt;&gt;"Por comprobar")),2,IF(COUNTIFS('REFERENCIAS'!$T$15:$T$34,"ID:"&amp;SUBSTITUTE(SUBSTITUTE(SUBSTITUTE(SUBSTITUTE(UPPER(TRIM('DATOS'!F253&amp;"")),"!","!E"),"*","!A"),"?","!B"),"~","!C"),'REFERENCIAS'!$H$15:$H$34,"&lt;&gt;")&gt;0,0,1))),2)</f>
      </c>
      <c r="U253" s="29" t="str">
        <f>'DATOS'!R253</f>
        <v>ID:</v>
      </c>
      <c r="V253" s="29" t="str">
        <f>'DATOS'!S253</f>
        <v>ID:</v>
      </c>
      <c r="W253" s="29" t="n">
        <f>IF(N253=0,0,COUNTIFS('REFERENCIAS'!$R$15:$R$64,U253))</f>
        <v>0</v>
      </c>
      <c r="X253" s="29" t="n">
        <f>IF(N253=0,0,COUNTIFS('DATOS'!$R$10:$R$509,U253,'DATOS'!$S$10:$S$509,V253))</f>
        <v>0</v>
      </c>
      <c r="Y253" s="29" t="n">
        <f>IF(AND(ISNUMBER('DATOS'!G253),ISNUMBER('DATOS'!H253),ISNUMBER('DATOS'!J253)),1,0)</f>
        <v>0</v>
      </c>
    </row>
    <row r="254" ht="64" customHeight="1">
      <c r="B254" s="26">
        <f>IF(N254=1,245,"")</f>
      </c>
      <c r="C254" s="26">
        <f>IF(AND(N254=1,LEN(TRIM('DATOS'!B254&amp;""))&gt;0),'DATOS'!B254,"")</f>
      </c>
      <c r="D254" s="26">
        <f>IF(AND(N254=1,LEN(TRIM('DATOS'!C254&amp;""))&gt;0),'DATOS'!C254,"")</f>
      </c>
      <c r="E254" s="26">
        <f>IF(NOT(ISNUMBER(P254)),"",IF(P254=2,"ROJO",IF(P254=1,"ÁMBAR","VERDE")))</f>
      </c>
      <c r="F254" s="26">
        <f>IF(NOT(ISNUMBER(Q254)),"",IF(Q254=2,"ROJO",IF(Q254=1,"ÁMBAR","VERDE")))</f>
      </c>
      <c r="G254" s="26">
        <f>IF(NOT(ISNUMBER(R254)),"",IF(R254=2,"ROJO",IF(R254=1,"ÁMBAR","VERDE")))</f>
      </c>
      <c r="H254" s="26">
        <f>IF(NOT(ISNUMBER(S254)),"",IF(S254=2,"ROJO",IF(S254=1,"ÁMBAR","VERDE")))</f>
      </c>
      <c r="I254" s="26">
        <f>IF(NOT(ISNUMBER(T254)),"",IF(T254=2,"ROJO",IF(T254=1,"ÁMBAR","VERDE")))</f>
      </c>
      <c r="J254" s="26">
        <f>IF(NOT(ISNUMBER(O254)),"",IF(O254=2,"ROJO",IF(O254=1,"ÁMBAR","VERDE")))</f>
      </c>
      <c r="K254" s="26">
        <f>IFERROR(IF(AND(N254=1,LEN(TRIM('DATOS'!N254&amp;""))&gt;0),'DATOS'!N254,""),"Hay una entrada con error. Corregimos el dato antes de cerrar la comprobación.")</f>
      </c>
      <c r="L254" s="26">
        <f>IFERROR(IF(N254=0,"",IF(O254&gt;0,"Completamos datos, claves o motivo. ","")&amp;IF(P254&gt;0,"Cotejamos precios e importe. ","")&amp;IF(Q254&gt;0,"Aclaramos el cero. ","")&amp;IF(R254&gt;0,"Comprobamos el texto. ","")&amp;IF(S254&gt;0,"Revisamos decimales visibles. ","")&amp;IF(T254&gt;0,"Confirmamos la unidad.","")),"Hay una entrada con error. Corregimos el dato antes de cerrar la comprobación.")</f>
      </c>
      <c r="N254" s="29" t="n">
        <f>IF(COUNTA('DATOS'!B254:O254)&gt;0,1,0)</f>
        <v>0</v>
      </c>
      <c r="O254" s="29">
        <f>IFERROR(IF(N254=0,"",IF(OR(NOT(AND(LEN(TRIM('DATOS'!B254&amp;""))&gt;0,TRIM('DATOS'!B254&amp;"")&lt;&gt;"Pendiente",TRIM('DATOS'!B254&amp;"")&lt;&gt;"Por confirmar",TRIM('DATOS'!B254&amp;"")&lt;&gt;"No consta",TRIM('DATOS'!B254&amp;"")&lt;&gt;"Desconocido",TRIM('DATOS'!B254&amp;"")&lt;&gt;"Sin confirmar",TRIM('DATOS'!B254&amp;"")&lt;&gt;"Por decidir",TRIM('DATOS'!B254&amp;"")&lt;&gt;"Por comprobar")),NOT(AND(LEN(TRIM('DATOS'!C254&amp;""))&gt;0,TRIM('DATOS'!C254&amp;"")&lt;&gt;"Pendiente",TRIM('DATOS'!C254&amp;"")&lt;&gt;"Por confirmar",TRIM('DATOS'!C254&amp;"")&lt;&gt;"No consta",TRIM('DATOS'!C254&amp;"")&lt;&gt;"Desconocido",TRIM('DATOS'!C254&amp;"")&lt;&gt;"Sin confirmar",TRIM('DATOS'!C254&amp;"")&lt;&gt;"Por decidir",TRIM('DATOS'!C254&amp;"")&lt;&gt;"Por comprobar")),NOT(AND(LEN(TRIM('DATOS'!D254&amp;""))&gt;0,TRIM('DATOS'!D254&amp;"")&lt;&gt;"Pendiente",TRIM('DATOS'!D254&amp;"")&lt;&gt;"Por confirmar",TRIM('DATOS'!D254&amp;"")&lt;&gt;"No consta",TRIM('DATOS'!D254&amp;"")&lt;&gt;"Desconocido",TRIM('DATOS'!D254&amp;"")&lt;&gt;"Sin confirmar",TRIM('DATOS'!D254&amp;"")&lt;&gt;"Por decidir",TRIM('DATOS'!D254&amp;"")&lt;&gt;"Por comprobar")),NOT(AND(LEN(TRIM('DATOS'!E254&amp;""))&gt;0,TRIM('DATOS'!E254&amp;"")&lt;&gt;"Pendiente",TRIM('DATOS'!E254&amp;"")&lt;&gt;"Por confirmar",TRIM('DATOS'!E254&amp;"")&lt;&gt;"No consta",TRIM('DATOS'!E254&amp;"")&lt;&gt;"Desconocido",TRIM('DATOS'!E254&amp;"")&lt;&gt;"Sin confirmar",TRIM('DATOS'!E254&amp;"")&lt;&gt;"Por decidir",TRIM('DATOS'!E254&amp;"")&lt;&gt;"Por comprobar")),NOT(AND(LEN(TRIM('DATOS'!F254&amp;""))&gt;0,TRIM('DATOS'!F254&amp;"")&lt;&gt;"Pendiente",TRIM('DATOS'!F254&amp;"")&lt;&gt;"Por confirmar",TRIM('DATOS'!F254&amp;"")&lt;&gt;"No consta",TRIM('DATOS'!F254&amp;"")&lt;&gt;"Desconocido",TRIM('DATOS'!F254&amp;"")&lt;&gt;"Sin confirmar",TRIM('DATOS'!F254&amp;"")&lt;&gt;"Por decidir",TRIM('DATOS'!F254&amp;"")&lt;&gt;"Por comprobar")),NOT(AND(LEN(TRIM('DATOS'!N254&amp;""))&gt;0,TRIM('DATOS'!N254&amp;"")&lt;&gt;"Pendiente",TRIM('DATOS'!N254&amp;"")&lt;&gt;"Por confirmar",TRIM('DATOS'!N254&amp;"")&lt;&gt;"No consta",TRIM('DATOS'!N254&amp;"")&lt;&gt;"Desconocido",TRIM('DATOS'!N254&amp;"")&lt;&gt;"Sin confirmar",TRIM('DATOS'!N254&amp;"")&lt;&gt;"Por decidir",TRIM('DATOS'!N254&amp;"")&lt;&gt;"Por comprobar")),NOT(Y254=1),W254&lt;&gt;1,X254&gt;1,NOT(OR(LEN(TRIM('DATOS'!K254&amp;""))=0,'DATOS'!K254="Sin valorar",'DATOS'!K254="Sin coste documentado",'DATOS'!K254="Incluido en otra partida",'DATOS'!K254="Por confirmar")),NOT(OR(LEN(TRIM('DATOS'!M254&amp;""))=0,'DATOS'!M254="Sí",'DATOS'!M254="No",'DATOS'!M254="Por confirmar")),NOT(OR(LEN(TRIM('DATOS'!O254&amp;""))=0,'DATOS'!O254="Comparamos",'DATOS'!O254="No existe",'DATOS'!O254="Por confirmar"))),2,IF(AND(OR('DATOS'!G254&lt;0,'DATOS'!H254&lt;0,'DATOS'!J254&lt;0),NOT(AND(LEN(TRIM('DATOS'!L254&amp;""))&gt;0,TRIM('DATOS'!L254&amp;"")&lt;&gt;"Pendiente",TRIM('DATOS'!L254&amp;"")&lt;&gt;"Por confirmar",TRIM('DATOS'!L254&amp;"")&lt;&gt;"No consta",TRIM('DATOS'!L254&amp;"")&lt;&gt;"Desconocido",TRIM('DATOS'!L254&amp;"")&lt;&gt;"Sin confirmar",TRIM('DATOS'!L254&amp;"")&lt;&gt;"Por decidir",TRIM('DATOS'!L254&amp;"")&lt;&gt;"Por comprobar"))),1,0))),2)</f>
      </c>
      <c r="P254" s="29">
        <f>IFERROR(IF(N254=0,"",IF(NOT(Y254=1),1,IF('REFERENCIAS'!$Q$8&lt;&gt;1,2,IF(ABS('DATOS'!J254-ROUND('DATOS'!G254*'DATOS'!H254,'REFERENCIAS'!$K$8))&gt;0.00000001,2,IF('DATOS'!O254="No existe",IF(LEN(TRIM('DATOS'!I254&amp;""))=0,0,2),IF('DATOS'!O254="Comparamos",IF(LEN(TRIM('DATOS'!I254&amp;""))=0,1,IF(ISNUMBER('DATOS'!I254),IF(ABS('DATOS'!H254-'DATOS'!I254)&gt;0.00000001,2,0),2)),1)))))),2)</f>
      </c>
      <c r="Q254" s="29">
        <f>IFERROR(IF(N254=0,"",IF(NOT(Y254=1),1,IF('DATOS'!K254="Sin valorar",2,IF('DATOS'!G254=0,1,IF(OR('DATOS'!H254=0,'DATOS'!J254=0),IF(AND(OR('DATOS'!K254="Sin coste documentado",'DATOS'!K254="Incluido en otra partida"),AND(LEN(TRIM('DATOS'!L254&amp;""))&gt;0,TRIM('DATOS'!L254&amp;"")&lt;&gt;"Pendiente",TRIM('DATOS'!L254&amp;"")&lt;&gt;"Por confirmar",TRIM('DATOS'!L254&amp;"")&lt;&gt;"No consta",TRIM('DATOS'!L254&amp;"")&lt;&gt;"Desconocido",TRIM('DATOS'!L254&amp;"")&lt;&gt;"Sin confirmar",TRIM('DATOS'!L254&amp;"")&lt;&gt;"Por decidir",TRIM('DATOS'!L254&amp;"")&lt;&gt;"Por comprobar")),0,1),0))))),2)</f>
      </c>
      <c r="R254" s="29">
        <f>IFERROR(IF(N254=0,"",IF(OR(NOT(AND(LEN(TRIM('DATOS'!D254&amp;""))&gt;0,TRIM('DATOS'!D254&amp;"")&lt;&gt;"Pendiente",TRIM('DATOS'!D254&amp;"")&lt;&gt;"Por confirmar",TRIM('DATOS'!D254&amp;"")&lt;&gt;"No consta",TRIM('DATOS'!D254&amp;"")&lt;&gt;"Desconocido",TRIM('DATOS'!D254&amp;"")&lt;&gt;"Sin confirmar",TRIM('DATOS'!D254&amp;"")&lt;&gt;"Por decidir",TRIM('DATOS'!D254&amp;"")&lt;&gt;"Por comprobar")),NOT(AND(LEN(TRIM('DATOS'!E254&amp;""))&gt;0,TRIM('DATOS'!E254&amp;"")&lt;&gt;"Pendiente",TRIM('DATOS'!E254&amp;"")&lt;&gt;"Por confirmar",TRIM('DATOS'!E254&amp;"")&lt;&gt;"No consta",TRIM('DATOS'!E254&amp;"")&lt;&gt;"Desconocido",TRIM('DATOS'!E254&amp;"")&lt;&gt;"Sin confirmar",TRIM('DATOS'!E254&amp;"")&lt;&gt;"Por decidir",TRIM('DATOS'!E254&amp;"")&lt;&gt;"Por comprobar"))),2,IF('DATOS'!M254="No",2,IF('DATOS'!M254="Sí",0,IF(OR('DATOS'!D254&lt;&gt;'DATOS'!E254,LEN('DATOS'!E254)&gt;300,RIGHT(TRIM('DATOS'!E254),3)="...",RIGHT(TRIM('DATOS'!E254),1)="…"),1,0))))),2)</f>
      </c>
      <c r="S254" s="29">
        <f>IFERROR(IF(N254=0,"",IF('REFERENCIAS'!$Q$8&lt;&gt;1,2,IF(NOT(Y254=1),1,IF(OR(ABS('DATOS'!G254-ROUND('DATOS'!G254,'REFERENCIAS'!$E$8))&gt;0.00000001,ABS('DATOS'!H254-ROUND('DATOS'!H254,'REFERENCIAS'!$H$8))&gt;0.00000001,ABS('DATOS'!J254-ROUND('DATOS'!J254,'REFERENCIAS'!$K$8))&gt;0.00000001,IF(ISNUMBER('DATOS'!I254),ABS('DATOS'!I254-ROUND('DATOS'!I254,'REFERENCIAS'!$H$8))&gt;0.00000001,FALSE)),1,0)))),2)</f>
      </c>
      <c r="T254" s="29">
        <f>IFERROR(IF(N254=0,"",IF(NOT(AND(LEN(TRIM('DATOS'!F254&amp;""))&gt;0,TRIM('DATOS'!F254&amp;"")&lt;&gt;"Pendiente",TRIM('DATOS'!F254&amp;"")&lt;&gt;"Por confirmar",TRIM('DATOS'!F254&amp;"")&lt;&gt;"No consta",TRIM('DATOS'!F254&amp;"")&lt;&gt;"Desconocido",TRIM('DATOS'!F254&amp;"")&lt;&gt;"Sin confirmar",TRIM('DATOS'!F254&amp;"")&lt;&gt;"Por decidir",TRIM('DATOS'!F254&amp;"")&lt;&gt;"Por comprobar")),2,IF(COUNTIFS('REFERENCIAS'!$T$15:$T$34,"ID:"&amp;SUBSTITUTE(SUBSTITUTE(SUBSTITUTE(SUBSTITUTE(UPPER(TRIM('DATOS'!F254&amp;"")),"!","!E"),"*","!A"),"?","!B"),"~","!C"),'REFERENCIAS'!$H$15:$H$34,"&lt;&gt;")&gt;0,0,1))),2)</f>
      </c>
      <c r="U254" s="29" t="str">
        <f>'DATOS'!R254</f>
        <v>ID:</v>
      </c>
      <c r="V254" s="29" t="str">
        <f>'DATOS'!S254</f>
        <v>ID:</v>
      </c>
      <c r="W254" s="29" t="n">
        <f>IF(N254=0,0,COUNTIFS('REFERENCIAS'!$R$15:$R$64,U254))</f>
        <v>0</v>
      </c>
      <c r="X254" s="29" t="n">
        <f>IF(N254=0,0,COUNTIFS('DATOS'!$R$10:$R$509,U254,'DATOS'!$S$10:$S$509,V254))</f>
        <v>0</v>
      </c>
      <c r="Y254" s="29" t="n">
        <f>IF(AND(ISNUMBER('DATOS'!G254),ISNUMBER('DATOS'!H254),ISNUMBER('DATOS'!J254)),1,0)</f>
        <v>0</v>
      </c>
    </row>
    <row r="255" ht="64" customHeight="1">
      <c r="B255" s="26">
        <f>IF(N255=1,246,"")</f>
      </c>
      <c r="C255" s="26">
        <f>IF(AND(N255=1,LEN(TRIM('DATOS'!B255&amp;""))&gt;0),'DATOS'!B255,"")</f>
      </c>
      <c r="D255" s="26">
        <f>IF(AND(N255=1,LEN(TRIM('DATOS'!C255&amp;""))&gt;0),'DATOS'!C255,"")</f>
      </c>
      <c r="E255" s="26">
        <f>IF(NOT(ISNUMBER(P255)),"",IF(P255=2,"ROJO",IF(P255=1,"ÁMBAR","VERDE")))</f>
      </c>
      <c r="F255" s="26">
        <f>IF(NOT(ISNUMBER(Q255)),"",IF(Q255=2,"ROJO",IF(Q255=1,"ÁMBAR","VERDE")))</f>
      </c>
      <c r="G255" s="26">
        <f>IF(NOT(ISNUMBER(R255)),"",IF(R255=2,"ROJO",IF(R255=1,"ÁMBAR","VERDE")))</f>
      </c>
      <c r="H255" s="26">
        <f>IF(NOT(ISNUMBER(S255)),"",IF(S255=2,"ROJO",IF(S255=1,"ÁMBAR","VERDE")))</f>
      </c>
      <c r="I255" s="26">
        <f>IF(NOT(ISNUMBER(T255)),"",IF(T255=2,"ROJO",IF(T255=1,"ÁMBAR","VERDE")))</f>
      </c>
      <c r="J255" s="26">
        <f>IF(NOT(ISNUMBER(O255)),"",IF(O255=2,"ROJO",IF(O255=1,"ÁMBAR","VERDE")))</f>
      </c>
      <c r="K255" s="26">
        <f>IFERROR(IF(AND(N255=1,LEN(TRIM('DATOS'!N255&amp;""))&gt;0),'DATOS'!N255,""),"Hay una entrada con error. Corregimos el dato antes de cerrar la comprobación.")</f>
      </c>
      <c r="L255" s="26">
        <f>IFERROR(IF(N255=0,"",IF(O255&gt;0,"Completamos datos, claves o motivo. ","")&amp;IF(P255&gt;0,"Cotejamos precios e importe. ","")&amp;IF(Q255&gt;0,"Aclaramos el cero. ","")&amp;IF(R255&gt;0,"Comprobamos el texto. ","")&amp;IF(S255&gt;0,"Revisamos decimales visibles. ","")&amp;IF(T255&gt;0,"Confirmamos la unidad.","")),"Hay una entrada con error. Corregimos el dato antes de cerrar la comprobación.")</f>
      </c>
      <c r="N255" s="29" t="n">
        <f>IF(COUNTA('DATOS'!B255:O255)&gt;0,1,0)</f>
        <v>0</v>
      </c>
      <c r="O255" s="29">
        <f>IFERROR(IF(N255=0,"",IF(OR(NOT(AND(LEN(TRIM('DATOS'!B255&amp;""))&gt;0,TRIM('DATOS'!B255&amp;"")&lt;&gt;"Pendiente",TRIM('DATOS'!B255&amp;"")&lt;&gt;"Por confirmar",TRIM('DATOS'!B255&amp;"")&lt;&gt;"No consta",TRIM('DATOS'!B255&amp;"")&lt;&gt;"Desconocido",TRIM('DATOS'!B255&amp;"")&lt;&gt;"Sin confirmar",TRIM('DATOS'!B255&amp;"")&lt;&gt;"Por decidir",TRIM('DATOS'!B255&amp;"")&lt;&gt;"Por comprobar")),NOT(AND(LEN(TRIM('DATOS'!C255&amp;""))&gt;0,TRIM('DATOS'!C255&amp;"")&lt;&gt;"Pendiente",TRIM('DATOS'!C255&amp;"")&lt;&gt;"Por confirmar",TRIM('DATOS'!C255&amp;"")&lt;&gt;"No consta",TRIM('DATOS'!C255&amp;"")&lt;&gt;"Desconocido",TRIM('DATOS'!C255&amp;"")&lt;&gt;"Sin confirmar",TRIM('DATOS'!C255&amp;"")&lt;&gt;"Por decidir",TRIM('DATOS'!C255&amp;"")&lt;&gt;"Por comprobar")),NOT(AND(LEN(TRIM('DATOS'!D255&amp;""))&gt;0,TRIM('DATOS'!D255&amp;"")&lt;&gt;"Pendiente",TRIM('DATOS'!D255&amp;"")&lt;&gt;"Por confirmar",TRIM('DATOS'!D255&amp;"")&lt;&gt;"No consta",TRIM('DATOS'!D255&amp;"")&lt;&gt;"Desconocido",TRIM('DATOS'!D255&amp;"")&lt;&gt;"Sin confirmar",TRIM('DATOS'!D255&amp;"")&lt;&gt;"Por decidir",TRIM('DATOS'!D255&amp;"")&lt;&gt;"Por comprobar")),NOT(AND(LEN(TRIM('DATOS'!E255&amp;""))&gt;0,TRIM('DATOS'!E255&amp;"")&lt;&gt;"Pendiente",TRIM('DATOS'!E255&amp;"")&lt;&gt;"Por confirmar",TRIM('DATOS'!E255&amp;"")&lt;&gt;"No consta",TRIM('DATOS'!E255&amp;"")&lt;&gt;"Desconocido",TRIM('DATOS'!E255&amp;"")&lt;&gt;"Sin confirmar",TRIM('DATOS'!E255&amp;"")&lt;&gt;"Por decidir",TRIM('DATOS'!E255&amp;"")&lt;&gt;"Por comprobar")),NOT(AND(LEN(TRIM('DATOS'!F255&amp;""))&gt;0,TRIM('DATOS'!F255&amp;"")&lt;&gt;"Pendiente",TRIM('DATOS'!F255&amp;"")&lt;&gt;"Por confirmar",TRIM('DATOS'!F255&amp;"")&lt;&gt;"No consta",TRIM('DATOS'!F255&amp;"")&lt;&gt;"Desconocido",TRIM('DATOS'!F255&amp;"")&lt;&gt;"Sin confirmar",TRIM('DATOS'!F255&amp;"")&lt;&gt;"Por decidir",TRIM('DATOS'!F255&amp;"")&lt;&gt;"Por comprobar")),NOT(AND(LEN(TRIM('DATOS'!N255&amp;""))&gt;0,TRIM('DATOS'!N255&amp;"")&lt;&gt;"Pendiente",TRIM('DATOS'!N255&amp;"")&lt;&gt;"Por confirmar",TRIM('DATOS'!N255&amp;"")&lt;&gt;"No consta",TRIM('DATOS'!N255&amp;"")&lt;&gt;"Desconocido",TRIM('DATOS'!N255&amp;"")&lt;&gt;"Sin confirmar",TRIM('DATOS'!N255&amp;"")&lt;&gt;"Por decidir",TRIM('DATOS'!N255&amp;"")&lt;&gt;"Por comprobar")),NOT(Y255=1),W255&lt;&gt;1,X255&gt;1,NOT(OR(LEN(TRIM('DATOS'!K255&amp;""))=0,'DATOS'!K255="Sin valorar",'DATOS'!K255="Sin coste documentado",'DATOS'!K255="Incluido en otra partida",'DATOS'!K255="Por confirmar")),NOT(OR(LEN(TRIM('DATOS'!M255&amp;""))=0,'DATOS'!M255="Sí",'DATOS'!M255="No",'DATOS'!M255="Por confirmar")),NOT(OR(LEN(TRIM('DATOS'!O255&amp;""))=0,'DATOS'!O255="Comparamos",'DATOS'!O255="No existe",'DATOS'!O255="Por confirmar"))),2,IF(AND(OR('DATOS'!G255&lt;0,'DATOS'!H255&lt;0,'DATOS'!J255&lt;0),NOT(AND(LEN(TRIM('DATOS'!L255&amp;""))&gt;0,TRIM('DATOS'!L255&amp;"")&lt;&gt;"Pendiente",TRIM('DATOS'!L255&amp;"")&lt;&gt;"Por confirmar",TRIM('DATOS'!L255&amp;"")&lt;&gt;"No consta",TRIM('DATOS'!L255&amp;"")&lt;&gt;"Desconocido",TRIM('DATOS'!L255&amp;"")&lt;&gt;"Sin confirmar",TRIM('DATOS'!L255&amp;"")&lt;&gt;"Por decidir",TRIM('DATOS'!L255&amp;"")&lt;&gt;"Por comprobar"))),1,0))),2)</f>
      </c>
      <c r="P255" s="29">
        <f>IFERROR(IF(N255=0,"",IF(NOT(Y255=1),1,IF('REFERENCIAS'!$Q$8&lt;&gt;1,2,IF(ABS('DATOS'!J255-ROUND('DATOS'!G255*'DATOS'!H255,'REFERENCIAS'!$K$8))&gt;0.00000001,2,IF('DATOS'!O255="No existe",IF(LEN(TRIM('DATOS'!I255&amp;""))=0,0,2),IF('DATOS'!O255="Comparamos",IF(LEN(TRIM('DATOS'!I255&amp;""))=0,1,IF(ISNUMBER('DATOS'!I255),IF(ABS('DATOS'!H255-'DATOS'!I255)&gt;0.00000001,2,0),2)),1)))))),2)</f>
      </c>
      <c r="Q255" s="29">
        <f>IFERROR(IF(N255=0,"",IF(NOT(Y255=1),1,IF('DATOS'!K255="Sin valorar",2,IF('DATOS'!G255=0,1,IF(OR('DATOS'!H255=0,'DATOS'!J255=0),IF(AND(OR('DATOS'!K255="Sin coste documentado",'DATOS'!K255="Incluido en otra partida"),AND(LEN(TRIM('DATOS'!L255&amp;""))&gt;0,TRIM('DATOS'!L255&amp;"")&lt;&gt;"Pendiente",TRIM('DATOS'!L255&amp;"")&lt;&gt;"Por confirmar",TRIM('DATOS'!L255&amp;"")&lt;&gt;"No consta",TRIM('DATOS'!L255&amp;"")&lt;&gt;"Desconocido",TRIM('DATOS'!L255&amp;"")&lt;&gt;"Sin confirmar",TRIM('DATOS'!L255&amp;"")&lt;&gt;"Por decidir",TRIM('DATOS'!L255&amp;"")&lt;&gt;"Por comprobar")),0,1),0))))),2)</f>
      </c>
      <c r="R255" s="29">
        <f>IFERROR(IF(N255=0,"",IF(OR(NOT(AND(LEN(TRIM('DATOS'!D255&amp;""))&gt;0,TRIM('DATOS'!D255&amp;"")&lt;&gt;"Pendiente",TRIM('DATOS'!D255&amp;"")&lt;&gt;"Por confirmar",TRIM('DATOS'!D255&amp;"")&lt;&gt;"No consta",TRIM('DATOS'!D255&amp;"")&lt;&gt;"Desconocido",TRIM('DATOS'!D255&amp;"")&lt;&gt;"Sin confirmar",TRIM('DATOS'!D255&amp;"")&lt;&gt;"Por decidir",TRIM('DATOS'!D255&amp;"")&lt;&gt;"Por comprobar")),NOT(AND(LEN(TRIM('DATOS'!E255&amp;""))&gt;0,TRIM('DATOS'!E255&amp;"")&lt;&gt;"Pendiente",TRIM('DATOS'!E255&amp;"")&lt;&gt;"Por confirmar",TRIM('DATOS'!E255&amp;"")&lt;&gt;"No consta",TRIM('DATOS'!E255&amp;"")&lt;&gt;"Desconocido",TRIM('DATOS'!E255&amp;"")&lt;&gt;"Sin confirmar",TRIM('DATOS'!E255&amp;"")&lt;&gt;"Por decidir",TRIM('DATOS'!E255&amp;"")&lt;&gt;"Por comprobar"))),2,IF('DATOS'!M255="No",2,IF('DATOS'!M255="Sí",0,IF(OR('DATOS'!D255&lt;&gt;'DATOS'!E255,LEN('DATOS'!E255)&gt;300,RIGHT(TRIM('DATOS'!E255),3)="...",RIGHT(TRIM('DATOS'!E255),1)="…"),1,0))))),2)</f>
      </c>
      <c r="S255" s="29">
        <f>IFERROR(IF(N255=0,"",IF('REFERENCIAS'!$Q$8&lt;&gt;1,2,IF(NOT(Y255=1),1,IF(OR(ABS('DATOS'!G255-ROUND('DATOS'!G255,'REFERENCIAS'!$E$8))&gt;0.00000001,ABS('DATOS'!H255-ROUND('DATOS'!H255,'REFERENCIAS'!$H$8))&gt;0.00000001,ABS('DATOS'!J255-ROUND('DATOS'!J255,'REFERENCIAS'!$K$8))&gt;0.00000001,IF(ISNUMBER('DATOS'!I255),ABS('DATOS'!I255-ROUND('DATOS'!I255,'REFERENCIAS'!$H$8))&gt;0.00000001,FALSE)),1,0)))),2)</f>
      </c>
      <c r="T255" s="29">
        <f>IFERROR(IF(N255=0,"",IF(NOT(AND(LEN(TRIM('DATOS'!F255&amp;""))&gt;0,TRIM('DATOS'!F255&amp;"")&lt;&gt;"Pendiente",TRIM('DATOS'!F255&amp;"")&lt;&gt;"Por confirmar",TRIM('DATOS'!F255&amp;"")&lt;&gt;"No consta",TRIM('DATOS'!F255&amp;"")&lt;&gt;"Desconocido",TRIM('DATOS'!F255&amp;"")&lt;&gt;"Sin confirmar",TRIM('DATOS'!F255&amp;"")&lt;&gt;"Por decidir",TRIM('DATOS'!F255&amp;"")&lt;&gt;"Por comprobar")),2,IF(COUNTIFS('REFERENCIAS'!$T$15:$T$34,"ID:"&amp;SUBSTITUTE(SUBSTITUTE(SUBSTITUTE(SUBSTITUTE(UPPER(TRIM('DATOS'!F255&amp;"")),"!","!E"),"*","!A"),"?","!B"),"~","!C"),'REFERENCIAS'!$H$15:$H$34,"&lt;&gt;")&gt;0,0,1))),2)</f>
      </c>
      <c r="U255" s="29" t="str">
        <f>'DATOS'!R255</f>
        <v>ID:</v>
      </c>
      <c r="V255" s="29" t="str">
        <f>'DATOS'!S255</f>
        <v>ID:</v>
      </c>
      <c r="W255" s="29" t="n">
        <f>IF(N255=0,0,COUNTIFS('REFERENCIAS'!$R$15:$R$64,U255))</f>
        <v>0</v>
      </c>
      <c r="X255" s="29" t="n">
        <f>IF(N255=0,0,COUNTIFS('DATOS'!$R$10:$R$509,U255,'DATOS'!$S$10:$S$509,V255))</f>
        <v>0</v>
      </c>
      <c r="Y255" s="29" t="n">
        <f>IF(AND(ISNUMBER('DATOS'!G255),ISNUMBER('DATOS'!H255),ISNUMBER('DATOS'!J255)),1,0)</f>
        <v>0</v>
      </c>
    </row>
    <row r="256" ht="64" customHeight="1">
      <c r="B256" s="26">
        <f>IF(N256=1,247,"")</f>
      </c>
      <c r="C256" s="26">
        <f>IF(AND(N256=1,LEN(TRIM('DATOS'!B256&amp;""))&gt;0),'DATOS'!B256,"")</f>
      </c>
      <c r="D256" s="26">
        <f>IF(AND(N256=1,LEN(TRIM('DATOS'!C256&amp;""))&gt;0),'DATOS'!C256,"")</f>
      </c>
      <c r="E256" s="26">
        <f>IF(NOT(ISNUMBER(P256)),"",IF(P256=2,"ROJO",IF(P256=1,"ÁMBAR","VERDE")))</f>
      </c>
      <c r="F256" s="26">
        <f>IF(NOT(ISNUMBER(Q256)),"",IF(Q256=2,"ROJO",IF(Q256=1,"ÁMBAR","VERDE")))</f>
      </c>
      <c r="G256" s="26">
        <f>IF(NOT(ISNUMBER(R256)),"",IF(R256=2,"ROJO",IF(R256=1,"ÁMBAR","VERDE")))</f>
      </c>
      <c r="H256" s="26">
        <f>IF(NOT(ISNUMBER(S256)),"",IF(S256=2,"ROJO",IF(S256=1,"ÁMBAR","VERDE")))</f>
      </c>
      <c r="I256" s="26">
        <f>IF(NOT(ISNUMBER(T256)),"",IF(T256=2,"ROJO",IF(T256=1,"ÁMBAR","VERDE")))</f>
      </c>
      <c r="J256" s="26">
        <f>IF(NOT(ISNUMBER(O256)),"",IF(O256=2,"ROJO",IF(O256=1,"ÁMBAR","VERDE")))</f>
      </c>
      <c r="K256" s="26">
        <f>IFERROR(IF(AND(N256=1,LEN(TRIM('DATOS'!N256&amp;""))&gt;0),'DATOS'!N256,""),"Hay una entrada con error. Corregimos el dato antes de cerrar la comprobación.")</f>
      </c>
      <c r="L256" s="26">
        <f>IFERROR(IF(N256=0,"",IF(O256&gt;0,"Completamos datos, claves o motivo. ","")&amp;IF(P256&gt;0,"Cotejamos precios e importe. ","")&amp;IF(Q256&gt;0,"Aclaramos el cero. ","")&amp;IF(R256&gt;0,"Comprobamos el texto. ","")&amp;IF(S256&gt;0,"Revisamos decimales visibles. ","")&amp;IF(T256&gt;0,"Confirmamos la unidad.","")),"Hay una entrada con error. Corregimos el dato antes de cerrar la comprobación.")</f>
      </c>
      <c r="N256" s="29" t="n">
        <f>IF(COUNTA('DATOS'!B256:O256)&gt;0,1,0)</f>
        <v>0</v>
      </c>
      <c r="O256" s="29">
        <f>IFERROR(IF(N256=0,"",IF(OR(NOT(AND(LEN(TRIM('DATOS'!B256&amp;""))&gt;0,TRIM('DATOS'!B256&amp;"")&lt;&gt;"Pendiente",TRIM('DATOS'!B256&amp;"")&lt;&gt;"Por confirmar",TRIM('DATOS'!B256&amp;"")&lt;&gt;"No consta",TRIM('DATOS'!B256&amp;"")&lt;&gt;"Desconocido",TRIM('DATOS'!B256&amp;"")&lt;&gt;"Sin confirmar",TRIM('DATOS'!B256&amp;"")&lt;&gt;"Por decidir",TRIM('DATOS'!B256&amp;"")&lt;&gt;"Por comprobar")),NOT(AND(LEN(TRIM('DATOS'!C256&amp;""))&gt;0,TRIM('DATOS'!C256&amp;"")&lt;&gt;"Pendiente",TRIM('DATOS'!C256&amp;"")&lt;&gt;"Por confirmar",TRIM('DATOS'!C256&amp;"")&lt;&gt;"No consta",TRIM('DATOS'!C256&amp;"")&lt;&gt;"Desconocido",TRIM('DATOS'!C256&amp;"")&lt;&gt;"Sin confirmar",TRIM('DATOS'!C256&amp;"")&lt;&gt;"Por decidir",TRIM('DATOS'!C256&amp;"")&lt;&gt;"Por comprobar")),NOT(AND(LEN(TRIM('DATOS'!D256&amp;""))&gt;0,TRIM('DATOS'!D256&amp;"")&lt;&gt;"Pendiente",TRIM('DATOS'!D256&amp;"")&lt;&gt;"Por confirmar",TRIM('DATOS'!D256&amp;"")&lt;&gt;"No consta",TRIM('DATOS'!D256&amp;"")&lt;&gt;"Desconocido",TRIM('DATOS'!D256&amp;"")&lt;&gt;"Sin confirmar",TRIM('DATOS'!D256&amp;"")&lt;&gt;"Por decidir",TRIM('DATOS'!D256&amp;"")&lt;&gt;"Por comprobar")),NOT(AND(LEN(TRIM('DATOS'!E256&amp;""))&gt;0,TRIM('DATOS'!E256&amp;"")&lt;&gt;"Pendiente",TRIM('DATOS'!E256&amp;"")&lt;&gt;"Por confirmar",TRIM('DATOS'!E256&amp;"")&lt;&gt;"No consta",TRIM('DATOS'!E256&amp;"")&lt;&gt;"Desconocido",TRIM('DATOS'!E256&amp;"")&lt;&gt;"Sin confirmar",TRIM('DATOS'!E256&amp;"")&lt;&gt;"Por decidir",TRIM('DATOS'!E256&amp;"")&lt;&gt;"Por comprobar")),NOT(AND(LEN(TRIM('DATOS'!F256&amp;""))&gt;0,TRIM('DATOS'!F256&amp;"")&lt;&gt;"Pendiente",TRIM('DATOS'!F256&amp;"")&lt;&gt;"Por confirmar",TRIM('DATOS'!F256&amp;"")&lt;&gt;"No consta",TRIM('DATOS'!F256&amp;"")&lt;&gt;"Desconocido",TRIM('DATOS'!F256&amp;"")&lt;&gt;"Sin confirmar",TRIM('DATOS'!F256&amp;"")&lt;&gt;"Por decidir",TRIM('DATOS'!F256&amp;"")&lt;&gt;"Por comprobar")),NOT(AND(LEN(TRIM('DATOS'!N256&amp;""))&gt;0,TRIM('DATOS'!N256&amp;"")&lt;&gt;"Pendiente",TRIM('DATOS'!N256&amp;"")&lt;&gt;"Por confirmar",TRIM('DATOS'!N256&amp;"")&lt;&gt;"No consta",TRIM('DATOS'!N256&amp;"")&lt;&gt;"Desconocido",TRIM('DATOS'!N256&amp;"")&lt;&gt;"Sin confirmar",TRIM('DATOS'!N256&amp;"")&lt;&gt;"Por decidir",TRIM('DATOS'!N256&amp;"")&lt;&gt;"Por comprobar")),NOT(Y256=1),W256&lt;&gt;1,X256&gt;1,NOT(OR(LEN(TRIM('DATOS'!K256&amp;""))=0,'DATOS'!K256="Sin valorar",'DATOS'!K256="Sin coste documentado",'DATOS'!K256="Incluido en otra partida",'DATOS'!K256="Por confirmar")),NOT(OR(LEN(TRIM('DATOS'!M256&amp;""))=0,'DATOS'!M256="Sí",'DATOS'!M256="No",'DATOS'!M256="Por confirmar")),NOT(OR(LEN(TRIM('DATOS'!O256&amp;""))=0,'DATOS'!O256="Comparamos",'DATOS'!O256="No existe",'DATOS'!O256="Por confirmar"))),2,IF(AND(OR('DATOS'!G256&lt;0,'DATOS'!H256&lt;0,'DATOS'!J256&lt;0),NOT(AND(LEN(TRIM('DATOS'!L256&amp;""))&gt;0,TRIM('DATOS'!L256&amp;"")&lt;&gt;"Pendiente",TRIM('DATOS'!L256&amp;"")&lt;&gt;"Por confirmar",TRIM('DATOS'!L256&amp;"")&lt;&gt;"No consta",TRIM('DATOS'!L256&amp;"")&lt;&gt;"Desconocido",TRIM('DATOS'!L256&amp;"")&lt;&gt;"Sin confirmar",TRIM('DATOS'!L256&amp;"")&lt;&gt;"Por decidir",TRIM('DATOS'!L256&amp;"")&lt;&gt;"Por comprobar"))),1,0))),2)</f>
      </c>
      <c r="P256" s="29">
        <f>IFERROR(IF(N256=0,"",IF(NOT(Y256=1),1,IF('REFERENCIAS'!$Q$8&lt;&gt;1,2,IF(ABS('DATOS'!J256-ROUND('DATOS'!G256*'DATOS'!H256,'REFERENCIAS'!$K$8))&gt;0.00000001,2,IF('DATOS'!O256="No existe",IF(LEN(TRIM('DATOS'!I256&amp;""))=0,0,2),IF('DATOS'!O256="Comparamos",IF(LEN(TRIM('DATOS'!I256&amp;""))=0,1,IF(ISNUMBER('DATOS'!I256),IF(ABS('DATOS'!H256-'DATOS'!I256)&gt;0.00000001,2,0),2)),1)))))),2)</f>
      </c>
      <c r="Q256" s="29">
        <f>IFERROR(IF(N256=0,"",IF(NOT(Y256=1),1,IF('DATOS'!K256="Sin valorar",2,IF('DATOS'!G256=0,1,IF(OR('DATOS'!H256=0,'DATOS'!J256=0),IF(AND(OR('DATOS'!K256="Sin coste documentado",'DATOS'!K256="Incluido en otra partida"),AND(LEN(TRIM('DATOS'!L256&amp;""))&gt;0,TRIM('DATOS'!L256&amp;"")&lt;&gt;"Pendiente",TRIM('DATOS'!L256&amp;"")&lt;&gt;"Por confirmar",TRIM('DATOS'!L256&amp;"")&lt;&gt;"No consta",TRIM('DATOS'!L256&amp;"")&lt;&gt;"Desconocido",TRIM('DATOS'!L256&amp;"")&lt;&gt;"Sin confirmar",TRIM('DATOS'!L256&amp;"")&lt;&gt;"Por decidir",TRIM('DATOS'!L256&amp;"")&lt;&gt;"Por comprobar")),0,1),0))))),2)</f>
      </c>
      <c r="R256" s="29">
        <f>IFERROR(IF(N256=0,"",IF(OR(NOT(AND(LEN(TRIM('DATOS'!D256&amp;""))&gt;0,TRIM('DATOS'!D256&amp;"")&lt;&gt;"Pendiente",TRIM('DATOS'!D256&amp;"")&lt;&gt;"Por confirmar",TRIM('DATOS'!D256&amp;"")&lt;&gt;"No consta",TRIM('DATOS'!D256&amp;"")&lt;&gt;"Desconocido",TRIM('DATOS'!D256&amp;"")&lt;&gt;"Sin confirmar",TRIM('DATOS'!D256&amp;"")&lt;&gt;"Por decidir",TRIM('DATOS'!D256&amp;"")&lt;&gt;"Por comprobar")),NOT(AND(LEN(TRIM('DATOS'!E256&amp;""))&gt;0,TRIM('DATOS'!E256&amp;"")&lt;&gt;"Pendiente",TRIM('DATOS'!E256&amp;"")&lt;&gt;"Por confirmar",TRIM('DATOS'!E256&amp;"")&lt;&gt;"No consta",TRIM('DATOS'!E256&amp;"")&lt;&gt;"Desconocido",TRIM('DATOS'!E256&amp;"")&lt;&gt;"Sin confirmar",TRIM('DATOS'!E256&amp;"")&lt;&gt;"Por decidir",TRIM('DATOS'!E256&amp;"")&lt;&gt;"Por comprobar"))),2,IF('DATOS'!M256="No",2,IF('DATOS'!M256="Sí",0,IF(OR('DATOS'!D256&lt;&gt;'DATOS'!E256,LEN('DATOS'!E256)&gt;300,RIGHT(TRIM('DATOS'!E256),3)="...",RIGHT(TRIM('DATOS'!E256),1)="…"),1,0))))),2)</f>
      </c>
      <c r="S256" s="29">
        <f>IFERROR(IF(N256=0,"",IF('REFERENCIAS'!$Q$8&lt;&gt;1,2,IF(NOT(Y256=1),1,IF(OR(ABS('DATOS'!G256-ROUND('DATOS'!G256,'REFERENCIAS'!$E$8))&gt;0.00000001,ABS('DATOS'!H256-ROUND('DATOS'!H256,'REFERENCIAS'!$H$8))&gt;0.00000001,ABS('DATOS'!J256-ROUND('DATOS'!J256,'REFERENCIAS'!$K$8))&gt;0.00000001,IF(ISNUMBER('DATOS'!I256),ABS('DATOS'!I256-ROUND('DATOS'!I256,'REFERENCIAS'!$H$8))&gt;0.00000001,FALSE)),1,0)))),2)</f>
      </c>
      <c r="T256" s="29">
        <f>IFERROR(IF(N256=0,"",IF(NOT(AND(LEN(TRIM('DATOS'!F256&amp;""))&gt;0,TRIM('DATOS'!F256&amp;"")&lt;&gt;"Pendiente",TRIM('DATOS'!F256&amp;"")&lt;&gt;"Por confirmar",TRIM('DATOS'!F256&amp;"")&lt;&gt;"No consta",TRIM('DATOS'!F256&amp;"")&lt;&gt;"Desconocido",TRIM('DATOS'!F256&amp;"")&lt;&gt;"Sin confirmar",TRIM('DATOS'!F256&amp;"")&lt;&gt;"Por decidir",TRIM('DATOS'!F256&amp;"")&lt;&gt;"Por comprobar")),2,IF(COUNTIFS('REFERENCIAS'!$T$15:$T$34,"ID:"&amp;SUBSTITUTE(SUBSTITUTE(SUBSTITUTE(SUBSTITUTE(UPPER(TRIM('DATOS'!F256&amp;"")),"!","!E"),"*","!A"),"?","!B"),"~","!C"),'REFERENCIAS'!$H$15:$H$34,"&lt;&gt;")&gt;0,0,1))),2)</f>
      </c>
      <c r="U256" s="29" t="str">
        <f>'DATOS'!R256</f>
        <v>ID:</v>
      </c>
      <c r="V256" s="29" t="str">
        <f>'DATOS'!S256</f>
        <v>ID:</v>
      </c>
      <c r="W256" s="29" t="n">
        <f>IF(N256=0,0,COUNTIFS('REFERENCIAS'!$R$15:$R$64,U256))</f>
        <v>0</v>
      </c>
      <c r="X256" s="29" t="n">
        <f>IF(N256=0,0,COUNTIFS('DATOS'!$R$10:$R$509,U256,'DATOS'!$S$10:$S$509,V256))</f>
        <v>0</v>
      </c>
      <c r="Y256" s="29" t="n">
        <f>IF(AND(ISNUMBER('DATOS'!G256),ISNUMBER('DATOS'!H256),ISNUMBER('DATOS'!J256)),1,0)</f>
        <v>0</v>
      </c>
    </row>
    <row r="257" ht="64" customHeight="1">
      <c r="B257" s="26">
        <f>IF(N257=1,248,"")</f>
      </c>
      <c r="C257" s="26">
        <f>IF(AND(N257=1,LEN(TRIM('DATOS'!B257&amp;""))&gt;0),'DATOS'!B257,"")</f>
      </c>
      <c r="D257" s="26">
        <f>IF(AND(N257=1,LEN(TRIM('DATOS'!C257&amp;""))&gt;0),'DATOS'!C257,"")</f>
      </c>
      <c r="E257" s="26">
        <f>IF(NOT(ISNUMBER(P257)),"",IF(P257=2,"ROJO",IF(P257=1,"ÁMBAR","VERDE")))</f>
      </c>
      <c r="F257" s="26">
        <f>IF(NOT(ISNUMBER(Q257)),"",IF(Q257=2,"ROJO",IF(Q257=1,"ÁMBAR","VERDE")))</f>
      </c>
      <c r="G257" s="26">
        <f>IF(NOT(ISNUMBER(R257)),"",IF(R257=2,"ROJO",IF(R257=1,"ÁMBAR","VERDE")))</f>
      </c>
      <c r="H257" s="26">
        <f>IF(NOT(ISNUMBER(S257)),"",IF(S257=2,"ROJO",IF(S257=1,"ÁMBAR","VERDE")))</f>
      </c>
      <c r="I257" s="26">
        <f>IF(NOT(ISNUMBER(T257)),"",IF(T257=2,"ROJO",IF(T257=1,"ÁMBAR","VERDE")))</f>
      </c>
      <c r="J257" s="26">
        <f>IF(NOT(ISNUMBER(O257)),"",IF(O257=2,"ROJO",IF(O257=1,"ÁMBAR","VERDE")))</f>
      </c>
      <c r="K257" s="26">
        <f>IFERROR(IF(AND(N257=1,LEN(TRIM('DATOS'!N257&amp;""))&gt;0),'DATOS'!N257,""),"Hay una entrada con error. Corregimos el dato antes de cerrar la comprobación.")</f>
      </c>
      <c r="L257" s="26">
        <f>IFERROR(IF(N257=0,"",IF(O257&gt;0,"Completamos datos, claves o motivo. ","")&amp;IF(P257&gt;0,"Cotejamos precios e importe. ","")&amp;IF(Q257&gt;0,"Aclaramos el cero. ","")&amp;IF(R257&gt;0,"Comprobamos el texto. ","")&amp;IF(S257&gt;0,"Revisamos decimales visibles. ","")&amp;IF(T257&gt;0,"Confirmamos la unidad.","")),"Hay una entrada con error. Corregimos el dato antes de cerrar la comprobación.")</f>
      </c>
      <c r="N257" s="29" t="n">
        <f>IF(COUNTA('DATOS'!B257:O257)&gt;0,1,0)</f>
        <v>0</v>
      </c>
      <c r="O257" s="29">
        <f>IFERROR(IF(N257=0,"",IF(OR(NOT(AND(LEN(TRIM('DATOS'!B257&amp;""))&gt;0,TRIM('DATOS'!B257&amp;"")&lt;&gt;"Pendiente",TRIM('DATOS'!B257&amp;"")&lt;&gt;"Por confirmar",TRIM('DATOS'!B257&amp;"")&lt;&gt;"No consta",TRIM('DATOS'!B257&amp;"")&lt;&gt;"Desconocido",TRIM('DATOS'!B257&amp;"")&lt;&gt;"Sin confirmar",TRIM('DATOS'!B257&amp;"")&lt;&gt;"Por decidir",TRIM('DATOS'!B257&amp;"")&lt;&gt;"Por comprobar")),NOT(AND(LEN(TRIM('DATOS'!C257&amp;""))&gt;0,TRIM('DATOS'!C257&amp;"")&lt;&gt;"Pendiente",TRIM('DATOS'!C257&amp;"")&lt;&gt;"Por confirmar",TRIM('DATOS'!C257&amp;"")&lt;&gt;"No consta",TRIM('DATOS'!C257&amp;"")&lt;&gt;"Desconocido",TRIM('DATOS'!C257&amp;"")&lt;&gt;"Sin confirmar",TRIM('DATOS'!C257&amp;"")&lt;&gt;"Por decidir",TRIM('DATOS'!C257&amp;"")&lt;&gt;"Por comprobar")),NOT(AND(LEN(TRIM('DATOS'!D257&amp;""))&gt;0,TRIM('DATOS'!D257&amp;"")&lt;&gt;"Pendiente",TRIM('DATOS'!D257&amp;"")&lt;&gt;"Por confirmar",TRIM('DATOS'!D257&amp;"")&lt;&gt;"No consta",TRIM('DATOS'!D257&amp;"")&lt;&gt;"Desconocido",TRIM('DATOS'!D257&amp;"")&lt;&gt;"Sin confirmar",TRIM('DATOS'!D257&amp;"")&lt;&gt;"Por decidir",TRIM('DATOS'!D257&amp;"")&lt;&gt;"Por comprobar")),NOT(AND(LEN(TRIM('DATOS'!E257&amp;""))&gt;0,TRIM('DATOS'!E257&amp;"")&lt;&gt;"Pendiente",TRIM('DATOS'!E257&amp;"")&lt;&gt;"Por confirmar",TRIM('DATOS'!E257&amp;"")&lt;&gt;"No consta",TRIM('DATOS'!E257&amp;"")&lt;&gt;"Desconocido",TRIM('DATOS'!E257&amp;"")&lt;&gt;"Sin confirmar",TRIM('DATOS'!E257&amp;"")&lt;&gt;"Por decidir",TRIM('DATOS'!E257&amp;"")&lt;&gt;"Por comprobar")),NOT(AND(LEN(TRIM('DATOS'!F257&amp;""))&gt;0,TRIM('DATOS'!F257&amp;"")&lt;&gt;"Pendiente",TRIM('DATOS'!F257&amp;"")&lt;&gt;"Por confirmar",TRIM('DATOS'!F257&amp;"")&lt;&gt;"No consta",TRIM('DATOS'!F257&amp;"")&lt;&gt;"Desconocido",TRIM('DATOS'!F257&amp;"")&lt;&gt;"Sin confirmar",TRIM('DATOS'!F257&amp;"")&lt;&gt;"Por decidir",TRIM('DATOS'!F257&amp;"")&lt;&gt;"Por comprobar")),NOT(AND(LEN(TRIM('DATOS'!N257&amp;""))&gt;0,TRIM('DATOS'!N257&amp;"")&lt;&gt;"Pendiente",TRIM('DATOS'!N257&amp;"")&lt;&gt;"Por confirmar",TRIM('DATOS'!N257&amp;"")&lt;&gt;"No consta",TRIM('DATOS'!N257&amp;"")&lt;&gt;"Desconocido",TRIM('DATOS'!N257&amp;"")&lt;&gt;"Sin confirmar",TRIM('DATOS'!N257&amp;"")&lt;&gt;"Por decidir",TRIM('DATOS'!N257&amp;"")&lt;&gt;"Por comprobar")),NOT(Y257=1),W257&lt;&gt;1,X257&gt;1,NOT(OR(LEN(TRIM('DATOS'!K257&amp;""))=0,'DATOS'!K257="Sin valorar",'DATOS'!K257="Sin coste documentado",'DATOS'!K257="Incluido en otra partida",'DATOS'!K257="Por confirmar")),NOT(OR(LEN(TRIM('DATOS'!M257&amp;""))=0,'DATOS'!M257="Sí",'DATOS'!M257="No",'DATOS'!M257="Por confirmar")),NOT(OR(LEN(TRIM('DATOS'!O257&amp;""))=0,'DATOS'!O257="Comparamos",'DATOS'!O257="No existe",'DATOS'!O257="Por confirmar"))),2,IF(AND(OR('DATOS'!G257&lt;0,'DATOS'!H257&lt;0,'DATOS'!J257&lt;0),NOT(AND(LEN(TRIM('DATOS'!L257&amp;""))&gt;0,TRIM('DATOS'!L257&amp;"")&lt;&gt;"Pendiente",TRIM('DATOS'!L257&amp;"")&lt;&gt;"Por confirmar",TRIM('DATOS'!L257&amp;"")&lt;&gt;"No consta",TRIM('DATOS'!L257&amp;"")&lt;&gt;"Desconocido",TRIM('DATOS'!L257&amp;"")&lt;&gt;"Sin confirmar",TRIM('DATOS'!L257&amp;"")&lt;&gt;"Por decidir",TRIM('DATOS'!L257&amp;"")&lt;&gt;"Por comprobar"))),1,0))),2)</f>
      </c>
      <c r="P257" s="29">
        <f>IFERROR(IF(N257=0,"",IF(NOT(Y257=1),1,IF('REFERENCIAS'!$Q$8&lt;&gt;1,2,IF(ABS('DATOS'!J257-ROUND('DATOS'!G257*'DATOS'!H257,'REFERENCIAS'!$K$8))&gt;0.00000001,2,IF('DATOS'!O257="No existe",IF(LEN(TRIM('DATOS'!I257&amp;""))=0,0,2),IF('DATOS'!O257="Comparamos",IF(LEN(TRIM('DATOS'!I257&amp;""))=0,1,IF(ISNUMBER('DATOS'!I257),IF(ABS('DATOS'!H257-'DATOS'!I257)&gt;0.00000001,2,0),2)),1)))))),2)</f>
      </c>
      <c r="Q257" s="29">
        <f>IFERROR(IF(N257=0,"",IF(NOT(Y257=1),1,IF('DATOS'!K257="Sin valorar",2,IF('DATOS'!G257=0,1,IF(OR('DATOS'!H257=0,'DATOS'!J257=0),IF(AND(OR('DATOS'!K257="Sin coste documentado",'DATOS'!K257="Incluido en otra partida"),AND(LEN(TRIM('DATOS'!L257&amp;""))&gt;0,TRIM('DATOS'!L257&amp;"")&lt;&gt;"Pendiente",TRIM('DATOS'!L257&amp;"")&lt;&gt;"Por confirmar",TRIM('DATOS'!L257&amp;"")&lt;&gt;"No consta",TRIM('DATOS'!L257&amp;"")&lt;&gt;"Desconocido",TRIM('DATOS'!L257&amp;"")&lt;&gt;"Sin confirmar",TRIM('DATOS'!L257&amp;"")&lt;&gt;"Por decidir",TRIM('DATOS'!L257&amp;"")&lt;&gt;"Por comprobar")),0,1),0))))),2)</f>
      </c>
      <c r="R257" s="29">
        <f>IFERROR(IF(N257=0,"",IF(OR(NOT(AND(LEN(TRIM('DATOS'!D257&amp;""))&gt;0,TRIM('DATOS'!D257&amp;"")&lt;&gt;"Pendiente",TRIM('DATOS'!D257&amp;"")&lt;&gt;"Por confirmar",TRIM('DATOS'!D257&amp;"")&lt;&gt;"No consta",TRIM('DATOS'!D257&amp;"")&lt;&gt;"Desconocido",TRIM('DATOS'!D257&amp;"")&lt;&gt;"Sin confirmar",TRIM('DATOS'!D257&amp;"")&lt;&gt;"Por decidir",TRIM('DATOS'!D257&amp;"")&lt;&gt;"Por comprobar")),NOT(AND(LEN(TRIM('DATOS'!E257&amp;""))&gt;0,TRIM('DATOS'!E257&amp;"")&lt;&gt;"Pendiente",TRIM('DATOS'!E257&amp;"")&lt;&gt;"Por confirmar",TRIM('DATOS'!E257&amp;"")&lt;&gt;"No consta",TRIM('DATOS'!E257&amp;"")&lt;&gt;"Desconocido",TRIM('DATOS'!E257&amp;"")&lt;&gt;"Sin confirmar",TRIM('DATOS'!E257&amp;"")&lt;&gt;"Por decidir",TRIM('DATOS'!E257&amp;"")&lt;&gt;"Por comprobar"))),2,IF('DATOS'!M257="No",2,IF('DATOS'!M257="Sí",0,IF(OR('DATOS'!D257&lt;&gt;'DATOS'!E257,LEN('DATOS'!E257)&gt;300,RIGHT(TRIM('DATOS'!E257),3)="...",RIGHT(TRIM('DATOS'!E257),1)="…"),1,0))))),2)</f>
      </c>
      <c r="S257" s="29">
        <f>IFERROR(IF(N257=0,"",IF('REFERENCIAS'!$Q$8&lt;&gt;1,2,IF(NOT(Y257=1),1,IF(OR(ABS('DATOS'!G257-ROUND('DATOS'!G257,'REFERENCIAS'!$E$8))&gt;0.00000001,ABS('DATOS'!H257-ROUND('DATOS'!H257,'REFERENCIAS'!$H$8))&gt;0.00000001,ABS('DATOS'!J257-ROUND('DATOS'!J257,'REFERENCIAS'!$K$8))&gt;0.00000001,IF(ISNUMBER('DATOS'!I257),ABS('DATOS'!I257-ROUND('DATOS'!I257,'REFERENCIAS'!$H$8))&gt;0.00000001,FALSE)),1,0)))),2)</f>
      </c>
      <c r="T257" s="29">
        <f>IFERROR(IF(N257=0,"",IF(NOT(AND(LEN(TRIM('DATOS'!F257&amp;""))&gt;0,TRIM('DATOS'!F257&amp;"")&lt;&gt;"Pendiente",TRIM('DATOS'!F257&amp;"")&lt;&gt;"Por confirmar",TRIM('DATOS'!F257&amp;"")&lt;&gt;"No consta",TRIM('DATOS'!F257&amp;"")&lt;&gt;"Desconocido",TRIM('DATOS'!F257&amp;"")&lt;&gt;"Sin confirmar",TRIM('DATOS'!F257&amp;"")&lt;&gt;"Por decidir",TRIM('DATOS'!F257&amp;"")&lt;&gt;"Por comprobar")),2,IF(COUNTIFS('REFERENCIAS'!$T$15:$T$34,"ID:"&amp;SUBSTITUTE(SUBSTITUTE(SUBSTITUTE(SUBSTITUTE(UPPER(TRIM('DATOS'!F257&amp;"")),"!","!E"),"*","!A"),"?","!B"),"~","!C"),'REFERENCIAS'!$H$15:$H$34,"&lt;&gt;")&gt;0,0,1))),2)</f>
      </c>
      <c r="U257" s="29" t="str">
        <f>'DATOS'!R257</f>
        <v>ID:</v>
      </c>
      <c r="V257" s="29" t="str">
        <f>'DATOS'!S257</f>
        <v>ID:</v>
      </c>
      <c r="W257" s="29" t="n">
        <f>IF(N257=0,0,COUNTIFS('REFERENCIAS'!$R$15:$R$64,U257))</f>
        <v>0</v>
      </c>
      <c r="X257" s="29" t="n">
        <f>IF(N257=0,0,COUNTIFS('DATOS'!$R$10:$R$509,U257,'DATOS'!$S$10:$S$509,V257))</f>
        <v>0</v>
      </c>
      <c r="Y257" s="29" t="n">
        <f>IF(AND(ISNUMBER('DATOS'!G257),ISNUMBER('DATOS'!H257),ISNUMBER('DATOS'!J257)),1,0)</f>
        <v>0</v>
      </c>
    </row>
    <row r="258" ht="64" customHeight="1">
      <c r="B258" s="26">
        <f>IF(N258=1,249,"")</f>
      </c>
      <c r="C258" s="26">
        <f>IF(AND(N258=1,LEN(TRIM('DATOS'!B258&amp;""))&gt;0),'DATOS'!B258,"")</f>
      </c>
      <c r="D258" s="26">
        <f>IF(AND(N258=1,LEN(TRIM('DATOS'!C258&amp;""))&gt;0),'DATOS'!C258,"")</f>
      </c>
      <c r="E258" s="26">
        <f>IF(NOT(ISNUMBER(P258)),"",IF(P258=2,"ROJO",IF(P258=1,"ÁMBAR","VERDE")))</f>
      </c>
      <c r="F258" s="26">
        <f>IF(NOT(ISNUMBER(Q258)),"",IF(Q258=2,"ROJO",IF(Q258=1,"ÁMBAR","VERDE")))</f>
      </c>
      <c r="G258" s="26">
        <f>IF(NOT(ISNUMBER(R258)),"",IF(R258=2,"ROJO",IF(R258=1,"ÁMBAR","VERDE")))</f>
      </c>
      <c r="H258" s="26">
        <f>IF(NOT(ISNUMBER(S258)),"",IF(S258=2,"ROJO",IF(S258=1,"ÁMBAR","VERDE")))</f>
      </c>
      <c r="I258" s="26">
        <f>IF(NOT(ISNUMBER(T258)),"",IF(T258=2,"ROJO",IF(T258=1,"ÁMBAR","VERDE")))</f>
      </c>
      <c r="J258" s="26">
        <f>IF(NOT(ISNUMBER(O258)),"",IF(O258=2,"ROJO",IF(O258=1,"ÁMBAR","VERDE")))</f>
      </c>
      <c r="K258" s="26">
        <f>IFERROR(IF(AND(N258=1,LEN(TRIM('DATOS'!N258&amp;""))&gt;0),'DATOS'!N258,""),"Hay una entrada con error. Corregimos el dato antes de cerrar la comprobación.")</f>
      </c>
      <c r="L258" s="26">
        <f>IFERROR(IF(N258=0,"",IF(O258&gt;0,"Completamos datos, claves o motivo. ","")&amp;IF(P258&gt;0,"Cotejamos precios e importe. ","")&amp;IF(Q258&gt;0,"Aclaramos el cero. ","")&amp;IF(R258&gt;0,"Comprobamos el texto. ","")&amp;IF(S258&gt;0,"Revisamos decimales visibles. ","")&amp;IF(T258&gt;0,"Confirmamos la unidad.","")),"Hay una entrada con error. Corregimos el dato antes de cerrar la comprobación.")</f>
      </c>
      <c r="N258" s="29" t="n">
        <f>IF(COUNTA('DATOS'!B258:O258)&gt;0,1,0)</f>
        <v>0</v>
      </c>
      <c r="O258" s="29">
        <f>IFERROR(IF(N258=0,"",IF(OR(NOT(AND(LEN(TRIM('DATOS'!B258&amp;""))&gt;0,TRIM('DATOS'!B258&amp;"")&lt;&gt;"Pendiente",TRIM('DATOS'!B258&amp;"")&lt;&gt;"Por confirmar",TRIM('DATOS'!B258&amp;"")&lt;&gt;"No consta",TRIM('DATOS'!B258&amp;"")&lt;&gt;"Desconocido",TRIM('DATOS'!B258&amp;"")&lt;&gt;"Sin confirmar",TRIM('DATOS'!B258&amp;"")&lt;&gt;"Por decidir",TRIM('DATOS'!B258&amp;"")&lt;&gt;"Por comprobar")),NOT(AND(LEN(TRIM('DATOS'!C258&amp;""))&gt;0,TRIM('DATOS'!C258&amp;"")&lt;&gt;"Pendiente",TRIM('DATOS'!C258&amp;"")&lt;&gt;"Por confirmar",TRIM('DATOS'!C258&amp;"")&lt;&gt;"No consta",TRIM('DATOS'!C258&amp;"")&lt;&gt;"Desconocido",TRIM('DATOS'!C258&amp;"")&lt;&gt;"Sin confirmar",TRIM('DATOS'!C258&amp;"")&lt;&gt;"Por decidir",TRIM('DATOS'!C258&amp;"")&lt;&gt;"Por comprobar")),NOT(AND(LEN(TRIM('DATOS'!D258&amp;""))&gt;0,TRIM('DATOS'!D258&amp;"")&lt;&gt;"Pendiente",TRIM('DATOS'!D258&amp;"")&lt;&gt;"Por confirmar",TRIM('DATOS'!D258&amp;"")&lt;&gt;"No consta",TRIM('DATOS'!D258&amp;"")&lt;&gt;"Desconocido",TRIM('DATOS'!D258&amp;"")&lt;&gt;"Sin confirmar",TRIM('DATOS'!D258&amp;"")&lt;&gt;"Por decidir",TRIM('DATOS'!D258&amp;"")&lt;&gt;"Por comprobar")),NOT(AND(LEN(TRIM('DATOS'!E258&amp;""))&gt;0,TRIM('DATOS'!E258&amp;"")&lt;&gt;"Pendiente",TRIM('DATOS'!E258&amp;"")&lt;&gt;"Por confirmar",TRIM('DATOS'!E258&amp;"")&lt;&gt;"No consta",TRIM('DATOS'!E258&amp;"")&lt;&gt;"Desconocido",TRIM('DATOS'!E258&amp;"")&lt;&gt;"Sin confirmar",TRIM('DATOS'!E258&amp;"")&lt;&gt;"Por decidir",TRIM('DATOS'!E258&amp;"")&lt;&gt;"Por comprobar")),NOT(AND(LEN(TRIM('DATOS'!F258&amp;""))&gt;0,TRIM('DATOS'!F258&amp;"")&lt;&gt;"Pendiente",TRIM('DATOS'!F258&amp;"")&lt;&gt;"Por confirmar",TRIM('DATOS'!F258&amp;"")&lt;&gt;"No consta",TRIM('DATOS'!F258&amp;"")&lt;&gt;"Desconocido",TRIM('DATOS'!F258&amp;"")&lt;&gt;"Sin confirmar",TRIM('DATOS'!F258&amp;"")&lt;&gt;"Por decidir",TRIM('DATOS'!F258&amp;"")&lt;&gt;"Por comprobar")),NOT(AND(LEN(TRIM('DATOS'!N258&amp;""))&gt;0,TRIM('DATOS'!N258&amp;"")&lt;&gt;"Pendiente",TRIM('DATOS'!N258&amp;"")&lt;&gt;"Por confirmar",TRIM('DATOS'!N258&amp;"")&lt;&gt;"No consta",TRIM('DATOS'!N258&amp;"")&lt;&gt;"Desconocido",TRIM('DATOS'!N258&amp;"")&lt;&gt;"Sin confirmar",TRIM('DATOS'!N258&amp;"")&lt;&gt;"Por decidir",TRIM('DATOS'!N258&amp;"")&lt;&gt;"Por comprobar")),NOT(Y258=1),W258&lt;&gt;1,X258&gt;1,NOT(OR(LEN(TRIM('DATOS'!K258&amp;""))=0,'DATOS'!K258="Sin valorar",'DATOS'!K258="Sin coste documentado",'DATOS'!K258="Incluido en otra partida",'DATOS'!K258="Por confirmar")),NOT(OR(LEN(TRIM('DATOS'!M258&amp;""))=0,'DATOS'!M258="Sí",'DATOS'!M258="No",'DATOS'!M258="Por confirmar")),NOT(OR(LEN(TRIM('DATOS'!O258&amp;""))=0,'DATOS'!O258="Comparamos",'DATOS'!O258="No existe",'DATOS'!O258="Por confirmar"))),2,IF(AND(OR('DATOS'!G258&lt;0,'DATOS'!H258&lt;0,'DATOS'!J258&lt;0),NOT(AND(LEN(TRIM('DATOS'!L258&amp;""))&gt;0,TRIM('DATOS'!L258&amp;"")&lt;&gt;"Pendiente",TRIM('DATOS'!L258&amp;"")&lt;&gt;"Por confirmar",TRIM('DATOS'!L258&amp;"")&lt;&gt;"No consta",TRIM('DATOS'!L258&amp;"")&lt;&gt;"Desconocido",TRIM('DATOS'!L258&amp;"")&lt;&gt;"Sin confirmar",TRIM('DATOS'!L258&amp;"")&lt;&gt;"Por decidir",TRIM('DATOS'!L258&amp;"")&lt;&gt;"Por comprobar"))),1,0))),2)</f>
      </c>
      <c r="P258" s="29">
        <f>IFERROR(IF(N258=0,"",IF(NOT(Y258=1),1,IF('REFERENCIAS'!$Q$8&lt;&gt;1,2,IF(ABS('DATOS'!J258-ROUND('DATOS'!G258*'DATOS'!H258,'REFERENCIAS'!$K$8))&gt;0.00000001,2,IF('DATOS'!O258="No existe",IF(LEN(TRIM('DATOS'!I258&amp;""))=0,0,2),IF('DATOS'!O258="Comparamos",IF(LEN(TRIM('DATOS'!I258&amp;""))=0,1,IF(ISNUMBER('DATOS'!I258),IF(ABS('DATOS'!H258-'DATOS'!I258)&gt;0.00000001,2,0),2)),1)))))),2)</f>
      </c>
      <c r="Q258" s="29">
        <f>IFERROR(IF(N258=0,"",IF(NOT(Y258=1),1,IF('DATOS'!K258="Sin valorar",2,IF('DATOS'!G258=0,1,IF(OR('DATOS'!H258=0,'DATOS'!J258=0),IF(AND(OR('DATOS'!K258="Sin coste documentado",'DATOS'!K258="Incluido en otra partida"),AND(LEN(TRIM('DATOS'!L258&amp;""))&gt;0,TRIM('DATOS'!L258&amp;"")&lt;&gt;"Pendiente",TRIM('DATOS'!L258&amp;"")&lt;&gt;"Por confirmar",TRIM('DATOS'!L258&amp;"")&lt;&gt;"No consta",TRIM('DATOS'!L258&amp;"")&lt;&gt;"Desconocido",TRIM('DATOS'!L258&amp;"")&lt;&gt;"Sin confirmar",TRIM('DATOS'!L258&amp;"")&lt;&gt;"Por decidir",TRIM('DATOS'!L258&amp;"")&lt;&gt;"Por comprobar")),0,1),0))))),2)</f>
      </c>
      <c r="R258" s="29">
        <f>IFERROR(IF(N258=0,"",IF(OR(NOT(AND(LEN(TRIM('DATOS'!D258&amp;""))&gt;0,TRIM('DATOS'!D258&amp;"")&lt;&gt;"Pendiente",TRIM('DATOS'!D258&amp;"")&lt;&gt;"Por confirmar",TRIM('DATOS'!D258&amp;"")&lt;&gt;"No consta",TRIM('DATOS'!D258&amp;"")&lt;&gt;"Desconocido",TRIM('DATOS'!D258&amp;"")&lt;&gt;"Sin confirmar",TRIM('DATOS'!D258&amp;"")&lt;&gt;"Por decidir",TRIM('DATOS'!D258&amp;"")&lt;&gt;"Por comprobar")),NOT(AND(LEN(TRIM('DATOS'!E258&amp;""))&gt;0,TRIM('DATOS'!E258&amp;"")&lt;&gt;"Pendiente",TRIM('DATOS'!E258&amp;"")&lt;&gt;"Por confirmar",TRIM('DATOS'!E258&amp;"")&lt;&gt;"No consta",TRIM('DATOS'!E258&amp;"")&lt;&gt;"Desconocido",TRIM('DATOS'!E258&amp;"")&lt;&gt;"Sin confirmar",TRIM('DATOS'!E258&amp;"")&lt;&gt;"Por decidir",TRIM('DATOS'!E258&amp;"")&lt;&gt;"Por comprobar"))),2,IF('DATOS'!M258="No",2,IF('DATOS'!M258="Sí",0,IF(OR('DATOS'!D258&lt;&gt;'DATOS'!E258,LEN('DATOS'!E258)&gt;300,RIGHT(TRIM('DATOS'!E258),3)="...",RIGHT(TRIM('DATOS'!E258),1)="…"),1,0))))),2)</f>
      </c>
      <c r="S258" s="29">
        <f>IFERROR(IF(N258=0,"",IF('REFERENCIAS'!$Q$8&lt;&gt;1,2,IF(NOT(Y258=1),1,IF(OR(ABS('DATOS'!G258-ROUND('DATOS'!G258,'REFERENCIAS'!$E$8))&gt;0.00000001,ABS('DATOS'!H258-ROUND('DATOS'!H258,'REFERENCIAS'!$H$8))&gt;0.00000001,ABS('DATOS'!J258-ROUND('DATOS'!J258,'REFERENCIAS'!$K$8))&gt;0.00000001,IF(ISNUMBER('DATOS'!I258),ABS('DATOS'!I258-ROUND('DATOS'!I258,'REFERENCIAS'!$H$8))&gt;0.00000001,FALSE)),1,0)))),2)</f>
      </c>
      <c r="T258" s="29">
        <f>IFERROR(IF(N258=0,"",IF(NOT(AND(LEN(TRIM('DATOS'!F258&amp;""))&gt;0,TRIM('DATOS'!F258&amp;"")&lt;&gt;"Pendiente",TRIM('DATOS'!F258&amp;"")&lt;&gt;"Por confirmar",TRIM('DATOS'!F258&amp;"")&lt;&gt;"No consta",TRIM('DATOS'!F258&amp;"")&lt;&gt;"Desconocido",TRIM('DATOS'!F258&amp;"")&lt;&gt;"Sin confirmar",TRIM('DATOS'!F258&amp;"")&lt;&gt;"Por decidir",TRIM('DATOS'!F258&amp;"")&lt;&gt;"Por comprobar")),2,IF(COUNTIFS('REFERENCIAS'!$T$15:$T$34,"ID:"&amp;SUBSTITUTE(SUBSTITUTE(SUBSTITUTE(SUBSTITUTE(UPPER(TRIM('DATOS'!F258&amp;"")),"!","!E"),"*","!A"),"?","!B"),"~","!C"),'REFERENCIAS'!$H$15:$H$34,"&lt;&gt;")&gt;0,0,1))),2)</f>
      </c>
      <c r="U258" s="29" t="str">
        <f>'DATOS'!R258</f>
        <v>ID:</v>
      </c>
      <c r="V258" s="29" t="str">
        <f>'DATOS'!S258</f>
        <v>ID:</v>
      </c>
      <c r="W258" s="29" t="n">
        <f>IF(N258=0,0,COUNTIFS('REFERENCIAS'!$R$15:$R$64,U258))</f>
        <v>0</v>
      </c>
      <c r="X258" s="29" t="n">
        <f>IF(N258=0,0,COUNTIFS('DATOS'!$R$10:$R$509,U258,'DATOS'!$S$10:$S$509,V258))</f>
        <v>0</v>
      </c>
      <c r="Y258" s="29" t="n">
        <f>IF(AND(ISNUMBER('DATOS'!G258),ISNUMBER('DATOS'!H258),ISNUMBER('DATOS'!J258)),1,0)</f>
        <v>0</v>
      </c>
    </row>
    <row r="259" ht="64" customHeight="1">
      <c r="B259" s="26">
        <f>IF(N259=1,250,"")</f>
      </c>
      <c r="C259" s="26">
        <f>IF(AND(N259=1,LEN(TRIM('DATOS'!B259&amp;""))&gt;0),'DATOS'!B259,"")</f>
      </c>
      <c r="D259" s="26">
        <f>IF(AND(N259=1,LEN(TRIM('DATOS'!C259&amp;""))&gt;0),'DATOS'!C259,"")</f>
      </c>
      <c r="E259" s="26">
        <f>IF(NOT(ISNUMBER(P259)),"",IF(P259=2,"ROJO",IF(P259=1,"ÁMBAR","VERDE")))</f>
      </c>
      <c r="F259" s="26">
        <f>IF(NOT(ISNUMBER(Q259)),"",IF(Q259=2,"ROJO",IF(Q259=1,"ÁMBAR","VERDE")))</f>
      </c>
      <c r="G259" s="26">
        <f>IF(NOT(ISNUMBER(R259)),"",IF(R259=2,"ROJO",IF(R259=1,"ÁMBAR","VERDE")))</f>
      </c>
      <c r="H259" s="26">
        <f>IF(NOT(ISNUMBER(S259)),"",IF(S259=2,"ROJO",IF(S259=1,"ÁMBAR","VERDE")))</f>
      </c>
      <c r="I259" s="26">
        <f>IF(NOT(ISNUMBER(T259)),"",IF(T259=2,"ROJO",IF(T259=1,"ÁMBAR","VERDE")))</f>
      </c>
      <c r="J259" s="26">
        <f>IF(NOT(ISNUMBER(O259)),"",IF(O259=2,"ROJO",IF(O259=1,"ÁMBAR","VERDE")))</f>
      </c>
      <c r="K259" s="26">
        <f>IFERROR(IF(AND(N259=1,LEN(TRIM('DATOS'!N259&amp;""))&gt;0),'DATOS'!N259,""),"Hay una entrada con error. Corregimos el dato antes de cerrar la comprobación.")</f>
      </c>
      <c r="L259" s="26">
        <f>IFERROR(IF(N259=0,"",IF(O259&gt;0,"Completamos datos, claves o motivo. ","")&amp;IF(P259&gt;0,"Cotejamos precios e importe. ","")&amp;IF(Q259&gt;0,"Aclaramos el cero. ","")&amp;IF(R259&gt;0,"Comprobamos el texto. ","")&amp;IF(S259&gt;0,"Revisamos decimales visibles. ","")&amp;IF(T259&gt;0,"Confirmamos la unidad.","")),"Hay una entrada con error. Corregimos el dato antes de cerrar la comprobación.")</f>
      </c>
      <c r="N259" s="29" t="n">
        <f>IF(COUNTA('DATOS'!B259:O259)&gt;0,1,0)</f>
        <v>0</v>
      </c>
      <c r="O259" s="29">
        <f>IFERROR(IF(N259=0,"",IF(OR(NOT(AND(LEN(TRIM('DATOS'!B259&amp;""))&gt;0,TRIM('DATOS'!B259&amp;"")&lt;&gt;"Pendiente",TRIM('DATOS'!B259&amp;"")&lt;&gt;"Por confirmar",TRIM('DATOS'!B259&amp;"")&lt;&gt;"No consta",TRIM('DATOS'!B259&amp;"")&lt;&gt;"Desconocido",TRIM('DATOS'!B259&amp;"")&lt;&gt;"Sin confirmar",TRIM('DATOS'!B259&amp;"")&lt;&gt;"Por decidir",TRIM('DATOS'!B259&amp;"")&lt;&gt;"Por comprobar")),NOT(AND(LEN(TRIM('DATOS'!C259&amp;""))&gt;0,TRIM('DATOS'!C259&amp;"")&lt;&gt;"Pendiente",TRIM('DATOS'!C259&amp;"")&lt;&gt;"Por confirmar",TRIM('DATOS'!C259&amp;"")&lt;&gt;"No consta",TRIM('DATOS'!C259&amp;"")&lt;&gt;"Desconocido",TRIM('DATOS'!C259&amp;"")&lt;&gt;"Sin confirmar",TRIM('DATOS'!C259&amp;"")&lt;&gt;"Por decidir",TRIM('DATOS'!C259&amp;"")&lt;&gt;"Por comprobar")),NOT(AND(LEN(TRIM('DATOS'!D259&amp;""))&gt;0,TRIM('DATOS'!D259&amp;"")&lt;&gt;"Pendiente",TRIM('DATOS'!D259&amp;"")&lt;&gt;"Por confirmar",TRIM('DATOS'!D259&amp;"")&lt;&gt;"No consta",TRIM('DATOS'!D259&amp;"")&lt;&gt;"Desconocido",TRIM('DATOS'!D259&amp;"")&lt;&gt;"Sin confirmar",TRIM('DATOS'!D259&amp;"")&lt;&gt;"Por decidir",TRIM('DATOS'!D259&amp;"")&lt;&gt;"Por comprobar")),NOT(AND(LEN(TRIM('DATOS'!E259&amp;""))&gt;0,TRIM('DATOS'!E259&amp;"")&lt;&gt;"Pendiente",TRIM('DATOS'!E259&amp;"")&lt;&gt;"Por confirmar",TRIM('DATOS'!E259&amp;"")&lt;&gt;"No consta",TRIM('DATOS'!E259&amp;"")&lt;&gt;"Desconocido",TRIM('DATOS'!E259&amp;"")&lt;&gt;"Sin confirmar",TRIM('DATOS'!E259&amp;"")&lt;&gt;"Por decidir",TRIM('DATOS'!E259&amp;"")&lt;&gt;"Por comprobar")),NOT(AND(LEN(TRIM('DATOS'!F259&amp;""))&gt;0,TRIM('DATOS'!F259&amp;"")&lt;&gt;"Pendiente",TRIM('DATOS'!F259&amp;"")&lt;&gt;"Por confirmar",TRIM('DATOS'!F259&amp;"")&lt;&gt;"No consta",TRIM('DATOS'!F259&amp;"")&lt;&gt;"Desconocido",TRIM('DATOS'!F259&amp;"")&lt;&gt;"Sin confirmar",TRIM('DATOS'!F259&amp;"")&lt;&gt;"Por decidir",TRIM('DATOS'!F259&amp;"")&lt;&gt;"Por comprobar")),NOT(AND(LEN(TRIM('DATOS'!N259&amp;""))&gt;0,TRIM('DATOS'!N259&amp;"")&lt;&gt;"Pendiente",TRIM('DATOS'!N259&amp;"")&lt;&gt;"Por confirmar",TRIM('DATOS'!N259&amp;"")&lt;&gt;"No consta",TRIM('DATOS'!N259&amp;"")&lt;&gt;"Desconocido",TRIM('DATOS'!N259&amp;"")&lt;&gt;"Sin confirmar",TRIM('DATOS'!N259&amp;"")&lt;&gt;"Por decidir",TRIM('DATOS'!N259&amp;"")&lt;&gt;"Por comprobar")),NOT(Y259=1),W259&lt;&gt;1,X259&gt;1,NOT(OR(LEN(TRIM('DATOS'!K259&amp;""))=0,'DATOS'!K259="Sin valorar",'DATOS'!K259="Sin coste documentado",'DATOS'!K259="Incluido en otra partida",'DATOS'!K259="Por confirmar")),NOT(OR(LEN(TRIM('DATOS'!M259&amp;""))=0,'DATOS'!M259="Sí",'DATOS'!M259="No",'DATOS'!M259="Por confirmar")),NOT(OR(LEN(TRIM('DATOS'!O259&amp;""))=0,'DATOS'!O259="Comparamos",'DATOS'!O259="No existe",'DATOS'!O259="Por confirmar"))),2,IF(AND(OR('DATOS'!G259&lt;0,'DATOS'!H259&lt;0,'DATOS'!J259&lt;0),NOT(AND(LEN(TRIM('DATOS'!L259&amp;""))&gt;0,TRIM('DATOS'!L259&amp;"")&lt;&gt;"Pendiente",TRIM('DATOS'!L259&amp;"")&lt;&gt;"Por confirmar",TRIM('DATOS'!L259&amp;"")&lt;&gt;"No consta",TRIM('DATOS'!L259&amp;"")&lt;&gt;"Desconocido",TRIM('DATOS'!L259&amp;"")&lt;&gt;"Sin confirmar",TRIM('DATOS'!L259&amp;"")&lt;&gt;"Por decidir",TRIM('DATOS'!L259&amp;"")&lt;&gt;"Por comprobar"))),1,0))),2)</f>
      </c>
      <c r="P259" s="29">
        <f>IFERROR(IF(N259=0,"",IF(NOT(Y259=1),1,IF('REFERENCIAS'!$Q$8&lt;&gt;1,2,IF(ABS('DATOS'!J259-ROUND('DATOS'!G259*'DATOS'!H259,'REFERENCIAS'!$K$8))&gt;0.00000001,2,IF('DATOS'!O259="No existe",IF(LEN(TRIM('DATOS'!I259&amp;""))=0,0,2),IF('DATOS'!O259="Comparamos",IF(LEN(TRIM('DATOS'!I259&amp;""))=0,1,IF(ISNUMBER('DATOS'!I259),IF(ABS('DATOS'!H259-'DATOS'!I259)&gt;0.00000001,2,0),2)),1)))))),2)</f>
      </c>
      <c r="Q259" s="29">
        <f>IFERROR(IF(N259=0,"",IF(NOT(Y259=1),1,IF('DATOS'!K259="Sin valorar",2,IF('DATOS'!G259=0,1,IF(OR('DATOS'!H259=0,'DATOS'!J259=0),IF(AND(OR('DATOS'!K259="Sin coste documentado",'DATOS'!K259="Incluido en otra partida"),AND(LEN(TRIM('DATOS'!L259&amp;""))&gt;0,TRIM('DATOS'!L259&amp;"")&lt;&gt;"Pendiente",TRIM('DATOS'!L259&amp;"")&lt;&gt;"Por confirmar",TRIM('DATOS'!L259&amp;"")&lt;&gt;"No consta",TRIM('DATOS'!L259&amp;"")&lt;&gt;"Desconocido",TRIM('DATOS'!L259&amp;"")&lt;&gt;"Sin confirmar",TRIM('DATOS'!L259&amp;"")&lt;&gt;"Por decidir",TRIM('DATOS'!L259&amp;"")&lt;&gt;"Por comprobar")),0,1),0))))),2)</f>
      </c>
      <c r="R259" s="29">
        <f>IFERROR(IF(N259=0,"",IF(OR(NOT(AND(LEN(TRIM('DATOS'!D259&amp;""))&gt;0,TRIM('DATOS'!D259&amp;"")&lt;&gt;"Pendiente",TRIM('DATOS'!D259&amp;"")&lt;&gt;"Por confirmar",TRIM('DATOS'!D259&amp;"")&lt;&gt;"No consta",TRIM('DATOS'!D259&amp;"")&lt;&gt;"Desconocido",TRIM('DATOS'!D259&amp;"")&lt;&gt;"Sin confirmar",TRIM('DATOS'!D259&amp;"")&lt;&gt;"Por decidir",TRIM('DATOS'!D259&amp;"")&lt;&gt;"Por comprobar")),NOT(AND(LEN(TRIM('DATOS'!E259&amp;""))&gt;0,TRIM('DATOS'!E259&amp;"")&lt;&gt;"Pendiente",TRIM('DATOS'!E259&amp;"")&lt;&gt;"Por confirmar",TRIM('DATOS'!E259&amp;"")&lt;&gt;"No consta",TRIM('DATOS'!E259&amp;"")&lt;&gt;"Desconocido",TRIM('DATOS'!E259&amp;"")&lt;&gt;"Sin confirmar",TRIM('DATOS'!E259&amp;"")&lt;&gt;"Por decidir",TRIM('DATOS'!E259&amp;"")&lt;&gt;"Por comprobar"))),2,IF('DATOS'!M259="No",2,IF('DATOS'!M259="Sí",0,IF(OR('DATOS'!D259&lt;&gt;'DATOS'!E259,LEN('DATOS'!E259)&gt;300,RIGHT(TRIM('DATOS'!E259),3)="...",RIGHT(TRIM('DATOS'!E259),1)="…"),1,0))))),2)</f>
      </c>
      <c r="S259" s="29">
        <f>IFERROR(IF(N259=0,"",IF('REFERENCIAS'!$Q$8&lt;&gt;1,2,IF(NOT(Y259=1),1,IF(OR(ABS('DATOS'!G259-ROUND('DATOS'!G259,'REFERENCIAS'!$E$8))&gt;0.00000001,ABS('DATOS'!H259-ROUND('DATOS'!H259,'REFERENCIAS'!$H$8))&gt;0.00000001,ABS('DATOS'!J259-ROUND('DATOS'!J259,'REFERENCIAS'!$K$8))&gt;0.00000001,IF(ISNUMBER('DATOS'!I259),ABS('DATOS'!I259-ROUND('DATOS'!I259,'REFERENCIAS'!$H$8))&gt;0.00000001,FALSE)),1,0)))),2)</f>
      </c>
      <c r="T259" s="29">
        <f>IFERROR(IF(N259=0,"",IF(NOT(AND(LEN(TRIM('DATOS'!F259&amp;""))&gt;0,TRIM('DATOS'!F259&amp;"")&lt;&gt;"Pendiente",TRIM('DATOS'!F259&amp;"")&lt;&gt;"Por confirmar",TRIM('DATOS'!F259&amp;"")&lt;&gt;"No consta",TRIM('DATOS'!F259&amp;"")&lt;&gt;"Desconocido",TRIM('DATOS'!F259&amp;"")&lt;&gt;"Sin confirmar",TRIM('DATOS'!F259&amp;"")&lt;&gt;"Por decidir",TRIM('DATOS'!F259&amp;"")&lt;&gt;"Por comprobar")),2,IF(COUNTIFS('REFERENCIAS'!$T$15:$T$34,"ID:"&amp;SUBSTITUTE(SUBSTITUTE(SUBSTITUTE(SUBSTITUTE(UPPER(TRIM('DATOS'!F259&amp;"")),"!","!E"),"*","!A"),"?","!B"),"~","!C"),'REFERENCIAS'!$H$15:$H$34,"&lt;&gt;")&gt;0,0,1))),2)</f>
      </c>
      <c r="U259" s="29" t="str">
        <f>'DATOS'!R259</f>
        <v>ID:</v>
      </c>
      <c r="V259" s="29" t="str">
        <f>'DATOS'!S259</f>
        <v>ID:</v>
      </c>
      <c r="W259" s="29" t="n">
        <f>IF(N259=0,0,COUNTIFS('REFERENCIAS'!$R$15:$R$64,U259))</f>
        <v>0</v>
      </c>
      <c r="X259" s="29" t="n">
        <f>IF(N259=0,0,COUNTIFS('DATOS'!$R$10:$R$509,U259,'DATOS'!$S$10:$S$509,V259))</f>
        <v>0</v>
      </c>
      <c r="Y259" s="29" t="n">
        <f>IF(AND(ISNUMBER('DATOS'!G259),ISNUMBER('DATOS'!H259),ISNUMBER('DATOS'!J259)),1,0)</f>
        <v>0</v>
      </c>
    </row>
    <row r="260" ht="64" customHeight="1">
      <c r="B260" s="26">
        <f>IF(N260=1,251,"")</f>
      </c>
      <c r="C260" s="26">
        <f>IF(AND(N260=1,LEN(TRIM('DATOS'!B260&amp;""))&gt;0),'DATOS'!B260,"")</f>
      </c>
      <c r="D260" s="26">
        <f>IF(AND(N260=1,LEN(TRIM('DATOS'!C260&amp;""))&gt;0),'DATOS'!C260,"")</f>
      </c>
      <c r="E260" s="26">
        <f>IF(NOT(ISNUMBER(P260)),"",IF(P260=2,"ROJO",IF(P260=1,"ÁMBAR","VERDE")))</f>
      </c>
      <c r="F260" s="26">
        <f>IF(NOT(ISNUMBER(Q260)),"",IF(Q260=2,"ROJO",IF(Q260=1,"ÁMBAR","VERDE")))</f>
      </c>
      <c r="G260" s="26">
        <f>IF(NOT(ISNUMBER(R260)),"",IF(R260=2,"ROJO",IF(R260=1,"ÁMBAR","VERDE")))</f>
      </c>
      <c r="H260" s="26">
        <f>IF(NOT(ISNUMBER(S260)),"",IF(S260=2,"ROJO",IF(S260=1,"ÁMBAR","VERDE")))</f>
      </c>
      <c r="I260" s="26">
        <f>IF(NOT(ISNUMBER(T260)),"",IF(T260=2,"ROJO",IF(T260=1,"ÁMBAR","VERDE")))</f>
      </c>
      <c r="J260" s="26">
        <f>IF(NOT(ISNUMBER(O260)),"",IF(O260=2,"ROJO",IF(O260=1,"ÁMBAR","VERDE")))</f>
      </c>
      <c r="K260" s="26">
        <f>IFERROR(IF(AND(N260=1,LEN(TRIM('DATOS'!N260&amp;""))&gt;0),'DATOS'!N260,""),"Hay una entrada con error. Corregimos el dato antes de cerrar la comprobación.")</f>
      </c>
      <c r="L260" s="26">
        <f>IFERROR(IF(N260=0,"",IF(O260&gt;0,"Completamos datos, claves o motivo. ","")&amp;IF(P260&gt;0,"Cotejamos precios e importe. ","")&amp;IF(Q260&gt;0,"Aclaramos el cero. ","")&amp;IF(R260&gt;0,"Comprobamos el texto. ","")&amp;IF(S260&gt;0,"Revisamos decimales visibles. ","")&amp;IF(T260&gt;0,"Confirmamos la unidad.","")),"Hay una entrada con error. Corregimos el dato antes de cerrar la comprobación.")</f>
      </c>
      <c r="N260" s="29" t="n">
        <f>IF(COUNTA('DATOS'!B260:O260)&gt;0,1,0)</f>
        <v>0</v>
      </c>
      <c r="O260" s="29">
        <f>IFERROR(IF(N260=0,"",IF(OR(NOT(AND(LEN(TRIM('DATOS'!B260&amp;""))&gt;0,TRIM('DATOS'!B260&amp;"")&lt;&gt;"Pendiente",TRIM('DATOS'!B260&amp;"")&lt;&gt;"Por confirmar",TRIM('DATOS'!B260&amp;"")&lt;&gt;"No consta",TRIM('DATOS'!B260&amp;"")&lt;&gt;"Desconocido",TRIM('DATOS'!B260&amp;"")&lt;&gt;"Sin confirmar",TRIM('DATOS'!B260&amp;"")&lt;&gt;"Por decidir",TRIM('DATOS'!B260&amp;"")&lt;&gt;"Por comprobar")),NOT(AND(LEN(TRIM('DATOS'!C260&amp;""))&gt;0,TRIM('DATOS'!C260&amp;"")&lt;&gt;"Pendiente",TRIM('DATOS'!C260&amp;"")&lt;&gt;"Por confirmar",TRIM('DATOS'!C260&amp;"")&lt;&gt;"No consta",TRIM('DATOS'!C260&amp;"")&lt;&gt;"Desconocido",TRIM('DATOS'!C260&amp;"")&lt;&gt;"Sin confirmar",TRIM('DATOS'!C260&amp;"")&lt;&gt;"Por decidir",TRIM('DATOS'!C260&amp;"")&lt;&gt;"Por comprobar")),NOT(AND(LEN(TRIM('DATOS'!D260&amp;""))&gt;0,TRIM('DATOS'!D260&amp;"")&lt;&gt;"Pendiente",TRIM('DATOS'!D260&amp;"")&lt;&gt;"Por confirmar",TRIM('DATOS'!D260&amp;"")&lt;&gt;"No consta",TRIM('DATOS'!D260&amp;"")&lt;&gt;"Desconocido",TRIM('DATOS'!D260&amp;"")&lt;&gt;"Sin confirmar",TRIM('DATOS'!D260&amp;"")&lt;&gt;"Por decidir",TRIM('DATOS'!D260&amp;"")&lt;&gt;"Por comprobar")),NOT(AND(LEN(TRIM('DATOS'!E260&amp;""))&gt;0,TRIM('DATOS'!E260&amp;"")&lt;&gt;"Pendiente",TRIM('DATOS'!E260&amp;"")&lt;&gt;"Por confirmar",TRIM('DATOS'!E260&amp;"")&lt;&gt;"No consta",TRIM('DATOS'!E260&amp;"")&lt;&gt;"Desconocido",TRIM('DATOS'!E260&amp;"")&lt;&gt;"Sin confirmar",TRIM('DATOS'!E260&amp;"")&lt;&gt;"Por decidir",TRIM('DATOS'!E260&amp;"")&lt;&gt;"Por comprobar")),NOT(AND(LEN(TRIM('DATOS'!F260&amp;""))&gt;0,TRIM('DATOS'!F260&amp;"")&lt;&gt;"Pendiente",TRIM('DATOS'!F260&amp;"")&lt;&gt;"Por confirmar",TRIM('DATOS'!F260&amp;"")&lt;&gt;"No consta",TRIM('DATOS'!F260&amp;"")&lt;&gt;"Desconocido",TRIM('DATOS'!F260&amp;"")&lt;&gt;"Sin confirmar",TRIM('DATOS'!F260&amp;"")&lt;&gt;"Por decidir",TRIM('DATOS'!F260&amp;"")&lt;&gt;"Por comprobar")),NOT(AND(LEN(TRIM('DATOS'!N260&amp;""))&gt;0,TRIM('DATOS'!N260&amp;"")&lt;&gt;"Pendiente",TRIM('DATOS'!N260&amp;"")&lt;&gt;"Por confirmar",TRIM('DATOS'!N260&amp;"")&lt;&gt;"No consta",TRIM('DATOS'!N260&amp;"")&lt;&gt;"Desconocido",TRIM('DATOS'!N260&amp;"")&lt;&gt;"Sin confirmar",TRIM('DATOS'!N260&amp;"")&lt;&gt;"Por decidir",TRIM('DATOS'!N260&amp;"")&lt;&gt;"Por comprobar")),NOT(Y260=1),W260&lt;&gt;1,X260&gt;1,NOT(OR(LEN(TRIM('DATOS'!K260&amp;""))=0,'DATOS'!K260="Sin valorar",'DATOS'!K260="Sin coste documentado",'DATOS'!K260="Incluido en otra partida",'DATOS'!K260="Por confirmar")),NOT(OR(LEN(TRIM('DATOS'!M260&amp;""))=0,'DATOS'!M260="Sí",'DATOS'!M260="No",'DATOS'!M260="Por confirmar")),NOT(OR(LEN(TRIM('DATOS'!O260&amp;""))=0,'DATOS'!O260="Comparamos",'DATOS'!O260="No existe",'DATOS'!O260="Por confirmar"))),2,IF(AND(OR('DATOS'!G260&lt;0,'DATOS'!H260&lt;0,'DATOS'!J260&lt;0),NOT(AND(LEN(TRIM('DATOS'!L260&amp;""))&gt;0,TRIM('DATOS'!L260&amp;"")&lt;&gt;"Pendiente",TRIM('DATOS'!L260&amp;"")&lt;&gt;"Por confirmar",TRIM('DATOS'!L260&amp;"")&lt;&gt;"No consta",TRIM('DATOS'!L260&amp;"")&lt;&gt;"Desconocido",TRIM('DATOS'!L260&amp;"")&lt;&gt;"Sin confirmar",TRIM('DATOS'!L260&amp;"")&lt;&gt;"Por decidir",TRIM('DATOS'!L260&amp;"")&lt;&gt;"Por comprobar"))),1,0))),2)</f>
      </c>
      <c r="P260" s="29">
        <f>IFERROR(IF(N260=0,"",IF(NOT(Y260=1),1,IF('REFERENCIAS'!$Q$8&lt;&gt;1,2,IF(ABS('DATOS'!J260-ROUND('DATOS'!G260*'DATOS'!H260,'REFERENCIAS'!$K$8))&gt;0.00000001,2,IF('DATOS'!O260="No existe",IF(LEN(TRIM('DATOS'!I260&amp;""))=0,0,2),IF('DATOS'!O260="Comparamos",IF(LEN(TRIM('DATOS'!I260&amp;""))=0,1,IF(ISNUMBER('DATOS'!I260),IF(ABS('DATOS'!H260-'DATOS'!I260)&gt;0.00000001,2,0),2)),1)))))),2)</f>
      </c>
      <c r="Q260" s="29">
        <f>IFERROR(IF(N260=0,"",IF(NOT(Y260=1),1,IF('DATOS'!K260="Sin valorar",2,IF('DATOS'!G260=0,1,IF(OR('DATOS'!H260=0,'DATOS'!J260=0),IF(AND(OR('DATOS'!K260="Sin coste documentado",'DATOS'!K260="Incluido en otra partida"),AND(LEN(TRIM('DATOS'!L260&amp;""))&gt;0,TRIM('DATOS'!L260&amp;"")&lt;&gt;"Pendiente",TRIM('DATOS'!L260&amp;"")&lt;&gt;"Por confirmar",TRIM('DATOS'!L260&amp;"")&lt;&gt;"No consta",TRIM('DATOS'!L260&amp;"")&lt;&gt;"Desconocido",TRIM('DATOS'!L260&amp;"")&lt;&gt;"Sin confirmar",TRIM('DATOS'!L260&amp;"")&lt;&gt;"Por decidir",TRIM('DATOS'!L260&amp;"")&lt;&gt;"Por comprobar")),0,1),0))))),2)</f>
      </c>
      <c r="R260" s="29">
        <f>IFERROR(IF(N260=0,"",IF(OR(NOT(AND(LEN(TRIM('DATOS'!D260&amp;""))&gt;0,TRIM('DATOS'!D260&amp;"")&lt;&gt;"Pendiente",TRIM('DATOS'!D260&amp;"")&lt;&gt;"Por confirmar",TRIM('DATOS'!D260&amp;"")&lt;&gt;"No consta",TRIM('DATOS'!D260&amp;"")&lt;&gt;"Desconocido",TRIM('DATOS'!D260&amp;"")&lt;&gt;"Sin confirmar",TRIM('DATOS'!D260&amp;"")&lt;&gt;"Por decidir",TRIM('DATOS'!D260&amp;"")&lt;&gt;"Por comprobar")),NOT(AND(LEN(TRIM('DATOS'!E260&amp;""))&gt;0,TRIM('DATOS'!E260&amp;"")&lt;&gt;"Pendiente",TRIM('DATOS'!E260&amp;"")&lt;&gt;"Por confirmar",TRIM('DATOS'!E260&amp;"")&lt;&gt;"No consta",TRIM('DATOS'!E260&amp;"")&lt;&gt;"Desconocido",TRIM('DATOS'!E260&amp;"")&lt;&gt;"Sin confirmar",TRIM('DATOS'!E260&amp;"")&lt;&gt;"Por decidir",TRIM('DATOS'!E260&amp;"")&lt;&gt;"Por comprobar"))),2,IF('DATOS'!M260="No",2,IF('DATOS'!M260="Sí",0,IF(OR('DATOS'!D260&lt;&gt;'DATOS'!E260,LEN('DATOS'!E260)&gt;300,RIGHT(TRIM('DATOS'!E260),3)="...",RIGHT(TRIM('DATOS'!E260),1)="…"),1,0))))),2)</f>
      </c>
      <c r="S260" s="29">
        <f>IFERROR(IF(N260=0,"",IF('REFERENCIAS'!$Q$8&lt;&gt;1,2,IF(NOT(Y260=1),1,IF(OR(ABS('DATOS'!G260-ROUND('DATOS'!G260,'REFERENCIAS'!$E$8))&gt;0.00000001,ABS('DATOS'!H260-ROUND('DATOS'!H260,'REFERENCIAS'!$H$8))&gt;0.00000001,ABS('DATOS'!J260-ROUND('DATOS'!J260,'REFERENCIAS'!$K$8))&gt;0.00000001,IF(ISNUMBER('DATOS'!I260),ABS('DATOS'!I260-ROUND('DATOS'!I260,'REFERENCIAS'!$H$8))&gt;0.00000001,FALSE)),1,0)))),2)</f>
      </c>
      <c r="T260" s="29">
        <f>IFERROR(IF(N260=0,"",IF(NOT(AND(LEN(TRIM('DATOS'!F260&amp;""))&gt;0,TRIM('DATOS'!F260&amp;"")&lt;&gt;"Pendiente",TRIM('DATOS'!F260&amp;"")&lt;&gt;"Por confirmar",TRIM('DATOS'!F260&amp;"")&lt;&gt;"No consta",TRIM('DATOS'!F260&amp;"")&lt;&gt;"Desconocido",TRIM('DATOS'!F260&amp;"")&lt;&gt;"Sin confirmar",TRIM('DATOS'!F260&amp;"")&lt;&gt;"Por decidir",TRIM('DATOS'!F260&amp;"")&lt;&gt;"Por comprobar")),2,IF(COUNTIFS('REFERENCIAS'!$T$15:$T$34,"ID:"&amp;SUBSTITUTE(SUBSTITUTE(SUBSTITUTE(SUBSTITUTE(UPPER(TRIM('DATOS'!F260&amp;"")),"!","!E"),"*","!A"),"?","!B"),"~","!C"),'REFERENCIAS'!$H$15:$H$34,"&lt;&gt;")&gt;0,0,1))),2)</f>
      </c>
      <c r="U260" s="29" t="str">
        <f>'DATOS'!R260</f>
        <v>ID:</v>
      </c>
      <c r="V260" s="29" t="str">
        <f>'DATOS'!S260</f>
        <v>ID:</v>
      </c>
      <c r="W260" s="29" t="n">
        <f>IF(N260=0,0,COUNTIFS('REFERENCIAS'!$R$15:$R$64,U260))</f>
        <v>0</v>
      </c>
      <c r="X260" s="29" t="n">
        <f>IF(N260=0,0,COUNTIFS('DATOS'!$R$10:$R$509,U260,'DATOS'!$S$10:$S$509,V260))</f>
        <v>0</v>
      </c>
      <c r="Y260" s="29" t="n">
        <f>IF(AND(ISNUMBER('DATOS'!G260),ISNUMBER('DATOS'!H260),ISNUMBER('DATOS'!J260)),1,0)</f>
        <v>0</v>
      </c>
    </row>
    <row r="261" ht="64" customHeight="1">
      <c r="B261" s="26">
        <f>IF(N261=1,252,"")</f>
      </c>
      <c r="C261" s="26">
        <f>IF(AND(N261=1,LEN(TRIM('DATOS'!B261&amp;""))&gt;0),'DATOS'!B261,"")</f>
      </c>
      <c r="D261" s="26">
        <f>IF(AND(N261=1,LEN(TRIM('DATOS'!C261&amp;""))&gt;0),'DATOS'!C261,"")</f>
      </c>
      <c r="E261" s="26">
        <f>IF(NOT(ISNUMBER(P261)),"",IF(P261=2,"ROJO",IF(P261=1,"ÁMBAR","VERDE")))</f>
      </c>
      <c r="F261" s="26">
        <f>IF(NOT(ISNUMBER(Q261)),"",IF(Q261=2,"ROJO",IF(Q261=1,"ÁMBAR","VERDE")))</f>
      </c>
      <c r="G261" s="26">
        <f>IF(NOT(ISNUMBER(R261)),"",IF(R261=2,"ROJO",IF(R261=1,"ÁMBAR","VERDE")))</f>
      </c>
      <c r="H261" s="26">
        <f>IF(NOT(ISNUMBER(S261)),"",IF(S261=2,"ROJO",IF(S261=1,"ÁMBAR","VERDE")))</f>
      </c>
      <c r="I261" s="26">
        <f>IF(NOT(ISNUMBER(T261)),"",IF(T261=2,"ROJO",IF(T261=1,"ÁMBAR","VERDE")))</f>
      </c>
      <c r="J261" s="26">
        <f>IF(NOT(ISNUMBER(O261)),"",IF(O261=2,"ROJO",IF(O261=1,"ÁMBAR","VERDE")))</f>
      </c>
      <c r="K261" s="26">
        <f>IFERROR(IF(AND(N261=1,LEN(TRIM('DATOS'!N261&amp;""))&gt;0),'DATOS'!N261,""),"Hay una entrada con error. Corregimos el dato antes de cerrar la comprobación.")</f>
      </c>
      <c r="L261" s="26">
        <f>IFERROR(IF(N261=0,"",IF(O261&gt;0,"Completamos datos, claves o motivo. ","")&amp;IF(P261&gt;0,"Cotejamos precios e importe. ","")&amp;IF(Q261&gt;0,"Aclaramos el cero. ","")&amp;IF(R261&gt;0,"Comprobamos el texto. ","")&amp;IF(S261&gt;0,"Revisamos decimales visibles. ","")&amp;IF(T261&gt;0,"Confirmamos la unidad.","")),"Hay una entrada con error. Corregimos el dato antes de cerrar la comprobación.")</f>
      </c>
      <c r="N261" s="29" t="n">
        <f>IF(COUNTA('DATOS'!B261:O261)&gt;0,1,0)</f>
        <v>0</v>
      </c>
      <c r="O261" s="29">
        <f>IFERROR(IF(N261=0,"",IF(OR(NOT(AND(LEN(TRIM('DATOS'!B261&amp;""))&gt;0,TRIM('DATOS'!B261&amp;"")&lt;&gt;"Pendiente",TRIM('DATOS'!B261&amp;"")&lt;&gt;"Por confirmar",TRIM('DATOS'!B261&amp;"")&lt;&gt;"No consta",TRIM('DATOS'!B261&amp;"")&lt;&gt;"Desconocido",TRIM('DATOS'!B261&amp;"")&lt;&gt;"Sin confirmar",TRIM('DATOS'!B261&amp;"")&lt;&gt;"Por decidir",TRIM('DATOS'!B261&amp;"")&lt;&gt;"Por comprobar")),NOT(AND(LEN(TRIM('DATOS'!C261&amp;""))&gt;0,TRIM('DATOS'!C261&amp;"")&lt;&gt;"Pendiente",TRIM('DATOS'!C261&amp;"")&lt;&gt;"Por confirmar",TRIM('DATOS'!C261&amp;"")&lt;&gt;"No consta",TRIM('DATOS'!C261&amp;"")&lt;&gt;"Desconocido",TRIM('DATOS'!C261&amp;"")&lt;&gt;"Sin confirmar",TRIM('DATOS'!C261&amp;"")&lt;&gt;"Por decidir",TRIM('DATOS'!C261&amp;"")&lt;&gt;"Por comprobar")),NOT(AND(LEN(TRIM('DATOS'!D261&amp;""))&gt;0,TRIM('DATOS'!D261&amp;"")&lt;&gt;"Pendiente",TRIM('DATOS'!D261&amp;"")&lt;&gt;"Por confirmar",TRIM('DATOS'!D261&amp;"")&lt;&gt;"No consta",TRIM('DATOS'!D261&amp;"")&lt;&gt;"Desconocido",TRIM('DATOS'!D261&amp;"")&lt;&gt;"Sin confirmar",TRIM('DATOS'!D261&amp;"")&lt;&gt;"Por decidir",TRIM('DATOS'!D261&amp;"")&lt;&gt;"Por comprobar")),NOT(AND(LEN(TRIM('DATOS'!E261&amp;""))&gt;0,TRIM('DATOS'!E261&amp;"")&lt;&gt;"Pendiente",TRIM('DATOS'!E261&amp;"")&lt;&gt;"Por confirmar",TRIM('DATOS'!E261&amp;"")&lt;&gt;"No consta",TRIM('DATOS'!E261&amp;"")&lt;&gt;"Desconocido",TRIM('DATOS'!E261&amp;"")&lt;&gt;"Sin confirmar",TRIM('DATOS'!E261&amp;"")&lt;&gt;"Por decidir",TRIM('DATOS'!E261&amp;"")&lt;&gt;"Por comprobar")),NOT(AND(LEN(TRIM('DATOS'!F261&amp;""))&gt;0,TRIM('DATOS'!F261&amp;"")&lt;&gt;"Pendiente",TRIM('DATOS'!F261&amp;"")&lt;&gt;"Por confirmar",TRIM('DATOS'!F261&amp;"")&lt;&gt;"No consta",TRIM('DATOS'!F261&amp;"")&lt;&gt;"Desconocido",TRIM('DATOS'!F261&amp;"")&lt;&gt;"Sin confirmar",TRIM('DATOS'!F261&amp;"")&lt;&gt;"Por decidir",TRIM('DATOS'!F261&amp;"")&lt;&gt;"Por comprobar")),NOT(AND(LEN(TRIM('DATOS'!N261&amp;""))&gt;0,TRIM('DATOS'!N261&amp;"")&lt;&gt;"Pendiente",TRIM('DATOS'!N261&amp;"")&lt;&gt;"Por confirmar",TRIM('DATOS'!N261&amp;"")&lt;&gt;"No consta",TRIM('DATOS'!N261&amp;"")&lt;&gt;"Desconocido",TRIM('DATOS'!N261&amp;"")&lt;&gt;"Sin confirmar",TRIM('DATOS'!N261&amp;"")&lt;&gt;"Por decidir",TRIM('DATOS'!N261&amp;"")&lt;&gt;"Por comprobar")),NOT(Y261=1),W261&lt;&gt;1,X261&gt;1,NOT(OR(LEN(TRIM('DATOS'!K261&amp;""))=0,'DATOS'!K261="Sin valorar",'DATOS'!K261="Sin coste documentado",'DATOS'!K261="Incluido en otra partida",'DATOS'!K261="Por confirmar")),NOT(OR(LEN(TRIM('DATOS'!M261&amp;""))=0,'DATOS'!M261="Sí",'DATOS'!M261="No",'DATOS'!M261="Por confirmar")),NOT(OR(LEN(TRIM('DATOS'!O261&amp;""))=0,'DATOS'!O261="Comparamos",'DATOS'!O261="No existe",'DATOS'!O261="Por confirmar"))),2,IF(AND(OR('DATOS'!G261&lt;0,'DATOS'!H261&lt;0,'DATOS'!J261&lt;0),NOT(AND(LEN(TRIM('DATOS'!L261&amp;""))&gt;0,TRIM('DATOS'!L261&amp;"")&lt;&gt;"Pendiente",TRIM('DATOS'!L261&amp;"")&lt;&gt;"Por confirmar",TRIM('DATOS'!L261&amp;"")&lt;&gt;"No consta",TRIM('DATOS'!L261&amp;"")&lt;&gt;"Desconocido",TRIM('DATOS'!L261&amp;"")&lt;&gt;"Sin confirmar",TRIM('DATOS'!L261&amp;"")&lt;&gt;"Por decidir",TRIM('DATOS'!L261&amp;"")&lt;&gt;"Por comprobar"))),1,0))),2)</f>
      </c>
      <c r="P261" s="29">
        <f>IFERROR(IF(N261=0,"",IF(NOT(Y261=1),1,IF('REFERENCIAS'!$Q$8&lt;&gt;1,2,IF(ABS('DATOS'!J261-ROUND('DATOS'!G261*'DATOS'!H261,'REFERENCIAS'!$K$8))&gt;0.00000001,2,IF('DATOS'!O261="No existe",IF(LEN(TRIM('DATOS'!I261&amp;""))=0,0,2),IF('DATOS'!O261="Comparamos",IF(LEN(TRIM('DATOS'!I261&amp;""))=0,1,IF(ISNUMBER('DATOS'!I261),IF(ABS('DATOS'!H261-'DATOS'!I261)&gt;0.00000001,2,0),2)),1)))))),2)</f>
      </c>
      <c r="Q261" s="29">
        <f>IFERROR(IF(N261=0,"",IF(NOT(Y261=1),1,IF('DATOS'!K261="Sin valorar",2,IF('DATOS'!G261=0,1,IF(OR('DATOS'!H261=0,'DATOS'!J261=0),IF(AND(OR('DATOS'!K261="Sin coste documentado",'DATOS'!K261="Incluido en otra partida"),AND(LEN(TRIM('DATOS'!L261&amp;""))&gt;0,TRIM('DATOS'!L261&amp;"")&lt;&gt;"Pendiente",TRIM('DATOS'!L261&amp;"")&lt;&gt;"Por confirmar",TRIM('DATOS'!L261&amp;"")&lt;&gt;"No consta",TRIM('DATOS'!L261&amp;"")&lt;&gt;"Desconocido",TRIM('DATOS'!L261&amp;"")&lt;&gt;"Sin confirmar",TRIM('DATOS'!L261&amp;"")&lt;&gt;"Por decidir",TRIM('DATOS'!L261&amp;"")&lt;&gt;"Por comprobar")),0,1),0))))),2)</f>
      </c>
      <c r="R261" s="29">
        <f>IFERROR(IF(N261=0,"",IF(OR(NOT(AND(LEN(TRIM('DATOS'!D261&amp;""))&gt;0,TRIM('DATOS'!D261&amp;"")&lt;&gt;"Pendiente",TRIM('DATOS'!D261&amp;"")&lt;&gt;"Por confirmar",TRIM('DATOS'!D261&amp;"")&lt;&gt;"No consta",TRIM('DATOS'!D261&amp;"")&lt;&gt;"Desconocido",TRIM('DATOS'!D261&amp;"")&lt;&gt;"Sin confirmar",TRIM('DATOS'!D261&amp;"")&lt;&gt;"Por decidir",TRIM('DATOS'!D261&amp;"")&lt;&gt;"Por comprobar")),NOT(AND(LEN(TRIM('DATOS'!E261&amp;""))&gt;0,TRIM('DATOS'!E261&amp;"")&lt;&gt;"Pendiente",TRIM('DATOS'!E261&amp;"")&lt;&gt;"Por confirmar",TRIM('DATOS'!E261&amp;"")&lt;&gt;"No consta",TRIM('DATOS'!E261&amp;"")&lt;&gt;"Desconocido",TRIM('DATOS'!E261&amp;"")&lt;&gt;"Sin confirmar",TRIM('DATOS'!E261&amp;"")&lt;&gt;"Por decidir",TRIM('DATOS'!E261&amp;"")&lt;&gt;"Por comprobar"))),2,IF('DATOS'!M261="No",2,IF('DATOS'!M261="Sí",0,IF(OR('DATOS'!D261&lt;&gt;'DATOS'!E261,LEN('DATOS'!E261)&gt;300,RIGHT(TRIM('DATOS'!E261),3)="...",RIGHT(TRIM('DATOS'!E261),1)="…"),1,0))))),2)</f>
      </c>
      <c r="S261" s="29">
        <f>IFERROR(IF(N261=0,"",IF('REFERENCIAS'!$Q$8&lt;&gt;1,2,IF(NOT(Y261=1),1,IF(OR(ABS('DATOS'!G261-ROUND('DATOS'!G261,'REFERENCIAS'!$E$8))&gt;0.00000001,ABS('DATOS'!H261-ROUND('DATOS'!H261,'REFERENCIAS'!$H$8))&gt;0.00000001,ABS('DATOS'!J261-ROUND('DATOS'!J261,'REFERENCIAS'!$K$8))&gt;0.00000001,IF(ISNUMBER('DATOS'!I261),ABS('DATOS'!I261-ROUND('DATOS'!I261,'REFERENCIAS'!$H$8))&gt;0.00000001,FALSE)),1,0)))),2)</f>
      </c>
      <c r="T261" s="29">
        <f>IFERROR(IF(N261=0,"",IF(NOT(AND(LEN(TRIM('DATOS'!F261&amp;""))&gt;0,TRIM('DATOS'!F261&amp;"")&lt;&gt;"Pendiente",TRIM('DATOS'!F261&amp;"")&lt;&gt;"Por confirmar",TRIM('DATOS'!F261&amp;"")&lt;&gt;"No consta",TRIM('DATOS'!F261&amp;"")&lt;&gt;"Desconocido",TRIM('DATOS'!F261&amp;"")&lt;&gt;"Sin confirmar",TRIM('DATOS'!F261&amp;"")&lt;&gt;"Por decidir",TRIM('DATOS'!F261&amp;"")&lt;&gt;"Por comprobar")),2,IF(COUNTIFS('REFERENCIAS'!$T$15:$T$34,"ID:"&amp;SUBSTITUTE(SUBSTITUTE(SUBSTITUTE(SUBSTITUTE(UPPER(TRIM('DATOS'!F261&amp;"")),"!","!E"),"*","!A"),"?","!B"),"~","!C"),'REFERENCIAS'!$H$15:$H$34,"&lt;&gt;")&gt;0,0,1))),2)</f>
      </c>
      <c r="U261" s="29" t="str">
        <f>'DATOS'!R261</f>
        <v>ID:</v>
      </c>
      <c r="V261" s="29" t="str">
        <f>'DATOS'!S261</f>
        <v>ID:</v>
      </c>
      <c r="W261" s="29" t="n">
        <f>IF(N261=0,0,COUNTIFS('REFERENCIAS'!$R$15:$R$64,U261))</f>
        <v>0</v>
      </c>
      <c r="X261" s="29" t="n">
        <f>IF(N261=0,0,COUNTIFS('DATOS'!$R$10:$R$509,U261,'DATOS'!$S$10:$S$509,V261))</f>
        <v>0</v>
      </c>
      <c r="Y261" s="29" t="n">
        <f>IF(AND(ISNUMBER('DATOS'!G261),ISNUMBER('DATOS'!H261),ISNUMBER('DATOS'!J261)),1,0)</f>
        <v>0</v>
      </c>
    </row>
    <row r="262" ht="64" customHeight="1">
      <c r="B262" s="26">
        <f>IF(N262=1,253,"")</f>
      </c>
      <c r="C262" s="26">
        <f>IF(AND(N262=1,LEN(TRIM('DATOS'!B262&amp;""))&gt;0),'DATOS'!B262,"")</f>
      </c>
      <c r="D262" s="26">
        <f>IF(AND(N262=1,LEN(TRIM('DATOS'!C262&amp;""))&gt;0),'DATOS'!C262,"")</f>
      </c>
      <c r="E262" s="26">
        <f>IF(NOT(ISNUMBER(P262)),"",IF(P262=2,"ROJO",IF(P262=1,"ÁMBAR","VERDE")))</f>
      </c>
      <c r="F262" s="26">
        <f>IF(NOT(ISNUMBER(Q262)),"",IF(Q262=2,"ROJO",IF(Q262=1,"ÁMBAR","VERDE")))</f>
      </c>
      <c r="G262" s="26">
        <f>IF(NOT(ISNUMBER(R262)),"",IF(R262=2,"ROJO",IF(R262=1,"ÁMBAR","VERDE")))</f>
      </c>
      <c r="H262" s="26">
        <f>IF(NOT(ISNUMBER(S262)),"",IF(S262=2,"ROJO",IF(S262=1,"ÁMBAR","VERDE")))</f>
      </c>
      <c r="I262" s="26">
        <f>IF(NOT(ISNUMBER(T262)),"",IF(T262=2,"ROJO",IF(T262=1,"ÁMBAR","VERDE")))</f>
      </c>
      <c r="J262" s="26">
        <f>IF(NOT(ISNUMBER(O262)),"",IF(O262=2,"ROJO",IF(O262=1,"ÁMBAR","VERDE")))</f>
      </c>
      <c r="K262" s="26">
        <f>IFERROR(IF(AND(N262=1,LEN(TRIM('DATOS'!N262&amp;""))&gt;0),'DATOS'!N262,""),"Hay una entrada con error. Corregimos el dato antes de cerrar la comprobación.")</f>
      </c>
      <c r="L262" s="26">
        <f>IFERROR(IF(N262=0,"",IF(O262&gt;0,"Completamos datos, claves o motivo. ","")&amp;IF(P262&gt;0,"Cotejamos precios e importe. ","")&amp;IF(Q262&gt;0,"Aclaramos el cero. ","")&amp;IF(R262&gt;0,"Comprobamos el texto. ","")&amp;IF(S262&gt;0,"Revisamos decimales visibles. ","")&amp;IF(T262&gt;0,"Confirmamos la unidad.","")),"Hay una entrada con error. Corregimos el dato antes de cerrar la comprobación.")</f>
      </c>
      <c r="N262" s="29" t="n">
        <f>IF(COUNTA('DATOS'!B262:O262)&gt;0,1,0)</f>
        <v>0</v>
      </c>
      <c r="O262" s="29">
        <f>IFERROR(IF(N262=0,"",IF(OR(NOT(AND(LEN(TRIM('DATOS'!B262&amp;""))&gt;0,TRIM('DATOS'!B262&amp;"")&lt;&gt;"Pendiente",TRIM('DATOS'!B262&amp;"")&lt;&gt;"Por confirmar",TRIM('DATOS'!B262&amp;"")&lt;&gt;"No consta",TRIM('DATOS'!B262&amp;"")&lt;&gt;"Desconocido",TRIM('DATOS'!B262&amp;"")&lt;&gt;"Sin confirmar",TRIM('DATOS'!B262&amp;"")&lt;&gt;"Por decidir",TRIM('DATOS'!B262&amp;"")&lt;&gt;"Por comprobar")),NOT(AND(LEN(TRIM('DATOS'!C262&amp;""))&gt;0,TRIM('DATOS'!C262&amp;"")&lt;&gt;"Pendiente",TRIM('DATOS'!C262&amp;"")&lt;&gt;"Por confirmar",TRIM('DATOS'!C262&amp;"")&lt;&gt;"No consta",TRIM('DATOS'!C262&amp;"")&lt;&gt;"Desconocido",TRIM('DATOS'!C262&amp;"")&lt;&gt;"Sin confirmar",TRIM('DATOS'!C262&amp;"")&lt;&gt;"Por decidir",TRIM('DATOS'!C262&amp;"")&lt;&gt;"Por comprobar")),NOT(AND(LEN(TRIM('DATOS'!D262&amp;""))&gt;0,TRIM('DATOS'!D262&amp;"")&lt;&gt;"Pendiente",TRIM('DATOS'!D262&amp;"")&lt;&gt;"Por confirmar",TRIM('DATOS'!D262&amp;"")&lt;&gt;"No consta",TRIM('DATOS'!D262&amp;"")&lt;&gt;"Desconocido",TRIM('DATOS'!D262&amp;"")&lt;&gt;"Sin confirmar",TRIM('DATOS'!D262&amp;"")&lt;&gt;"Por decidir",TRIM('DATOS'!D262&amp;"")&lt;&gt;"Por comprobar")),NOT(AND(LEN(TRIM('DATOS'!E262&amp;""))&gt;0,TRIM('DATOS'!E262&amp;"")&lt;&gt;"Pendiente",TRIM('DATOS'!E262&amp;"")&lt;&gt;"Por confirmar",TRIM('DATOS'!E262&amp;"")&lt;&gt;"No consta",TRIM('DATOS'!E262&amp;"")&lt;&gt;"Desconocido",TRIM('DATOS'!E262&amp;"")&lt;&gt;"Sin confirmar",TRIM('DATOS'!E262&amp;"")&lt;&gt;"Por decidir",TRIM('DATOS'!E262&amp;"")&lt;&gt;"Por comprobar")),NOT(AND(LEN(TRIM('DATOS'!F262&amp;""))&gt;0,TRIM('DATOS'!F262&amp;"")&lt;&gt;"Pendiente",TRIM('DATOS'!F262&amp;"")&lt;&gt;"Por confirmar",TRIM('DATOS'!F262&amp;"")&lt;&gt;"No consta",TRIM('DATOS'!F262&amp;"")&lt;&gt;"Desconocido",TRIM('DATOS'!F262&amp;"")&lt;&gt;"Sin confirmar",TRIM('DATOS'!F262&amp;"")&lt;&gt;"Por decidir",TRIM('DATOS'!F262&amp;"")&lt;&gt;"Por comprobar")),NOT(AND(LEN(TRIM('DATOS'!N262&amp;""))&gt;0,TRIM('DATOS'!N262&amp;"")&lt;&gt;"Pendiente",TRIM('DATOS'!N262&amp;"")&lt;&gt;"Por confirmar",TRIM('DATOS'!N262&amp;"")&lt;&gt;"No consta",TRIM('DATOS'!N262&amp;"")&lt;&gt;"Desconocido",TRIM('DATOS'!N262&amp;"")&lt;&gt;"Sin confirmar",TRIM('DATOS'!N262&amp;"")&lt;&gt;"Por decidir",TRIM('DATOS'!N262&amp;"")&lt;&gt;"Por comprobar")),NOT(Y262=1),W262&lt;&gt;1,X262&gt;1,NOT(OR(LEN(TRIM('DATOS'!K262&amp;""))=0,'DATOS'!K262="Sin valorar",'DATOS'!K262="Sin coste documentado",'DATOS'!K262="Incluido en otra partida",'DATOS'!K262="Por confirmar")),NOT(OR(LEN(TRIM('DATOS'!M262&amp;""))=0,'DATOS'!M262="Sí",'DATOS'!M262="No",'DATOS'!M262="Por confirmar")),NOT(OR(LEN(TRIM('DATOS'!O262&amp;""))=0,'DATOS'!O262="Comparamos",'DATOS'!O262="No existe",'DATOS'!O262="Por confirmar"))),2,IF(AND(OR('DATOS'!G262&lt;0,'DATOS'!H262&lt;0,'DATOS'!J262&lt;0),NOT(AND(LEN(TRIM('DATOS'!L262&amp;""))&gt;0,TRIM('DATOS'!L262&amp;"")&lt;&gt;"Pendiente",TRIM('DATOS'!L262&amp;"")&lt;&gt;"Por confirmar",TRIM('DATOS'!L262&amp;"")&lt;&gt;"No consta",TRIM('DATOS'!L262&amp;"")&lt;&gt;"Desconocido",TRIM('DATOS'!L262&amp;"")&lt;&gt;"Sin confirmar",TRIM('DATOS'!L262&amp;"")&lt;&gt;"Por decidir",TRIM('DATOS'!L262&amp;"")&lt;&gt;"Por comprobar"))),1,0))),2)</f>
      </c>
      <c r="P262" s="29">
        <f>IFERROR(IF(N262=0,"",IF(NOT(Y262=1),1,IF('REFERENCIAS'!$Q$8&lt;&gt;1,2,IF(ABS('DATOS'!J262-ROUND('DATOS'!G262*'DATOS'!H262,'REFERENCIAS'!$K$8))&gt;0.00000001,2,IF('DATOS'!O262="No existe",IF(LEN(TRIM('DATOS'!I262&amp;""))=0,0,2),IF('DATOS'!O262="Comparamos",IF(LEN(TRIM('DATOS'!I262&amp;""))=0,1,IF(ISNUMBER('DATOS'!I262),IF(ABS('DATOS'!H262-'DATOS'!I262)&gt;0.00000001,2,0),2)),1)))))),2)</f>
      </c>
      <c r="Q262" s="29">
        <f>IFERROR(IF(N262=0,"",IF(NOT(Y262=1),1,IF('DATOS'!K262="Sin valorar",2,IF('DATOS'!G262=0,1,IF(OR('DATOS'!H262=0,'DATOS'!J262=0),IF(AND(OR('DATOS'!K262="Sin coste documentado",'DATOS'!K262="Incluido en otra partida"),AND(LEN(TRIM('DATOS'!L262&amp;""))&gt;0,TRIM('DATOS'!L262&amp;"")&lt;&gt;"Pendiente",TRIM('DATOS'!L262&amp;"")&lt;&gt;"Por confirmar",TRIM('DATOS'!L262&amp;"")&lt;&gt;"No consta",TRIM('DATOS'!L262&amp;"")&lt;&gt;"Desconocido",TRIM('DATOS'!L262&amp;"")&lt;&gt;"Sin confirmar",TRIM('DATOS'!L262&amp;"")&lt;&gt;"Por decidir",TRIM('DATOS'!L262&amp;"")&lt;&gt;"Por comprobar")),0,1),0))))),2)</f>
      </c>
      <c r="R262" s="29">
        <f>IFERROR(IF(N262=0,"",IF(OR(NOT(AND(LEN(TRIM('DATOS'!D262&amp;""))&gt;0,TRIM('DATOS'!D262&amp;"")&lt;&gt;"Pendiente",TRIM('DATOS'!D262&amp;"")&lt;&gt;"Por confirmar",TRIM('DATOS'!D262&amp;"")&lt;&gt;"No consta",TRIM('DATOS'!D262&amp;"")&lt;&gt;"Desconocido",TRIM('DATOS'!D262&amp;"")&lt;&gt;"Sin confirmar",TRIM('DATOS'!D262&amp;"")&lt;&gt;"Por decidir",TRIM('DATOS'!D262&amp;"")&lt;&gt;"Por comprobar")),NOT(AND(LEN(TRIM('DATOS'!E262&amp;""))&gt;0,TRIM('DATOS'!E262&amp;"")&lt;&gt;"Pendiente",TRIM('DATOS'!E262&amp;"")&lt;&gt;"Por confirmar",TRIM('DATOS'!E262&amp;"")&lt;&gt;"No consta",TRIM('DATOS'!E262&amp;"")&lt;&gt;"Desconocido",TRIM('DATOS'!E262&amp;"")&lt;&gt;"Sin confirmar",TRIM('DATOS'!E262&amp;"")&lt;&gt;"Por decidir",TRIM('DATOS'!E262&amp;"")&lt;&gt;"Por comprobar"))),2,IF('DATOS'!M262="No",2,IF('DATOS'!M262="Sí",0,IF(OR('DATOS'!D262&lt;&gt;'DATOS'!E262,LEN('DATOS'!E262)&gt;300,RIGHT(TRIM('DATOS'!E262),3)="...",RIGHT(TRIM('DATOS'!E262),1)="…"),1,0))))),2)</f>
      </c>
      <c r="S262" s="29">
        <f>IFERROR(IF(N262=0,"",IF('REFERENCIAS'!$Q$8&lt;&gt;1,2,IF(NOT(Y262=1),1,IF(OR(ABS('DATOS'!G262-ROUND('DATOS'!G262,'REFERENCIAS'!$E$8))&gt;0.00000001,ABS('DATOS'!H262-ROUND('DATOS'!H262,'REFERENCIAS'!$H$8))&gt;0.00000001,ABS('DATOS'!J262-ROUND('DATOS'!J262,'REFERENCIAS'!$K$8))&gt;0.00000001,IF(ISNUMBER('DATOS'!I262),ABS('DATOS'!I262-ROUND('DATOS'!I262,'REFERENCIAS'!$H$8))&gt;0.00000001,FALSE)),1,0)))),2)</f>
      </c>
      <c r="T262" s="29">
        <f>IFERROR(IF(N262=0,"",IF(NOT(AND(LEN(TRIM('DATOS'!F262&amp;""))&gt;0,TRIM('DATOS'!F262&amp;"")&lt;&gt;"Pendiente",TRIM('DATOS'!F262&amp;"")&lt;&gt;"Por confirmar",TRIM('DATOS'!F262&amp;"")&lt;&gt;"No consta",TRIM('DATOS'!F262&amp;"")&lt;&gt;"Desconocido",TRIM('DATOS'!F262&amp;"")&lt;&gt;"Sin confirmar",TRIM('DATOS'!F262&amp;"")&lt;&gt;"Por decidir",TRIM('DATOS'!F262&amp;"")&lt;&gt;"Por comprobar")),2,IF(COUNTIFS('REFERENCIAS'!$T$15:$T$34,"ID:"&amp;SUBSTITUTE(SUBSTITUTE(SUBSTITUTE(SUBSTITUTE(UPPER(TRIM('DATOS'!F262&amp;"")),"!","!E"),"*","!A"),"?","!B"),"~","!C"),'REFERENCIAS'!$H$15:$H$34,"&lt;&gt;")&gt;0,0,1))),2)</f>
      </c>
      <c r="U262" s="29" t="str">
        <f>'DATOS'!R262</f>
        <v>ID:</v>
      </c>
      <c r="V262" s="29" t="str">
        <f>'DATOS'!S262</f>
        <v>ID:</v>
      </c>
      <c r="W262" s="29" t="n">
        <f>IF(N262=0,0,COUNTIFS('REFERENCIAS'!$R$15:$R$64,U262))</f>
        <v>0</v>
      </c>
      <c r="X262" s="29" t="n">
        <f>IF(N262=0,0,COUNTIFS('DATOS'!$R$10:$R$509,U262,'DATOS'!$S$10:$S$509,V262))</f>
        <v>0</v>
      </c>
      <c r="Y262" s="29" t="n">
        <f>IF(AND(ISNUMBER('DATOS'!G262),ISNUMBER('DATOS'!H262),ISNUMBER('DATOS'!J262)),1,0)</f>
        <v>0</v>
      </c>
    </row>
    <row r="263" ht="64" customHeight="1">
      <c r="B263" s="26">
        <f>IF(N263=1,254,"")</f>
      </c>
      <c r="C263" s="26">
        <f>IF(AND(N263=1,LEN(TRIM('DATOS'!B263&amp;""))&gt;0),'DATOS'!B263,"")</f>
      </c>
      <c r="D263" s="26">
        <f>IF(AND(N263=1,LEN(TRIM('DATOS'!C263&amp;""))&gt;0),'DATOS'!C263,"")</f>
      </c>
      <c r="E263" s="26">
        <f>IF(NOT(ISNUMBER(P263)),"",IF(P263=2,"ROJO",IF(P263=1,"ÁMBAR","VERDE")))</f>
      </c>
      <c r="F263" s="26">
        <f>IF(NOT(ISNUMBER(Q263)),"",IF(Q263=2,"ROJO",IF(Q263=1,"ÁMBAR","VERDE")))</f>
      </c>
      <c r="G263" s="26">
        <f>IF(NOT(ISNUMBER(R263)),"",IF(R263=2,"ROJO",IF(R263=1,"ÁMBAR","VERDE")))</f>
      </c>
      <c r="H263" s="26">
        <f>IF(NOT(ISNUMBER(S263)),"",IF(S263=2,"ROJO",IF(S263=1,"ÁMBAR","VERDE")))</f>
      </c>
      <c r="I263" s="26">
        <f>IF(NOT(ISNUMBER(T263)),"",IF(T263=2,"ROJO",IF(T263=1,"ÁMBAR","VERDE")))</f>
      </c>
      <c r="J263" s="26">
        <f>IF(NOT(ISNUMBER(O263)),"",IF(O263=2,"ROJO",IF(O263=1,"ÁMBAR","VERDE")))</f>
      </c>
      <c r="K263" s="26">
        <f>IFERROR(IF(AND(N263=1,LEN(TRIM('DATOS'!N263&amp;""))&gt;0),'DATOS'!N263,""),"Hay una entrada con error. Corregimos el dato antes de cerrar la comprobación.")</f>
      </c>
      <c r="L263" s="26">
        <f>IFERROR(IF(N263=0,"",IF(O263&gt;0,"Completamos datos, claves o motivo. ","")&amp;IF(P263&gt;0,"Cotejamos precios e importe. ","")&amp;IF(Q263&gt;0,"Aclaramos el cero. ","")&amp;IF(R263&gt;0,"Comprobamos el texto. ","")&amp;IF(S263&gt;0,"Revisamos decimales visibles. ","")&amp;IF(T263&gt;0,"Confirmamos la unidad.","")),"Hay una entrada con error. Corregimos el dato antes de cerrar la comprobación.")</f>
      </c>
      <c r="N263" s="29" t="n">
        <f>IF(COUNTA('DATOS'!B263:O263)&gt;0,1,0)</f>
        <v>0</v>
      </c>
      <c r="O263" s="29">
        <f>IFERROR(IF(N263=0,"",IF(OR(NOT(AND(LEN(TRIM('DATOS'!B263&amp;""))&gt;0,TRIM('DATOS'!B263&amp;"")&lt;&gt;"Pendiente",TRIM('DATOS'!B263&amp;"")&lt;&gt;"Por confirmar",TRIM('DATOS'!B263&amp;"")&lt;&gt;"No consta",TRIM('DATOS'!B263&amp;"")&lt;&gt;"Desconocido",TRIM('DATOS'!B263&amp;"")&lt;&gt;"Sin confirmar",TRIM('DATOS'!B263&amp;"")&lt;&gt;"Por decidir",TRIM('DATOS'!B263&amp;"")&lt;&gt;"Por comprobar")),NOT(AND(LEN(TRIM('DATOS'!C263&amp;""))&gt;0,TRIM('DATOS'!C263&amp;"")&lt;&gt;"Pendiente",TRIM('DATOS'!C263&amp;"")&lt;&gt;"Por confirmar",TRIM('DATOS'!C263&amp;"")&lt;&gt;"No consta",TRIM('DATOS'!C263&amp;"")&lt;&gt;"Desconocido",TRIM('DATOS'!C263&amp;"")&lt;&gt;"Sin confirmar",TRIM('DATOS'!C263&amp;"")&lt;&gt;"Por decidir",TRIM('DATOS'!C263&amp;"")&lt;&gt;"Por comprobar")),NOT(AND(LEN(TRIM('DATOS'!D263&amp;""))&gt;0,TRIM('DATOS'!D263&amp;"")&lt;&gt;"Pendiente",TRIM('DATOS'!D263&amp;"")&lt;&gt;"Por confirmar",TRIM('DATOS'!D263&amp;"")&lt;&gt;"No consta",TRIM('DATOS'!D263&amp;"")&lt;&gt;"Desconocido",TRIM('DATOS'!D263&amp;"")&lt;&gt;"Sin confirmar",TRIM('DATOS'!D263&amp;"")&lt;&gt;"Por decidir",TRIM('DATOS'!D263&amp;"")&lt;&gt;"Por comprobar")),NOT(AND(LEN(TRIM('DATOS'!E263&amp;""))&gt;0,TRIM('DATOS'!E263&amp;"")&lt;&gt;"Pendiente",TRIM('DATOS'!E263&amp;"")&lt;&gt;"Por confirmar",TRIM('DATOS'!E263&amp;"")&lt;&gt;"No consta",TRIM('DATOS'!E263&amp;"")&lt;&gt;"Desconocido",TRIM('DATOS'!E263&amp;"")&lt;&gt;"Sin confirmar",TRIM('DATOS'!E263&amp;"")&lt;&gt;"Por decidir",TRIM('DATOS'!E263&amp;"")&lt;&gt;"Por comprobar")),NOT(AND(LEN(TRIM('DATOS'!F263&amp;""))&gt;0,TRIM('DATOS'!F263&amp;"")&lt;&gt;"Pendiente",TRIM('DATOS'!F263&amp;"")&lt;&gt;"Por confirmar",TRIM('DATOS'!F263&amp;"")&lt;&gt;"No consta",TRIM('DATOS'!F263&amp;"")&lt;&gt;"Desconocido",TRIM('DATOS'!F263&amp;"")&lt;&gt;"Sin confirmar",TRIM('DATOS'!F263&amp;"")&lt;&gt;"Por decidir",TRIM('DATOS'!F263&amp;"")&lt;&gt;"Por comprobar")),NOT(AND(LEN(TRIM('DATOS'!N263&amp;""))&gt;0,TRIM('DATOS'!N263&amp;"")&lt;&gt;"Pendiente",TRIM('DATOS'!N263&amp;"")&lt;&gt;"Por confirmar",TRIM('DATOS'!N263&amp;"")&lt;&gt;"No consta",TRIM('DATOS'!N263&amp;"")&lt;&gt;"Desconocido",TRIM('DATOS'!N263&amp;"")&lt;&gt;"Sin confirmar",TRIM('DATOS'!N263&amp;"")&lt;&gt;"Por decidir",TRIM('DATOS'!N263&amp;"")&lt;&gt;"Por comprobar")),NOT(Y263=1),W263&lt;&gt;1,X263&gt;1,NOT(OR(LEN(TRIM('DATOS'!K263&amp;""))=0,'DATOS'!K263="Sin valorar",'DATOS'!K263="Sin coste documentado",'DATOS'!K263="Incluido en otra partida",'DATOS'!K263="Por confirmar")),NOT(OR(LEN(TRIM('DATOS'!M263&amp;""))=0,'DATOS'!M263="Sí",'DATOS'!M263="No",'DATOS'!M263="Por confirmar")),NOT(OR(LEN(TRIM('DATOS'!O263&amp;""))=0,'DATOS'!O263="Comparamos",'DATOS'!O263="No existe",'DATOS'!O263="Por confirmar"))),2,IF(AND(OR('DATOS'!G263&lt;0,'DATOS'!H263&lt;0,'DATOS'!J263&lt;0),NOT(AND(LEN(TRIM('DATOS'!L263&amp;""))&gt;0,TRIM('DATOS'!L263&amp;"")&lt;&gt;"Pendiente",TRIM('DATOS'!L263&amp;"")&lt;&gt;"Por confirmar",TRIM('DATOS'!L263&amp;"")&lt;&gt;"No consta",TRIM('DATOS'!L263&amp;"")&lt;&gt;"Desconocido",TRIM('DATOS'!L263&amp;"")&lt;&gt;"Sin confirmar",TRIM('DATOS'!L263&amp;"")&lt;&gt;"Por decidir",TRIM('DATOS'!L263&amp;"")&lt;&gt;"Por comprobar"))),1,0))),2)</f>
      </c>
      <c r="P263" s="29">
        <f>IFERROR(IF(N263=0,"",IF(NOT(Y263=1),1,IF('REFERENCIAS'!$Q$8&lt;&gt;1,2,IF(ABS('DATOS'!J263-ROUND('DATOS'!G263*'DATOS'!H263,'REFERENCIAS'!$K$8))&gt;0.00000001,2,IF('DATOS'!O263="No existe",IF(LEN(TRIM('DATOS'!I263&amp;""))=0,0,2),IF('DATOS'!O263="Comparamos",IF(LEN(TRIM('DATOS'!I263&amp;""))=0,1,IF(ISNUMBER('DATOS'!I263),IF(ABS('DATOS'!H263-'DATOS'!I263)&gt;0.00000001,2,0),2)),1)))))),2)</f>
      </c>
      <c r="Q263" s="29">
        <f>IFERROR(IF(N263=0,"",IF(NOT(Y263=1),1,IF('DATOS'!K263="Sin valorar",2,IF('DATOS'!G263=0,1,IF(OR('DATOS'!H263=0,'DATOS'!J263=0),IF(AND(OR('DATOS'!K263="Sin coste documentado",'DATOS'!K263="Incluido en otra partida"),AND(LEN(TRIM('DATOS'!L263&amp;""))&gt;0,TRIM('DATOS'!L263&amp;"")&lt;&gt;"Pendiente",TRIM('DATOS'!L263&amp;"")&lt;&gt;"Por confirmar",TRIM('DATOS'!L263&amp;"")&lt;&gt;"No consta",TRIM('DATOS'!L263&amp;"")&lt;&gt;"Desconocido",TRIM('DATOS'!L263&amp;"")&lt;&gt;"Sin confirmar",TRIM('DATOS'!L263&amp;"")&lt;&gt;"Por decidir",TRIM('DATOS'!L263&amp;"")&lt;&gt;"Por comprobar")),0,1),0))))),2)</f>
      </c>
      <c r="R263" s="29">
        <f>IFERROR(IF(N263=0,"",IF(OR(NOT(AND(LEN(TRIM('DATOS'!D263&amp;""))&gt;0,TRIM('DATOS'!D263&amp;"")&lt;&gt;"Pendiente",TRIM('DATOS'!D263&amp;"")&lt;&gt;"Por confirmar",TRIM('DATOS'!D263&amp;"")&lt;&gt;"No consta",TRIM('DATOS'!D263&amp;"")&lt;&gt;"Desconocido",TRIM('DATOS'!D263&amp;"")&lt;&gt;"Sin confirmar",TRIM('DATOS'!D263&amp;"")&lt;&gt;"Por decidir",TRIM('DATOS'!D263&amp;"")&lt;&gt;"Por comprobar")),NOT(AND(LEN(TRIM('DATOS'!E263&amp;""))&gt;0,TRIM('DATOS'!E263&amp;"")&lt;&gt;"Pendiente",TRIM('DATOS'!E263&amp;"")&lt;&gt;"Por confirmar",TRIM('DATOS'!E263&amp;"")&lt;&gt;"No consta",TRIM('DATOS'!E263&amp;"")&lt;&gt;"Desconocido",TRIM('DATOS'!E263&amp;"")&lt;&gt;"Sin confirmar",TRIM('DATOS'!E263&amp;"")&lt;&gt;"Por decidir",TRIM('DATOS'!E263&amp;"")&lt;&gt;"Por comprobar"))),2,IF('DATOS'!M263="No",2,IF('DATOS'!M263="Sí",0,IF(OR('DATOS'!D263&lt;&gt;'DATOS'!E263,LEN('DATOS'!E263)&gt;300,RIGHT(TRIM('DATOS'!E263),3)="...",RIGHT(TRIM('DATOS'!E263),1)="…"),1,0))))),2)</f>
      </c>
      <c r="S263" s="29">
        <f>IFERROR(IF(N263=0,"",IF('REFERENCIAS'!$Q$8&lt;&gt;1,2,IF(NOT(Y263=1),1,IF(OR(ABS('DATOS'!G263-ROUND('DATOS'!G263,'REFERENCIAS'!$E$8))&gt;0.00000001,ABS('DATOS'!H263-ROUND('DATOS'!H263,'REFERENCIAS'!$H$8))&gt;0.00000001,ABS('DATOS'!J263-ROUND('DATOS'!J263,'REFERENCIAS'!$K$8))&gt;0.00000001,IF(ISNUMBER('DATOS'!I263),ABS('DATOS'!I263-ROUND('DATOS'!I263,'REFERENCIAS'!$H$8))&gt;0.00000001,FALSE)),1,0)))),2)</f>
      </c>
      <c r="T263" s="29">
        <f>IFERROR(IF(N263=0,"",IF(NOT(AND(LEN(TRIM('DATOS'!F263&amp;""))&gt;0,TRIM('DATOS'!F263&amp;"")&lt;&gt;"Pendiente",TRIM('DATOS'!F263&amp;"")&lt;&gt;"Por confirmar",TRIM('DATOS'!F263&amp;"")&lt;&gt;"No consta",TRIM('DATOS'!F263&amp;"")&lt;&gt;"Desconocido",TRIM('DATOS'!F263&amp;"")&lt;&gt;"Sin confirmar",TRIM('DATOS'!F263&amp;"")&lt;&gt;"Por decidir",TRIM('DATOS'!F263&amp;"")&lt;&gt;"Por comprobar")),2,IF(COUNTIFS('REFERENCIAS'!$T$15:$T$34,"ID:"&amp;SUBSTITUTE(SUBSTITUTE(SUBSTITUTE(SUBSTITUTE(UPPER(TRIM('DATOS'!F263&amp;"")),"!","!E"),"*","!A"),"?","!B"),"~","!C"),'REFERENCIAS'!$H$15:$H$34,"&lt;&gt;")&gt;0,0,1))),2)</f>
      </c>
      <c r="U263" s="29" t="str">
        <f>'DATOS'!R263</f>
        <v>ID:</v>
      </c>
      <c r="V263" s="29" t="str">
        <f>'DATOS'!S263</f>
        <v>ID:</v>
      </c>
      <c r="W263" s="29" t="n">
        <f>IF(N263=0,0,COUNTIFS('REFERENCIAS'!$R$15:$R$64,U263))</f>
        <v>0</v>
      </c>
      <c r="X263" s="29" t="n">
        <f>IF(N263=0,0,COUNTIFS('DATOS'!$R$10:$R$509,U263,'DATOS'!$S$10:$S$509,V263))</f>
        <v>0</v>
      </c>
      <c r="Y263" s="29" t="n">
        <f>IF(AND(ISNUMBER('DATOS'!G263),ISNUMBER('DATOS'!H263),ISNUMBER('DATOS'!J263)),1,0)</f>
        <v>0</v>
      </c>
    </row>
    <row r="264" ht="64" customHeight="1">
      <c r="B264" s="26">
        <f>IF(N264=1,255,"")</f>
      </c>
      <c r="C264" s="26">
        <f>IF(AND(N264=1,LEN(TRIM('DATOS'!B264&amp;""))&gt;0),'DATOS'!B264,"")</f>
      </c>
      <c r="D264" s="26">
        <f>IF(AND(N264=1,LEN(TRIM('DATOS'!C264&amp;""))&gt;0),'DATOS'!C264,"")</f>
      </c>
      <c r="E264" s="26">
        <f>IF(NOT(ISNUMBER(P264)),"",IF(P264=2,"ROJO",IF(P264=1,"ÁMBAR","VERDE")))</f>
      </c>
      <c r="F264" s="26">
        <f>IF(NOT(ISNUMBER(Q264)),"",IF(Q264=2,"ROJO",IF(Q264=1,"ÁMBAR","VERDE")))</f>
      </c>
      <c r="G264" s="26">
        <f>IF(NOT(ISNUMBER(R264)),"",IF(R264=2,"ROJO",IF(R264=1,"ÁMBAR","VERDE")))</f>
      </c>
      <c r="H264" s="26">
        <f>IF(NOT(ISNUMBER(S264)),"",IF(S264=2,"ROJO",IF(S264=1,"ÁMBAR","VERDE")))</f>
      </c>
      <c r="I264" s="26">
        <f>IF(NOT(ISNUMBER(T264)),"",IF(T264=2,"ROJO",IF(T264=1,"ÁMBAR","VERDE")))</f>
      </c>
      <c r="J264" s="26">
        <f>IF(NOT(ISNUMBER(O264)),"",IF(O264=2,"ROJO",IF(O264=1,"ÁMBAR","VERDE")))</f>
      </c>
      <c r="K264" s="26">
        <f>IFERROR(IF(AND(N264=1,LEN(TRIM('DATOS'!N264&amp;""))&gt;0),'DATOS'!N264,""),"Hay una entrada con error. Corregimos el dato antes de cerrar la comprobación.")</f>
      </c>
      <c r="L264" s="26">
        <f>IFERROR(IF(N264=0,"",IF(O264&gt;0,"Completamos datos, claves o motivo. ","")&amp;IF(P264&gt;0,"Cotejamos precios e importe. ","")&amp;IF(Q264&gt;0,"Aclaramos el cero. ","")&amp;IF(R264&gt;0,"Comprobamos el texto. ","")&amp;IF(S264&gt;0,"Revisamos decimales visibles. ","")&amp;IF(T264&gt;0,"Confirmamos la unidad.","")),"Hay una entrada con error. Corregimos el dato antes de cerrar la comprobación.")</f>
      </c>
      <c r="N264" s="29" t="n">
        <f>IF(COUNTA('DATOS'!B264:O264)&gt;0,1,0)</f>
        <v>0</v>
      </c>
      <c r="O264" s="29">
        <f>IFERROR(IF(N264=0,"",IF(OR(NOT(AND(LEN(TRIM('DATOS'!B264&amp;""))&gt;0,TRIM('DATOS'!B264&amp;"")&lt;&gt;"Pendiente",TRIM('DATOS'!B264&amp;"")&lt;&gt;"Por confirmar",TRIM('DATOS'!B264&amp;"")&lt;&gt;"No consta",TRIM('DATOS'!B264&amp;"")&lt;&gt;"Desconocido",TRIM('DATOS'!B264&amp;"")&lt;&gt;"Sin confirmar",TRIM('DATOS'!B264&amp;"")&lt;&gt;"Por decidir",TRIM('DATOS'!B264&amp;"")&lt;&gt;"Por comprobar")),NOT(AND(LEN(TRIM('DATOS'!C264&amp;""))&gt;0,TRIM('DATOS'!C264&amp;"")&lt;&gt;"Pendiente",TRIM('DATOS'!C264&amp;"")&lt;&gt;"Por confirmar",TRIM('DATOS'!C264&amp;"")&lt;&gt;"No consta",TRIM('DATOS'!C264&amp;"")&lt;&gt;"Desconocido",TRIM('DATOS'!C264&amp;"")&lt;&gt;"Sin confirmar",TRIM('DATOS'!C264&amp;"")&lt;&gt;"Por decidir",TRIM('DATOS'!C264&amp;"")&lt;&gt;"Por comprobar")),NOT(AND(LEN(TRIM('DATOS'!D264&amp;""))&gt;0,TRIM('DATOS'!D264&amp;"")&lt;&gt;"Pendiente",TRIM('DATOS'!D264&amp;"")&lt;&gt;"Por confirmar",TRIM('DATOS'!D264&amp;"")&lt;&gt;"No consta",TRIM('DATOS'!D264&amp;"")&lt;&gt;"Desconocido",TRIM('DATOS'!D264&amp;"")&lt;&gt;"Sin confirmar",TRIM('DATOS'!D264&amp;"")&lt;&gt;"Por decidir",TRIM('DATOS'!D264&amp;"")&lt;&gt;"Por comprobar")),NOT(AND(LEN(TRIM('DATOS'!E264&amp;""))&gt;0,TRIM('DATOS'!E264&amp;"")&lt;&gt;"Pendiente",TRIM('DATOS'!E264&amp;"")&lt;&gt;"Por confirmar",TRIM('DATOS'!E264&amp;"")&lt;&gt;"No consta",TRIM('DATOS'!E264&amp;"")&lt;&gt;"Desconocido",TRIM('DATOS'!E264&amp;"")&lt;&gt;"Sin confirmar",TRIM('DATOS'!E264&amp;"")&lt;&gt;"Por decidir",TRIM('DATOS'!E264&amp;"")&lt;&gt;"Por comprobar")),NOT(AND(LEN(TRIM('DATOS'!F264&amp;""))&gt;0,TRIM('DATOS'!F264&amp;"")&lt;&gt;"Pendiente",TRIM('DATOS'!F264&amp;"")&lt;&gt;"Por confirmar",TRIM('DATOS'!F264&amp;"")&lt;&gt;"No consta",TRIM('DATOS'!F264&amp;"")&lt;&gt;"Desconocido",TRIM('DATOS'!F264&amp;"")&lt;&gt;"Sin confirmar",TRIM('DATOS'!F264&amp;"")&lt;&gt;"Por decidir",TRIM('DATOS'!F264&amp;"")&lt;&gt;"Por comprobar")),NOT(AND(LEN(TRIM('DATOS'!N264&amp;""))&gt;0,TRIM('DATOS'!N264&amp;"")&lt;&gt;"Pendiente",TRIM('DATOS'!N264&amp;"")&lt;&gt;"Por confirmar",TRIM('DATOS'!N264&amp;"")&lt;&gt;"No consta",TRIM('DATOS'!N264&amp;"")&lt;&gt;"Desconocido",TRIM('DATOS'!N264&amp;"")&lt;&gt;"Sin confirmar",TRIM('DATOS'!N264&amp;"")&lt;&gt;"Por decidir",TRIM('DATOS'!N264&amp;"")&lt;&gt;"Por comprobar")),NOT(Y264=1),W264&lt;&gt;1,X264&gt;1,NOT(OR(LEN(TRIM('DATOS'!K264&amp;""))=0,'DATOS'!K264="Sin valorar",'DATOS'!K264="Sin coste documentado",'DATOS'!K264="Incluido en otra partida",'DATOS'!K264="Por confirmar")),NOT(OR(LEN(TRIM('DATOS'!M264&amp;""))=0,'DATOS'!M264="Sí",'DATOS'!M264="No",'DATOS'!M264="Por confirmar")),NOT(OR(LEN(TRIM('DATOS'!O264&amp;""))=0,'DATOS'!O264="Comparamos",'DATOS'!O264="No existe",'DATOS'!O264="Por confirmar"))),2,IF(AND(OR('DATOS'!G264&lt;0,'DATOS'!H264&lt;0,'DATOS'!J264&lt;0),NOT(AND(LEN(TRIM('DATOS'!L264&amp;""))&gt;0,TRIM('DATOS'!L264&amp;"")&lt;&gt;"Pendiente",TRIM('DATOS'!L264&amp;"")&lt;&gt;"Por confirmar",TRIM('DATOS'!L264&amp;"")&lt;&gt;"No consta",TRIM('DATOS'!L264&amp;"")&lt;&gt;"Desconocido",TRIM('DATOS'!L264&amp;"")&lt;&gt;"Sin confirmar",TRIM('DATOS'!L264&amp;"")&lt;&gt;"Por decidir",TRIM('DATOS'!L264&amp;"")&lt;&gt;"Por comprobar"))),1,0))),2)</f>
      </c>
      <c r="P264" s="29">
        <f>IFERROR(IF(N264=0,"",IF(NOT(Y264=1),1,IF('REFERENCIAS'!$Q$8&lt;&gt;1,2,IF(ABS('DATOS'!J264-ROUND('DATOS'!G264*'DATOS'!H264,'REFERENCIAS'!$K$8))&gt;0.00000001,2,IF('DATOS'!O264="No existe",IF(LEN(TRIM('DATOS'!I264&amp;""))=0,0,2),IF('DATOS'!O264="Comparamos",IF(LEN(TRIM('DATOS'!I264&amp;""))=0,1,IF(ISNUMBER('DATOS'!I264),IF(ABS('DATOS'!H264-'DATOS'!I264)&gt;0.00000001,2,0),2)),1)))))),2)</f>
      </c>
      <c r="Q264" s="29">
        <f>IFERROR(IF(N264=0,"",IF(NOT(Y264=1),1,IF('DATOS'!K264="Sin valorar",2,IF('DATOS'!G264=0,1,IF(OR('DATOS'!H264=0,'DATOS'!J264=0),IF(AND(OR('DATOS'!K264="Sin coste documentado",'DATOS'!K264="Incluido en otra partida"),AND(LEN(TRIM('DATOS'!L264&amp;""))&gt;0,TRIM('DATOS'!L264&amp;"")&lt;&gt;"Pendiente",TRIM('DATOS'!L264&amp;"")&lt;&gt;"Por confirmar",TRIM('DATOS'!L264&amp;"")&lt;&gt;"No consta",TRIM('DATOS'!L264&amp;"")&lt;&gt;"Desconocido",TRIM('DATOS'!L264&amp;"")&lt;&gt;"Sin confirmar",TRIM('DATOS'!L264&amp;"")&lt;&gt;"Por decidir",TRIM('DATOS'!L264&amp;"")&lt;&gt;"Por comprobar")),0,1),0))))),2)</f>
      </c>
      <c r="R264" s="29">
        <f>IFERROR(IF(N264=0,"",IF(OR(NOT(AND(LEN(TRIM('DATOS'!D264&amp;""))&gt;0,TRIM('DATOS'!D264&amp;"")&lt;&gt;"Pendiente",TRIM('DATOS'!D264&amp;"")&lt;&gt;"Por confirmar",TRIM('DATOS'!D264&amp;"")&lt;&gt;"No consta",TRIM('DATOS'!D264&amp;"")&lt;&gt;"Desconocido",TRIM('DATOS'!D264&amp;"")&lt;&gt;"Sin confirmar",TRIM('DATOS'!D264&amp;"")&lt;&gt;"Por decidir",TRIM('DATOS'!D264&amp;"")&lt;&gt;"Por comprobar")),NOT(AND(LEN(TRIM('DATOS'!E264&amp;""))&gt;0,TRIM('DATOS'!E264&amp;"")&lt;&gt;"Pendiente",TRIM('DATOS'!E264&amp;"")&lt;&gt;"Por confirmar",TRIM('DATOS'!E264&amp;"")&lt;&gt;"No consta",TRIM('DATOS'!E264&amp;"")&lt;&gt;"Desconocido",TRIM('DATOS'!E264&amp;"")&lt;&gt;"Sin confirmar",TRIM('DATOS'!E264&amp;"")&lt;&gt;"Por decidir",TRIM('DATOS'!E264&amp;"")&lt;&gt;"Por comprobar"))),2,IF('DATOS'!M264="No",2,IF('DATOS'!M264="Sí",0,IF(OR('DATOS'!D264&lt;&gt;'DATOS'!E264,LEN('DATOS'!E264)&gt;300,RIGHT(TRIM('DATOS'!E264),3)="...",RIGHT(TRIM('DATOS'!E264),1)="…"),1,0))))),2)</f>
      </c>
      <c r="S264" s="29">
        <f>IFERROR(IF(N264=0,"",IF('REFERENCIAS'!$Q$8&lt;&gt;1,2,IF(NOT(Y264=1),1,IF(OR(ABS('DATOS'!G264-ROUND('DATOS'!G264,'REFERENCIAS'!$E$8))&gt;0.00000001,ABS('DATOS'!H264-ROUND('DATOS'!H264,'REFERENCIAS'!$H$8))&gt;0.00000001,ABS('DATOS'!J264-ROUND('DATOS'!J264,'REFERENCIAS'!$K$8))&gt;0.00000001,IF(ISNUMBER('DATOS'!I264),ABS('DATOS'!I264-ROUND('DATOS'!I264,'REFERENCIAS'!$H$8))&gt;0.00000001,FALSE)),1,0)))),2)</f>
      </c>
      <c r="T264" s="29">
        <f>IFERROR(IF(N264=0,"",IF(NOT(AND(LEN(TRIM('DATOS'!F264&amp;""))&gt;0,TRIM('DATOS'!F264&amp;"")&lt;&gt;"Pendiente",TRIM('DATOS'!F264&amp;"")&lt;&gt;"Por confirmar",TRIM('DATOS'!F264&amp;"")&lt;&gt;"No consta",TRIM('DATOS'!F264&amp;"")&lt;&gt;"Desconocido",TRIM('DATOS'!F264&amp;"")&lt;&gt;"Sin confirmar",TRIM('DATOS'!F264&amp;"")&lt;&gt;"Por decidir",TRIM('DATOS'!F264&amp;"")&lt;&gt;"Por comprobar")),2,IF(COUNTIFS('REFERENCIAS'!$T$15:$T$34,"ID:"&amp;SUBSTITUTE(SUBSTITUTE(SUBSTITUTE(SUBSTITUTE(UPPER(TRIM('DATOS'!F264&amp;"")),"!","!E"),"*","!A"),"?","!B"),"~","!C"),'REFERENCIAS'!$H$15:$H$34,"&lt;&gt;")&gt;0,0,1))),2)</f>
      </c>
      <c r="U264" s="29" t="str">
        <f>'DATOS'!R264</f>
        <v>ID:</v>
      </c>
      <c r="V264" s="29" t="str">
        <f>'DATOS'!S264</f>
        <v>ID:</v>
      </c>
      <c r="W264" s="29" t="n">
        <f>IF(N264=0,0,COUNTIFS('REFERENCIAS'!$R$15:$R$64,U264))</f>
        <v>0</v>
      </c>
      <c r="X264" s="29" t="n">
        <f>IF(N264=0,0,COUNTIFS('DATOS'!$R$10:$R$509,U264,'DATOS'!$S$10:$S$509,V264))</f>
        <v>0</v>
      </c>
      <c r="Y264" s="29" t="n">
        <f>IF(AND(ISNUMBER('DATOS'!G264),ISNUMBER('DATOS'!H264),ISNUMBER('DATOS'!J264)),1,0)</f>
        <v>0</v>
      </c>
    </row>
    <row r="265" ht="64" customHeight="1">
      <c r="B265" s="26">
        <f>IF(N265=1,256,"")</f>
      </c>
      <c r="C265" s="26">
        <f>IF(AND(N265=1,LEN(TRIM('DATOS'!B265&amp;""))&gt;0),'DATOS'!B265,"")</f>
      </c>
      <c r="D265" s="26">
        <f>IF(AND(N265=1,LEN(TRIM('DATOS'!C265&amp;""))&gt;0),'DATOS'!C265,"")</f>
      </c>
      <c r="E265" s="26">
        <f>IF(NOT(ISNUMBER(P265)),"",IF(P265=2,"ROJO",IF(P265=1,"ÁMBAR","VERDE")))</f>
      </c>
      <c r="F265" s="26">
        <f>IF(NOT(ISNUMBER(Q265)),"",IF(Q265=2,"ROJO",IF(Q265=1,"ÁMBAR","VERDE")))</f>
      </c>
      <c r="G265" s="26">
        <f>IF(NOT(ISNUMBER(R265)),"",IF(R265=2,"ROJO",IF(R265=1,"ÁMBAR","VERDE")))</f>
      </c>
      <c r="H265" s="26">
        <f>IF(NOT(ISNUMBER(S265)),"",IF(S265=2,"ROJO",IF(S265=1,"ÁMBAR","VERDE")))</f>
      </c>
      <c r="I265" s="26">
        <f>IF(NOT(ISNUMBER(T265)),"",IF(T265=2,"ROJO",IF(T265=1,"ÁMBAR","VERDE")))</f>
      </c>
      <c r="J265" s="26">
        <f>IF(NOT(ISNUMBER(O265)),"",IF(O265=2,"ROJO",IF(O265=1,"ÁMBAR","VERDE")))</f>
      </c>
      <c r="K265" s="26">
        <f>IFERROR(IF(AND(N265=1,LEN(TRIM('DATOS'!N265&amp;""))&gt;0),'DATOS'!N265,""),"Hay una entrada con error. Corregimos el dato antes de cerrar la comprobación.")</f>
      </c>
      <c r="L265" s="26">
        <f>IFERROR(IF(N265=0,"",IF(O265&gt;0,"Completamos datos, claves o motivo. ","")&amp;IF(P265&gt;0,"Cotejamos precios e importe. ","")&amp;IF(Q265&gt;0,"Aclaramos el cero. ","")&amp;IF(R265&gt;0,"Comprobamos el texto. ","")&amp;IF(S265&gt;0,"Revisamos decimales visibles. ","")&amp;IF(T265&gt;0,"Confirmamos la unidad.","")),"Hay una entrada con error. Corregimos el dato antes de cerrar la comprobación.")</f>
      </c>
      <c r="N265" s="29" t="n">
        <f>IF(COUNTA('DATOS'!B265:O265)&gt;0,1,0)</f>
        <v>0</v>
      </c>
      <c r="O265" s="29">
        <f>IFERROR(IF(N265=0,"",IF(OR(NOT(AND(LEN(TRIM('DATOS'!B265&amp;""))&gt;0,TRIM('DATOS'!B265&amp;"")&lt;&gt;"Pendiente",TRIM('DATOS'!B265&amp;"")&lt;&gt;"Por confirmar",TRIM('DATOS'!B265&amp;"")&lt;&gt;"No consta",TRIM('DATOS'!B265&amp;"")&lt;&gt;"Desconocido",TRIM('DATOS'!B265&amp;"")&lt;&gt;"Sin confirmar",TRIM('DATOS'!B265&amp;"")&lt;&gt;"Por decidir",TRIM('DATOS'!B265&amp;"")&lt;&gt;"Por comprobar")),NOT(AND(LEN(TRIM('DATOS'!C265&amp;""))&gt;0,TRIM('DATOS'!C265&amp;"")&lt;&gt;"Pendiente",TRIM('DATOS'!C265&amp;"")&lt;&gt;"Por confirmar",TRIM('DATOS'!C265&amp;"")&lt;&gt;"No consta",TRIM('DATOS'!C265&amp;"")&lt;&gt;"Desconocido",TRIM('DATOS'!C265&amp;"")&lt;&gt;"Sin confirmar",TRIM('DATOS'!C265&amp;"")&lt;&gt;"Por decidir",TRIM('DATOS'!C265&amp;"")&lt;&gt;"Por comprobar")),NOT(AND(LEN(TRIM('DATOS'!D265&amp;""))&gt;0,TRIM('DATOS'!D265&amp;"")&lt;&gt;"Pendiente",TRIM('DATOS'!D265&amp;"")&lt;&gt;"Por confirmar",TRIM('DATOS'!D265&amp;"")&lt;&gt;"No consta",TRIM('DATOS'!D265&amp;"")&lt;&gt;"Desconocido",TRIM('DATOS'!D265&amp;"")&lt;&gt;"Sin confirmar",TRIM('DATOS'!D265&amp;"")&lt;&gt;"Por decidir",TRIM('DATOS'!D265&amp;"")&lt;&gt;"Por comprobar")),NOT(AND(LEN(TRIM('DATOS'!E265&amp;""))&gt;0,TRIM('DATOS'!E265&amp;"")&lt;&gt;"Pendiente",TRIM('DATOS'!E265&amp;"")&lt;&gt;"Por confirmar",TRIM('DATOS'!E265&amp;"")&lt;&gt;"No consta",TRIM('DATOS'!E265&amp;"")&lt;&gt;"Desconocido",TRIM('DATOS'!E265&amp;"")&lt;&gt;"Sin confirmar",TRIM('DATOS'!E265&amp;"")&lt;&gt;"Por decidir",TRIM('DATOS'!E265&amp;"")&lt;&gt;"Por comprobar")),NOT(AND(LEN(TRIM('DATOS'!F265&amp;""))&gt;0,TRIM('DATOS'!F265&amp;"")&lt;&gt;"Pendiente",TRIM('DATOS'!F265&amp;"")&lt;&gt;"Por confirmar",TRIM('DATOS'!F265&amp;"")&lt;&gt;"No consta",TRIM('DATOS'!F265&amp;"")&lt;&gt;"Desconocido",TRIM('DATOS'!F265&amp;"")&lt;&gt;"Sin confirmar",TRIM('DATOS'!F265&amp;"")&lt;&gt;"Por decidir",TRIM('DATOS'!F265&amp;"")&lt;&gt;"Por comprobar")),NOT(AND(LEN(TRIM('DATOS'!N265&amp;""))&gt;0,TRIM('DATOS'!N265&amp;"")&lt;&gt;"Pendiente",TRIM('DATOS'!N265&amp;"")&lt;&gt;"Por confirmar",TRIM('DATOS'!N265&amp;"")&lt;&gt;"No consta",TRIM('DATOS'!N265&amp;"")&lt;&gt;"Desconocido",TRIM('DATOS'!N265&amp;"")&lt;&gt;"Sin confirmar",TRIM('DATOS'!N265&amp;"")&lt;&gt;"Por decidir",TRIM('DATOS'!N265&amp;"")&lt;&gt;"Por comprobar")),NOT(Y265=1),W265&lt;&gt;1,X265&gt;1,NOT(OR(LEN(TRIM('DATOS'!K265&amp;""))=0,'DATOS'!K265="Sin valorar",'DATOS'!K265="Sin coste documentado",'DATOS'!K265="Incluido en otra partida",'DATOS'!K265="Por confirmar")),NOT(OR(LEN(TRIM('DATOS'!M265&amp;""))=0,'DATOS'!M265="Sí",'DATOS'!M265="No",'DATOS'!M265="Por confirmar")),NOT(OR(LEN(TRIM('DATOS'!O265&amp;""))=0,'DATOS'!O265="Comparamos",'DATOS'!O265="No existe",'DATOS'!O265="Por confirmar"))),2,IF(AND(OR('DATOS'!G265&lt;0,'DATOS'!H265&lt;0,'DATOS'!J265&lt;0),NOT(AND(LEN(TRIM('DATOS'!L265&amp;""))&gt;0,TRIM('DATOS'!L265&amp;"")&lt;&gt;"Pendiente",TRIM('DATOS'!L265&amp;"")&lt;&gt;"Por confirmar",TRIM('DATOS'!L265&amp;"")&lt;&gt;"No consta",TRIM('DATOS'!L265&amp;"")&lt;&gt;"Desconocido",TRIM('DATOS'!L265&amp;"")&lt;&gt;"Sin confirmar",TRIM('DATOS'!L265&amp;"")&lt;&gt;"Por decidir",TRIM('DATOS'!L265&amp;"")&lt;&gt;"Por comprobar"))),1,0))),2)</f>
      </c>
      <c r="P265" s="29">
        <f>IFERROR(IF(N265=0,"",IF(NOT(Y265=1),1,IF('REFERENCIAS'!$Q$8&lt;&gt;1,2,IF(ABS('DATOS'!J265-ROUND('DATOS'!G265*'DATOS'!H265,'REFERENCIAS'!$K$8))&gt;0.00000001,2,IF('DATOS'!O265="No existe",IF(LEN(TRIM('DATOS'!I265&amp;""))=0,0,2),IF('DATOS'!O265="Comparamos",IF(LEN(TRIM('DATOS'!I265&amp;""))=0,1,IF(ISNUMBER('DATOS'!I265),IF(ABS('DATOS'!H265-'DATOS'!I265)&gt;0.00000001,2,0),2)),1)))))),2)</f>
      </c>
      <c r="Q265" s="29">
        <f>IFERROR(IF(N265=0,"",IF(NOT(Y265=1),1,IF('DATOS'!K265="Sin valorar",2,IF('DATOS'!G265=0,1,IF(OR('DATOS'!H265=0,'DATOS'!J265=0),IF(AND(OR('DATOS'!K265="Sin coste documentado",'DATOS'!K265="Incluido en otra partida"),AND(LEN(TRIM('DATOS'!L265&amp;""))&gt;0,TRIM('DATOS'!L265&amp;"")&lt;&gt;"Pendiente",TRIM('DATOS'!L265&amp;"")&lt;&gt;"Por confirmar",TRIM('DATOS'!L265&amp;"")&lt;&gt;"No consta",TRIM('DATOS'!L265&amp;"")&lt;&gt;"Desconocido",TRIM('DATOS'!L265&amp;"")&lt;&gt;"Sin confirmar",TRIM('DATOS'!L265&amp;"")&lt;&gt;"Por decidir",TRIM('DATOS'!L265&amp;"")&lt;&gt;"Por comprobar")),0,1),0))))),2)</f>
      </c>
      <c r="R265" s="29">
        <f>IFERROR(IF(N265=0,"",IF(OR(NOT(AND(LEN(TRIM('DATOS'!D265&amp;""))&gt;0,TRIM('DATOS'!D265&amp;"")&lt;&gt;"Pendiente",TRIM('DATOS'!D265&amp;"")&lt;&gt;"Por confirmar",TRIM('DATOS'!D265&amp;"")&lt;&gt;"No consta",TRIM('DATOS'!D265&amp;"")&lt;&gt;"Desconocido",TRIM('DATOS'!D265&amp;"")&lt;&gt;"Sin confirmar",TRIM('DATOS'!D265&amp;"")&lt;&gt;"Por decidir",TRIM('DATOS'!D265&amp;"")&lt;&gt;"Por comprobar")),NOT(AND(LEN(TRIM('DATOS'!E265&amp;""))&gt;0,TRIM('DATOS'!E265&amp;"")&lt;&gt;"Pendiente",TRIM('DATOS'!E265&amp;"")&lt;&gt;"Por confirmar",TRIM('DATOS'!E265&amp;"")&lt;&gt;"No consta",TRIM('DATOS'!E265&amp;"")&lt;&gt;"Desconocido",TRIM('DATOS'!E265&amp;"")&lt;&gt;"Sin confirmar",TRIM('DATOS'!E265&amp;"")&lt;&gt;"Por decidir",TRIM('DATOS'!E265&amp;"")&lt;&gt;"Por comprobar"))),2,IF('DATOS'!M265="No",2,IF('DATOS'!M265="Sí",0,IF(OR('DATOS'!D265&lt;&gt;'DATOS'!E265,LEN('DATOS'!E265)&gt;300,RIGHT(TRIM('DATOS'!E265),3)="...",RIGHT(TRIM('DATOS'!E265),1)="…"),1,0))))),2)</f>
      </c>
      <c r="S265" s="29">
        <f>IFERROR(IF(N265=0,"",IF('REFERENCIAS'!$Q$8&lt;&gt;1,2,IF(NOT(Y265=1),1,IF(OR(ABS('DATOS'!G265-ROUND('DATOS'!G265,'REFERENCIAS'!$E$8))&gt;0.00000001,ABS('DATOS'!H265-ROUND('DATOS'!H265,'REFERENCIAS'!$H$8))&gt;0.00000001,ABS('DATOS'!J265-ROUND('DATOS'!J265,'REFERENCIAS'!$K$8))&gt;0.00000001,IF(ISNUMBER('DATOS'!I265),ABS('DATOS'!I265-ROUND('DATOS'!I265,'REFERENCIAS'!$H$8))&gt;0.00000001,FALSE)),1,0)))),2)</f>
      </c>
      <c r="T265" s="29">
        <f>IFERROR(IF(N265=0,"",IF(NOT(AND(LEN(TRIM('DATOS'!F265&amp;""))&gt;0,TRIM('DATOS'!F265&amp;"")&lt;&gt;"Pendiente",TRIM('DATOS'!F265&amp;"")&lt;&gt;"Por confirmar",TRIM('DATOS'!F265&amp;"")&lt;&gt;"No consta",TRIM('DATOS'!F265&amp;"")&lt;&gt;"Desconocido",TRIM('DATOS'!F265&amp;"")&lt;&gt;"Sin confirmar",TRIM('DATOS'!F265&amp;"")&lt;&gt;"Por decidir",TRIM('DATOS'!F265&amp;"")&lt;&gt;"Por comprobar")),2,IF(COUNTIFS('REFERENCIAS'!$T$15:$T$34,"ID:"&amp;SUBSTITUTE(SUBSTITUTE(SUBSTITUTE(SUBSTITUTE(UPPER(TRIM('DATOS'!F265&amp;"")),"!","!E"),"*","!A"),"?","!B"),"~","!C"),'REFERENCIAS'!$H$15:$H$34,"&lt;&gt;")&gt;0,0,1))),2)</f>
      </c>
      <c r="U265" s="29" t="str">
        <f>'DATOS'!R265</f>
        <v>ID:</v>
      </c>
      <c r="V265" s="29" t="str">
        <f>'DATOS'!S265</f>
        <v>ID:</v>
      </c>
      <c r="W265" s="29" t="n">
        <f>IF(N265=0,0,COUNTIFS('REFERENCIAS'!$R$15:$R$64,U265))</f>
        <v>0</v>
      </c>
      <c r="X265" s="29" t="n">
        <f>IF(N265=0,0,COUNTIFS('DATOS'!$R$10:$R$509,U265,'DATOS'!$S$10:$S$509,V265))</f>
        <v>0</v>
      </c>
      <c r="Y265" s="29" t="n">
        <f>IF(AND(ISNUMBER('DATOS'!G265),ISNUMBER('DATOS'!H265),ISNUMBER('DATOS'!J265)),1,0)</f>
        <v>0</v>
      </c>
    </row>
    <row r="266" ht="64" customHeight="1">
      <c r="B266" s="26">
        <f>IF(N266=1,257,"")</f>
      </c>
      <c r="C266" s="26">
        <f>IF(AND(N266=1,LEN(TRIM('DATOS'!B266&amp;""))&gt;0),'DATOS'!B266,"")</f>
      </c>
      <c r="D266" s="26">
        <f>IF(AND(N266=1,LEN(TRIM('DATOS'!C266&amp;""))&gt;0),'DATOS'!C266,"")</f>
      </c>
      <c r="E266" s="26">
        <f>IF(NOT(ISNUMBER(P266)),"",IF(P266=2,"ROJO",IF(P266=1,"ÁMBAR","VERDE")))</f>
      </c>
      <c r="F266" s="26">
        <f>IF(NOT(ISNUMBER(Q266)),"",IF(Q266=2,"ROJO",IF(Q266=1,"ÁMBAR","VERDE")))</f>
      </c>
      <c r="G266" s="26">
        <f>IF(NOT(ISNUMBER(R266)),"",IF(R266=2,"ROJO",IF(R266=1,"ÁMBAR","VERDE")))</f>
      </c>
      <c r="H266" s="26">
        <f>IF(NOT(ISNUMBER(S266)),"",IF(S266=2,"ROJO",IF(S266=1,"ÁMBAR","VERDE")))</f>
      </c>
      <c r="I266" s="26">
        <f>IF(NOT(ISNUMBER(T266)),"",IF(T266=2,"ROJO",IF(T266=1,"ÁMBAR","VERDE")))</f>
      </c>
      <c r="J266" s="26">
        <f>IF(NOT(ISNUMBER(O266)),"",IF(O266=2,"ROJO",IF(O266=1,"ÁMBAR","VERDE")))</f>
      </c>
      <c r="K266" s="26">
        <f>IFERROR(IF(AND(N266=1,LEN(TRIM('DATOS'!N266&amp;""))&gt;0),'DATOS'!N266,""),"Hay una entrada con error. Corregimos el dato antes de cerrar la comprobación.")</f>
      </c>
      <c r="L266" s="26">
        <f>IFERROR(IF(N266=0,"",IF(O266&gt;0,"Completamos datos, claves o motivo. ","")&amp;IF(P266&gt;0,"Cotejamos precios e importe. ","")&amp;IF(Q266&gt;0,"Aclaramos el cero. ","")&amp;IF(R266&gt;0,"Comprobamos el texto. ","")&amp;IF(S266&gt;0,"Revisamos decimales visibles. ","")&amp;IF(T266&gt;0,"Confirmamos la unidad.","")),"Hay una entrada con error. Corregimos el dato antes de cerrar la comprobación.")</f>
      </c>
      <c r="N266" s="29" t="n">
        <f>IF(COUNTA('DATOS'!B266:O266)&gt;0,1,0)</f>
        <v>0</v>
      </c>
      <c r="O266" s="29">
        <f>IFERROR(IF(N266=0,"",IF(OR(NOT(AND(LEN(TRIM('DATOS'!B266&amp;""))&gt;0,TRIM('DATOS'!B266&amp;"")&lt;&gt;"Pendiente",TRIM('DATOS'!B266&amp;"")&lt;&gt;"Por confirmar",TRIM('DATOS'!B266&amp;"")&lt;&gt;"No consta",TRIM('DATOS'!B266&amp;"")&lt;&gt;"Desconocido",TRIM('DATOS'!B266&amp;"")&lt;&gt;"Sin confirmar",TRIM('DATOS'!B266&amp;"")&lt;&gt;"Por decidir",TRIM('DATOS'!B266&amp;"")&lt;&gt;"Por comprobar")),NOT(AND(LEN(TRIM('DATOS'!C266&amp;""))&gt;0,TRIM('DATOS'!C266&amp;"")&lt;&gt;"Pendiente",TRIM('DATOS'!C266&amp;"")&lt;&gt;"Por confirmar",TRIM('DATOS'!C266&amp;"")&lt;&gt;"No consta",TRIM('DATOS'!C266&amp;"")&lt;&gt;"Desconocido",TRIM('DATOS'!C266&amp;"")&lt;&gt;"Sin confirmar",TRIM('DATOS'!C266&amp;"")&lt;&gt;"Por decidir",TRIM('DATOS'!C266&amp;"")&lt;&gt;"Por comprobar")),NOT(AND(LEN(TRIM('DATOS'!D266&amp;""))&gt;0,TRIM('DATOS'!D266&amp;"")&lt;&gt;"Pendiente",TRIM('DATOS'!D266&amp;"")&lt;&gt;"Por confirmar",TRIM('DATOS'!D266&amp;"")&lt;&gt;"No consta",TRIM('DATOS'!D266&amp;"")&lt;&gt;"Desconocido",TRIM('DATOS'!D266&amp;"")&lt;&gt;"Sin confirmar",TRIM('DATOS'!D266&amp;"")&lt;&gt;"Por decidir",TRIM('DATOS'!D266&amp;"")&lt;&gt;"Por comprobar")),NOT(AND(LEN(TRIM('DATOS'!E266&amp;""))&gt;0,TRIM('DATOS'!E266&amp;"")&lt;&gt;"Pendiente",TRIM('DATOS'!E266&amp;"")&lt;&gt;"Por confirmar",TRIM('DATOS'!E266&amp;"")&lt;&gt;"No consta",TRIM('DATOS'!E266&amp;"")&lt;&gt;"Desconocido",TRIM('DATOS'!E266&amp;"")&lt;&gt;"Sin confirmar",TRIM('DATOS'!E266&amp;"")&lt;&gt;"Por decidir",TRIM('DATOS'!E266&amp;"")&lt;&gt;"Por comprobar")),NOT(AND(LEN(TRIM('DATOS'!F266&amp;""))&gt;0,TRIM('DATOS'!F266&amp;"")&lt;&gt;"Pendiente",TRIM('DATOS'!F266&amp;"")&lt;&gt;"Por confirmar",TRIM('DATOS'!F266&amp;"")&lt;&gt;"No consta",TRIM('DATOS'!F266&amp;"")&lt;&gt;"Desconocido",TRIM('DATOS'!F266&amp;"")&lt;&gt;"Sin confirmar",TRIM('DATOS'!F266&amp;"")&lt;&gt;"Por decidir",TRIM('DATOS'!F266&amp;"")&lt;&gt;"Por comprobar")),NOT(AND(LEN(TRIM('DATOS'!N266&amp;""))&gt;0,TRIM('DATOS'!N266&amp;"")&lt;&gt;"Pendiente",TRIM('DATOS'!N266&amp;"")&lt;&gt;"Por confirmar",TRIM('DATOS'!N266&amp;"")&lt;&gt;"No consta",TRIM('DATOS'!N266&amp;"")&lt;&gt;"Desconocido",TRIM('DATOS'!N266&amp;"")&lt;&gt;"Sin confirmar",TRIM('DATOS'!N266&amp;"")&lt;&gt;"Por decidir",TRIM('DATOS'!N266&amp;"")&lt;&gt;"Por comprobar")),NOT(Y266=1),W266&lt;&gt;1,X266&gt;1,NOT(OR(LEN(TRIM('DATOS'!K266&amp;""))=0,'DATOS'!K266="Sin valorar",'DATOS'!K266="Sin coste documentado",'DATOS'!K266="Incluido en otra partida",'DATOS'!K266="Por confirmar")),NOT(OR(LEN(TRIM('DATOS'!M266&amp;""))=0,'DATOS'!M266="Sí",'DATOS'!M266="No",'DATOS'!M266="Por confirmar")),NOT(OR(LEN(TRIM('DATOS'!O266&amp;""))=0,'DATOS'!O266="Comparamos",'DATOS'!O266="No existe",'DATOS'!O266="Por confirmar"))),2,IF(AND(OR('DATOS'!G266&lt;0,'DATOS'!H266&lt;0,'DATOS'!J266&lt;0),NOT(AND(LEN(TRIM('DATOS'!L266&amp;""))&gt;0,TRIM('DATOS'!L266&amp;"")&lt;&gt;"Pendiente",TRIM('DATOS'!L266&amp;"")&lt;&gt;"Por confirmar",TRIM('DATOS'!L266&amp;"")&lt;&gt;"No consta",TRIM('DATOS'!L266&amp;"")&lt;&gt;"Desconocido",TRIM('DATOS'!L266&amp;"")&lt;&gt;"Sin confirmar",TRIM('DATOS'!L266&amp;"")&lt;&gt;"Por decidir",TRIM('DATOS'!L266&amp;"")&lt;&gt;"Por comprobar"))),1,0))),2)</f>
      </c>
      <c r="P266" s="29">
        <f>IFERROR(IF(N266=0,"",IF(NOT(Y266=1),1,IF('REFERENCIAS'!$Q$8&lt;&gt;1,2,IF(ABS('DATOS'!J266-ROUND('DATOS'!G266*'DATOS'!H266,'REFERENCIAS'!$K$8))&gt;0.00000001,2,IF('DATOS'!O266="No existe",IF(LEN(TRIM('DATOS'!I266&amp;""))=0,0,2),IF('DATOS'!O266="Comparamos",IF(LEN(TRIM('DATOS'!I266&amp;""))=0,1,IF(ISNUMBER('DATOS'!I266),IF(ABS('DATOS'!H266-'DATOS'!I266)&gt;0.00000001,2,0),2)),1)))))),2)</f>
      </c>
      <c r="Q266" s="29">
        <f>IFERROR(IF(N266=0,"",IF(NOT(Y266=1),1,IF('DATOS'!K266="Sin valorar",2,IF('DATOS'!G266=0,1,IF(OR('DATOS'!H266=0,'DATOS'!J266=0),IF(AND(OR('DATOS'!K266="Sin coste documentado",'DATOS'!K266="Incluido en otra partida"),AND(LEN(TRIM('DATOS'!L266&amp;""))&gt;0,TRIM('DATOS'!L266&amp;"")&lt;&gt;"Pendiente",TRIM('DATOS'!L266&amp;"")&lt;&gt;"Por confirmar",TRIM('DATOS'!L266&amp;"")&lt;&gt;"No consta",TRIM('DATOS'!L266&amp;"")&lt;&gt;"Desconocido",TRIM('DATOS'!L266&amp;"")&lt;&gt;"Sin confirmar",TRIM('DATOS'!L266&amp;"")&lt;&gt;"Por decidir",TRIM('DATOS'!L266&amp;"")&lt;&gt;"Por comprobar")),0,1),0))))),2)</f>
      </c>
      <c r="R266" s="29">
        <f>IFERROR(IF(N266=0,"",IF(OR(NOT(AND(LEN(TRIM('DATOS'!D266&amp;""))&gt;0,TRIM('DATOS'!D266&amp;"")&lt;&gt;"Pendiente",TRIM('DATOS'!D266&amp;"")&lt;&gt;"Por confirmar",TRIM('DATOS'!D266&amp;"")&lt;&gt;"No consta",TRIM('DATOS'!D266&amp;"")&lt;&gt;"Desconocido",TRIM('DATOS'!D266&amp;"")&lt;&gt;"Sin confirmar",TRIM('DATOS'!D266&amp;"")&lt;&gt;"Por decidir",TRIM('DATOS'!D266&amp;"")&lt;&gt;"Por comprobar")),NOT(AND(LEN(TRIM('DATOS'!E266&amp;""))&gt;0,TRIM('DATOS'!E266&amp;"")&lt;&gt;"Pendiente",TRIM('DATOS'!E266&amp;"")&lt;&gt;"Por confirmar",TRIM('DATOS'!E266&amp;"")&lt;&gt;"No consta",TRIM('DATOS'!E266&amp;"")&lt;&gt;"Desconocido",TRIM('DATOS'!E266&amp;"")&lt;&gt;"Sin confirmar",TRIM('DATOS'!E266&amp;"")&lt;&gt;"Por decidir",TRIM('DATOS'!E266&amp;"")&lt;&gt;"Por comprobar"))),2,IF('DATOS'!M266="No",2,IF('DATOS'!M266="Sí",0,IF(OR('DATOS'!D266&lt;&gt;'DATOS'!E266,LEN('DATOS'!E266)&gt;300,RIGHT(TRIM('DATOS'!E266),3)="...",RIGHT(TRIM('DATOS'!E266),1)="…"),1,0))))),2)</f>
      </c>
      <c r="S266" s="29">
        <f>IFERROR(IF(N266=0,"",IF('REFERENCIAS'!$Q$8&lt;&gt;1,2,IF(NOT(Y266=1),1,IF(OR(ABS('DATOS'!G266-ROUND('DATOS'!G266,'REFERENCIAS'!$E$8))&gt;0.00000001,ABS('DATOS'!H266-ROUND('DATOS'!H266,'REFERENCIAS'!$H$8))&gt;0.00000001,ABS('DATOS'!J266-ROUND('DATOS'!J266,'REFERENCIAS'!$K$8))&gt;0.00000001,IF(ISNUMBER('DATOS'!I266),ABS('DATOS'!I266-ROUND('DATOS'!I266,'REFERENCIAS'!$H$8))&gt;0.00000001,FALSE)),1,0)))),2)</f>
      </c>
      <c r="T266" s="29">
        <f>IFERROR(IF(N266=0,"",IF(NOT(AND(LEN(TRIM('DATOS'!F266&amp;""))&gt;0,TRIM('DATOS'!F266&amp;"")&lt;&gt;"Pendiente",TRIM('DATOS'!F266&amp;"")&lt;&gt;"Por confirmar",TRIM('DATOS'!F266&amp;"")&lt;&gt;"No consta",TRIM('DATOS'!F266&amp;"")&lt;&gt;"Desconocido",TRIM('DATOS'!F266&amp;"")&lt;&gt;"Sin confirmar",TRIM('DATOS'!F266&amp;"")&lt;&gt;"Por decidir",TRIM('DATOS'!F266&amp;"")&lt;&gt;"Por comprobar")),2,IF(COUNTIFS('REFERENCIAS'!$T$15:$T$34,"ID:"&amp;SUBSTITUTE(SUBSTITUTE(SUBSTITUTE(SUBSTITUTE(UPPER(TRIM('DATOS'!F266&amp;"")),"!","!E"),"*","!A"),"?","!B"),"~","!C"),'REFERENCIAS'!$H$15:$H$34,"&lt;&gt;")&gt;0,0,1))),2)</f>
      </c>
      <c r="U266" s="29" t="str">
        <f>'DATOS'!R266</f>
        <v>ID:</v>
      </c>
      <c r="V266" s="29" t="str">
        <f>'DATOS'!S266</f>
        <v>ID:</v>
      </c>
      <c r="W266" s="29" t="n">
        <f>IF(N266=0,0,COUNTIFS('REFERENCIAS'!$R$15:$R$64,U266))</f>
        <v>0</v>
      </c>
      <c r="X266" s="29" t="n">
        <f>IF(N266=0,0,COUNTIFS('DATOS'!$R$10:$R$509,U266,'DATOS'!$S$10:$S$509,V266))</f>
        <v>0</v>
      </c>
      <c r="Y266" s="29" t="n">
        <f>IF(AND(ISNUMBER('DATOS'!G266),ISNUMBER('DATOS'!H266),ISNUMBER('DATOS'!J266)),1,0)</f>
        <v>0</v>
      </c>
    </row>
    <row r="267" ht="64" customHeight="1">
      <c r="B267" s="26">
        <f>IF(N267=1,258,"")</f>
      </c>
      <c r="C267" s="26">
        <f>IF(AND(N267=1,LEN(TRIM('DATOS'!B267&amp;""))&gt;0),'DATOS'!B267,"")</f>
      </c>
      <c r="D267" s="26">
        <f>IF(AND(N267=1,LEN(TRIM('DATOS'!C267&amp;""))&gt;0),'DATOS'!C267,"")</f>
      </c>
      <c r="E267" s="26">
        <f>IF(NOT(ISNUMBER(P267)),"",IF(P267=2,"ROJO",IF(P267=1,"ÁMBAR","VERDE")))</f>
      </c>
      <c r="F267" s="26">
        <f>IF(NOT(ISNUMBER(Q267)),"",IF(Q267=2,"ROJO",IF(Q267=1,"ÁMBAR","VERDE")))</f>
      </c>
      <c r="G267" s="26">
        <f>IF(NOT(ISNUMBER(R267)),"",IF(R267=2,"ROJO",IF(R267=1,"ÁMBAR","VERDE")))</f>
      </c>
      <c r="H267" s="26">
        <f>IF(NOT(ISNUMBER(S267)),"",IF(S267=2,"ROJO",IF(S267=1,"ÁMBAR","VERDE")))</f>
      </c>
      <c r="I267" s="26">
        <f>IF(NOT(ISNUMBER(T267)),"",IF(T267=2,"ROJO",IF(T267=1,"ÁMBAR","VERDE")))</f>
      </c>
      <c r="J267" s="26">
        <f>IF(NOT(ISNUMBER(O267)),"",IF(O267=2,"ROJO",IF(O267=1,"ÁMBAR","VERDE")))</f>
      </c>
      <c r="K267" s="26">
        <f>IFERROR(IF(AND(N267=1,LEN(TRIM('DATOS'!N267&amp;""))&gt;0),'DATOS'!N267,""),"Hay una entrada con error. Corregimos el dato antes de cerrar la comprobación.")</f>
      </c>
      <c r="L267" s="26">
        <f>IFERROR(IF(N267=0,"",IF(O267&gt;0,"Completamos datos, claves o motivo. ","")&amp;IF(P267&gt;0,"Cotejamos precios e importe. ","")&amp;IF(Q267&gt;0,"Aclaramos el cero. ","")&amp;IF(R267&gt;0,"Comprobamos el texto. ","")&amp;IF(S267&gt;0,"Revisamos decimales visibles. ","")&amp;IF(T267&gt;0,"Confirmamos la unidad.","")),"Hay una entrada con error. Corregimos el dato antes de cerrar la comprobación.")</f>
      </c>
      <c r="N267" s="29" t="n">
        <f>IF(COUNTA('DATOS'!B267:O267)&gt;0,1,0)</f>
        <v>0</v>
      </c>
      <c r="O267" s="29">
        <f>IFERROR(IF(N267=0,"",IF(OR(NOT(AND(LEN(TRIM('DATOS'!B267&amp;""))&gt;0,TRIM('DATOS'!B267&amp;"")&lt;&gt;"Pendiente",TRIM('DATOS'!B267&amp;"")&lt;&gt;"Por confirmar",TRIM('DATOS'!B267&amp;"")&lt;&gt;"No consta",TRIM('DATOS'!B267&amp;"")&lt;&gt;"Desconocido",TRIM('DATOS'!B267&amp;"")&lt;&gt;"Sin confirmar",TRIM('DATOS'!B267&amp;"")&lt;&gt;"Por decidir",TRIM('DATOS'!B267&amp;"")&lt;&gt;"Por comprobar")),NOT(AND(LEN(TRIM('DATOS'!C267&amp;""))&gt;0,TRIM('DATOS'!C267&amp;"")&lt;&gt;"Pendiente",TRIM('DATOS'!C267&amp;"")&lt;&gt;"Por confirmar",TRIM('DATOS'!C267&amp;"")&lt;&gt;"No consta",TRIM('DATOS'!C267&amp;"")&lt;&gt;"Desconocido",TRIM('DATOS'!C267&amp;"")&lt;&gt;"Sin confirmar",TRIM('DATOS'!C267&amp;"")&lt;&gt;"Por decidir",TRIM('DATOS'!C267&amp;"")&lt;&gt;"Por comprobar")),NOT(AND(LEN(TRIM('DATOS'!D267&amp;""))&gt;0,TRIM('DATOS'!D267&amp;"")&lt;&gt;"Pendiente",TRIM('DATOS'!D267&amp;"")&lt;&gt;"Por confirmar",TRIM('DATOS'!D267&amp;"")&lt;&gt;"No consta",TRIM('DATOS'!D267&amp;"")&lt;&gt;"Desconocido",TRIM('DATOS'!D267&amp;"")&lt;&gt;"Sin confirmar",TRIM('DATOS'!D267&amp;"")&lt;&gt;"Por decidir",TRIM('DATOS'!D267&amp;"")&lt;&gt;"Por comprobar")),NOT(AND(LEN(TRIM('DATOS'!E267&amp;""))&gt;0,TRIM('DATOS'!E267&amp;"")&lt;&gt;"Pendiente",TRIM('DATOS'!E267&amp;"")&lt;&gt;"Por confirmar",TRIM('DATOS'!E267&amp;"")&lt;&gt;"No consta",TRIM('DATOS'!E267&amp;"")&lt;&gt;"Desconocido",TRIM('DATOS'!E267&amp;"")&lt;&gt;"Sin confirmar",TRIM('DATOS'!E267&amp;"")&lt;&gt;"Por decidir",TRIM('DATOS'!E267&amp;"")&lt;&gt;"Por comprobar")),NOT(AND(LEN(TRIM('DATOS'!F267&amp;""))&gt;0,TRIM('DATOS'!F267&amp;"")&lt;&gt;"Pendiente",TRIM('DATOS'!F267&amp;"")&lt;&gt;"Por confirmar",TRIM('DATOS'!F267&amp;"")&lt;&gt;"No consta",TRIM('DATOS'!F267&amp;"")&lt;&gt;"Desconocido",TRIM('DATOS'!F267&amp;"")&lt;&gt;"Sin confirmar",TRIM('DATOS'!F267&amp;"")&lt;&gt;"Por decidir",TRIM('DATOS'!F267&amp;"")&lt;&gt;"Por comprobar")),NOT(AND(LEN(TRIM('DATOS'!N267&amp;""))&gt;0,TRIM('DATOS'!N267&amp;"")&lt;&gt;"Pendiente",TRIM('DATOS'!N267&amp;"")&lt;&gt;"Por confirmar",TRIM('DATOS'!N267&amp;"")&lt;&gt;"No consta",TRIM('DATOS'!N267&amp;"")&lt;&gt;"Desconocido",TRIM('DATOS'!N267&amp;"")&lt;&gt;"Sin confirmar",TRIM('DATOS'!N267&amp;"")&lt;&gt;"Por decidir",TRIM('DATOS'!N267&amp;"")&lt;&gt;"Por comprobar")),NOT(Y267=1),W267&lt;&gt;1,X267&gt;1,NOT(OR(LEN(TRIM('DATOS'!K267&amp;""))=0,'DATOS'!K267="Sin valorar",'DATOS'!K267="Sin coste documentado",'DATOS'!K267="Incluido en otra partida",'DATOS'!K267="Por confirmar")),NOT(OR(LEN(TRIM('DATOS'!M267&amp;""))=0,'DATOS'!M267="Sí",'DATOS'!M267="No",'DATOS'!M267="Por confirmar")),NOT(OR(LEN(TRIM('DATOS'!O267&amp;""))=0,'DATOS'!O267="Comparamos",'DATOS'!O267="No existe",'DATOS'!O267="Por confirmar"))),2,IF(AND(OR('DATOS'!G267&lt;0,'DATOS'!H267&lt;0,'DATOS'!J267&lt;0),NOT(AND(LEN(TRIM('DATOS'!L267&amp;""))&gt;0,TRIM('DATOS'!L267&amp;"")&lt;&gt;"Pendiente",TRIM('DATOS'!L267&amp;"")&lt;&gt;"Por confirmar",TRIM('DATOS'!L267&amp;"")&lt;&gt;"No consta",TRIM('DATOS'!L267&amp;"")&lt;&gt;"Desconocido",TRIM('DATOS'!L267&amp;"")&lt;&gt;"Sin confirmar",TRIM('DATOS'!L267&amp;"")&lt;&gt;"Por decidir",TRIM('DATOS'!L267&amp;"")&lt;&gt;"Por comprobar"))),1,0))),2)</f>
      </c>
      <c r="P267" s="29">
        <f>IFERROR(IF(N267=0,"",IF(NOT(Y267=1),1,IF('REFERENCIAS'!$Q$8&lt;&gt;1,2,IF(ABS('DATOS'!J267-ROUND('DATOS'!G267*'DATOS'!H267,'REFERENCIAS'!$K$8))&gt;0.00000001,2,IF('DATOS'!O267="No existe",IF(LEN(TRIM('DATOS'!I267&amp;""))=0,0,2),IF('DATOS'!O267="Comparamos",IF(LEN(TRIM('DATOS'!I267&amp;""))=0,1,IF(ISNUMBER('DATOS'!I267),IF(ABS('DATOS'!H267-'DATOS'!I267)&gt;0.00000001,2,0),2)),1)))))),2)</f>
      </c>
      <c r="Q267" s="29">
        <f>IFERROR(IF(N267=0,"",IF(NOT(Y267=1),1,IF('DATOS'!K267="Sin valorar",2,IF('DATOS'!G267=0,1,IF(OR('DATOS'!H267=0,'DATOS'!J267=0),IF(AND(OR('DATOS'!K267="Sin coste documentado",'DATOS'!K267="Incluido en otra partida"),AND(LEN(TRIM('DATOS'!L267&amp;""))&gt;0,TRIM('DATOS'!L267&amp;"")&lt;&gt;"Pendiente",TRIM('DATOS'!L267&amp;"")&lt;&gt;"Por confirmar",TRIM('DATOS'!L267&amp;"")&lt;&gt;"No consta",TRIM('DATOS'!L267&amp;"")&lt;&gt;"Desconocido",TRIM('DATOS'!L267&amp;"")&lt;&gt;"Sin confirmar",TRIM('DATOS'!L267&amp;"")&lt;&gt;"Por decidir",TRIM('DATOS'!L267&amp;"")&lt;&gt;"Por comprobar")),0,1),0))))),2)</f>
      </c>
      <c r="R267" s="29">
        <f>IFERROR(IF(N267=0,"",IF(OR(NOT(AND(LEN(TRIM('DATOS'!D267&amp;""))&gt;0,TRIM('DATOS'!D267&amp;"")&lt;&gt;"Pendiente",TRIM('DATOS'!D267&amp;"")&lt;&gt;"Por confirmar",TRIM('DATOS'!D267&amp;"")&lt;&gt;"No consta",TRIM('DATOS'!D267&amp;"")&lt;&gt;"Desconocido",TRIM('DATOS'!D267&amp;"")&lt;&gt;"Sin confirmar",TRIM('DATOS'!D267&amp;"")&lt;&gt;"Por decidir",TRIM('DATOS'!D267&amp;"")&lt;&gt;"Por comprobar")),NOT(AND(LEN(TRIM('DATOS'!E267&amp;""))&gt;0,TRIM('DATOS'!E267&amp;"")&lt;&gt;"Pendiente",TRIM('DATOS'!E267&amp;"")&lt;&gt;"Por confirmar",TRIM('DATOS'!E267&amp;"")&lt;&gt;"No consta",TRIM('DATOS'!E267&amp;"")&lt;&gt;"Desconocido",TRIM('DATOS'!E267&amp;"")&lt;&gt;"Sin confirmar",TRIM('DATOS'!E267&amp;"")&lt;&gt;"Por decidir",TRIM('DATOS'!E267&amp;"")&lt;&gt;"Por comprobar"))),2,IF('DATOS'!M267="No",2,IF('DATOS'!M267="Sí",0,IF(OR('DATOS'!D267&lt;&gt;'DATOS'!E267,LEN('DATOS'!E267)&gt;300,RIGHT(TRIM('DATOS'!E267),3)="...",RIGHT(TRIM('DATOS'!E267),1)="…"),1,0))))),2)</f>
      </c>
      <c r="S267" s="29">
        <f>IFERROR(IF(N267=0,"",IF('REFERENCIAS'!$Q$8&lt;&gt;1,2,IF(NOT(Y267=1),1,IF(OR(ABS('DATOS'!G267-ROUND('DATOS'!G267,'REFERENCIAS'!$E$8))&gt;0.00000001,ABS('DATOS'!H267-ROUND('DATOS'!H267,'REFERENCIAS'!$H$8))&gt;0.00000001,ABS('DATOS'!J267-ROUND('DATOS'!J267,'REFERENCIAS'!$K$8))&gt;0.00000001,IF(ISNUMBER('DATOS'!I267),ABS('DATOS'!I267-ROUND('DATOS'!I267,'REFERENCIAS'!$H$8))&gt;0.00000001,FALSE)),1,0)))),2)</f>
      </c>
      <c r="T267" s="29">
        <f>IFERROR(IF(N267=0,"",IF(NOT(AND(LEN(TRIM('DATOS'!F267&amp;""))&gt;0,TRIM('DATOS'!F267&amp;"")&lt;&gt;"Pendiente",TRIM('DATOS'!F267&amp;"")&lt;&gt;"Por confirmar",TRIM('DATOS'!F267&amp;"")&lt;&gt;"No consta",TRIM('DATOS'!F267&amp;"")&lt;&gt;"Desconocido",TRIM('DATOS'!F267&amp;"")&lt;&gt;"Sin confirmar",TRIM('DATOS'!F267&amp;"")&lt;&gt;"Por decidir",TRIM('DATOS'!F267&amp;"")&lt;&gt;"Por comprobar")),2,IF(COUNTIFS('REFERENCIAS'!$T$15:$T$34,"ID:"&amp;SUBSTITUTE(SUBSTITUTE(SUBSTITUTE(SUBSTITUTE(UPPER(TRIM('DATOS'!F267&amp;"")),"!","!E"),"*","!A"),"?","!B"),"~","!C"),'REFERENCIAS'!$H$15:$H$34,"&lt;&gt;")&gt;0,0,1))),2)</f>
      </c>
      <c r="U267" s="29" t="str">
        <f>'DATOS'!R267</f>
        <v>ID:</v>
      </c>
      <c r="V267" s="29" t="str">
        <f>'DATOS'!S267</f>
        <v>ID:</v>
      </c>
      <c r="W267" s="29" t="n">
        <f>IF(N267=0,0,COUNTIFS('REFERENCIAS'!$R$15:$R$64,U267))</f>
        <v>0</v>
      </c>
      <c r="X267" s="29" t="n">
        <f>IF(N267=0,0,COUNTIFS('DATOS'!$R$10:$R$509,U267,'DATOS'!$S$10:$S$509,V267))</f>
        <v>0</v>
      </c>
      <c r="Y267" s="29" t="n">
        <f>IF(AND(ISNUMBER('DATOS'!G267),ISNUMBER('DATOS'!H267),ISNUMBER('DATOS'!J267)),1,0)</f>
        <v>0</v>
      </c>
    </row>
    <row r="268" ht="64" customHeight="1">
      <c r="B268" s="26">
        <f>IF(N268=1,259,"")</f>
      </c>
      <c r="C268" s="26">
        <f>IF(AND(N268=1,LEN(TRIM('DATOS'!B268&amp;""))&gt;0),'DATOS'!B268,"")</f>
      </c>
      <c r="D268" s="26">
        <f>IF(AND(N268=1,LEN(TRIM('DATOS'!C268&amp;""))&gt;0),'DATOS'!C268,"")</f>
      </c>
      <c r="E268" s="26">
        <f>IF(NOT(ISNUMBER(P268)),"",IF(P268=2,"ROJO",IF(P268=1,"ÁMBAR","VERDE")))</f>
      </c>
      <c r="F268" s="26">
        <f>IF(NOT(ISNUMBER(Q268)),"",IF(Q268=2,"ROJO",IF(Q268=1,"ÁMBAR","VERDE")))</f>
      </c>
      <c r="G268" s="26">
        <f>IF(NOT(ISNUMBER(R268)),"",IF(R268=2,"ROJO",IF(R268=1,"ÁMBAR","VERDE")))</f>
      </c>
      <c r="H268" s="26">
        <f>IF(NOT(ISNUMBER(S268)),"",IF(S268=2,"ROJO",IF(S268=1,"ÁMBAR","VERDE")))</f>
      </c>
      <c r="I268" s="26">
        <f>IF(NOT(ISNUMBER(T268)),"",IF(T268=2,"ROJO",IF(T268=1,"ÁMBAR","VERDE")))</f>
      </c>
      <c r="J268" s="26">
        <f>IF(NOT(ISNUMBER(O268)),"",IF(O268=2,"ROJO",IF(O268=1,"ÁMBAR","VERDE")))</f>
      </c>
      <c r="K268" s="26">
        <f>IFERROR(IF(AND(N268=1,LEN(TRIM('DATOS'!N268&amp;""))&gt;0),'DATOS'!N268,""),"Hay una entrada con error. Corregimos el dato antes de cerrar la comprobación.")</f>
      </c>
      <c r="L268" s="26">
        <f>IFERROR(IF(N268=0,"",IF(O268&gt;0,"Completamos datos, claves o motivo. ","")&amp;IF(P268&gt;0,"Cotejamos precios e importe. ","")&amp;IF(Q268&gt;0,"Aclaramos el cero. ","")&amp;IF(R268&gt;0,"Comprobamos el texto. ","")&amp;IF(S268&gt;0,"Revisamos decimales visibles. ","")&amp;IF(T268&gt;0,"Confirmamos la unidad.","")),"Hay una entrada con error. Corregimos el dato antes de cerrar la comprobación.")</f>
      </c>
      <c r="N268" s="29" t="n">
        <f>IF(COUNTA('DATOS'!B268:O268)&gt;0,1,0)</f>
        <v>0</v>
      </c>
      <c r="O268" s="29">
        <f>IFERROR(IF(N268=0,"",IF(OR(NOT(AND(LEN(TRIM('DATOS'!B268&amp;""))&gt;0,TRIM('DATOS'!B268&amp;"")&lt;&gt;"Pendiente",TRIM('DATOS'!B268&amp;"")&lt;&gt;"Por confirmar",TRIM('DATOS'!B268&amp;"")&lt;&gt;"No consta",TRIM('DATOS'!B268&amp;"")&lt;&gt;"Desconocido",TRIM('DATOS'!B268&amp;"")&lt;&gt;"Sin confirmar",TRIM('DATOS'!B268&amp;"")&lt;&gt;"Por decidir",TRIM('DATOS'!B268&amp;"")&lt;&gt;"Por comprobar")),NOT(AND(LEN(TRIM('DATOS'!C268&amp;""))&gt;0,TRIM('DATOS'!C268&amp;"")&lt;&gt;"Pendiente",TRIM('DATOS'!C268&amp;"")&lt;&gt;"Por confirmar",TRIM('DATOS'!C268&amp;"")&lt;&gt;"No consta",TRIM('DATOS'!C268&amp;"")&lt;&gt;"Desconocido",TRIM('DATOS'!C268&amp;"")&lt;&gt;"Sin confirmar",TRIM('DATOS'!C268&amp;"")&lt;&gt;"Por decidir",TRIM('DATOS'!C268&amp;"")&lt;&gt;"Por comprobar")),NOT(AND(LEN(TRIM('DATOS'!D268&amp;""))&gt;0,TRIM('DATOS'!D268&amp;"")&lt;&gt;"Pendiente",TRIM('DATOS'!D268&amp;"")&lt;&gt;"Por confirmar",TRIM('DATOS'!D268&amp;"")&lt;&gt;"No consta",TRIM('DATOS'!D268&amp;"")&lt;&gt;"Desconocido",TRIM('DATOS'!D268&amp;"")&lt;&gt;"Sin confirmar",TRIM('DATOS'!D268&amp;"")&lt;&gt;"Por decidir",TRIM('DATOS'!D268&amp;"")&lt;&gt;"Por comprobar")),NOT(AND(LEN(TRIM('DATOS'!E268&amp;""))&gt;0,TRIM('DATOS'!E268&amp;"")&lt;&gt;"Pendiente",TRIM('DATOS'!E268&amp;"")&lt;&gt;"Por confirmar",TRIM('DATOS'!E268&amp;"")&lt;&gt;"No consta",TRIM('DATOS'!E268&amp;"")&lt;&gt;"Desconocido",TRIM('DATOS'!E268&amp;"")&lt;&gt;"Sin confirmar",TRIM('DATOS'!E268&amp;"")&lt;&gt;"Por decidir",TRIM('DATOS'!E268&amp;"")&lt;&gt;"Por comprobar")),NOT(AND(LEN(TRIM('DATOS'!F268&amp;""))&gt;0,TRIM('DATOS'!F268&amp;"")&lt;&gt;"Pendiente",TRIM('DATOS'!F268&amp;"")&lt;&gt;"Por confirmar",TRIM('DATOS'!F268&amp;"")&lt;&gt;"No consta",TRIM('DATOS'!F268&amp;"")&lt;&gt;"Desconocido",TRIM('DATOS'!F268&amp;"")&lt;&gt;"Sin confirmar",TRIM('DATOS'!F268&amp;"")&lt;&gt;"Por decidir",TRIM('DATOS'!F268&amp;"")&lt;&gt;"Por comprobar")),NOT(AND(LEN(TRIM('DATOS'!N268&amp;""))&gt;0,TRIM('DATOS'!N268&amp;"")&lt;&gt;"Pendiente",TRIM('DATOS'!N268&amp;"")&lt;&gt;"Por confirmar",TRIM('DATOS'!N268&amp;"")&lt;&gt;"No consta",TRIM('DATOS'!N268&amp;"")&lt;&gt;"Desconocido",TRIM('DATOS'!N268&amp;"")&lt;&gt;"Sin confirmar",TRIM('DATOS'!N268&amp;"")&lt;&gt;"Por decidir",TRIM('DATOS'!N268&amp;"")&lt;&gt;"Por comprobar")),NOT(Y268=1),W268&lt;&gt;1,X268&gt;1,NOT(OR(LEN(TRIM('DATOS'!K268&amp;""))=0,'DATOS'!K268="Sin valorar",'DATOS'!K268="Sin coste documentado",'DATOS'!K268="Incluido en otra partida",'DATOS'!K268="Por confirmar")),NOT(OR(LEN(TRIM('DATOS'!M268&amp;""))=0,'DATOS'!M268="Sí",'DATOS'!M268="No",'DATOS'!M268="Por confirmar")),NOT(OR(LEN(TRIM('DATOS'!O268&amp;""))=0,'DATOS'!O268="Comparamos",'DATOS'!O268="No existe",'DATOS'!O268="Por confirmar"))),2,IF(AND(OR('DATOS'!G268&lt;0,'DATOS'!H268&lt;0,'DATOS'!J268&lt;0),NOT(AND(LEN(TRIM('DATOS'!L268&amp;""))&gt;0,TRIM('DATOS'!L268&amp;"")&lt;&gt;"Pendiente",TRIM('DATOS'!L268&amp;"")&lt;&gt;"Por confirmar",TRIM('DATOS'!L268&amp;"")&lt;&gt;"No consta",TRIM('DATOS'!L268&amp;"")&lt;&gt;"Desconocido",TRIM('DATOS'!L268&amp;"")&lt;&gt;"Sin confirmar",TRIM('DATOS'!L268&amp;"")&lt;&gt;"Por decidir",TRIM('DATOS'!L268&amp;"")&lt;&gt;"Por comprobar"))),1,0))),2)</f>
      </c>
      <c r="P268" s="29">
        <f>IFERROR(IF(N268=0,"",IF(NOT(Y268=1),1,IF('REFERENCIAS'!$Q$8&lt;&gt;1,2,IF(ABS('DATOS'!J268-ROUND('DATOS'!G268*'DATOS'!H268,'REFERENCIAS'!$K$8))&gt;0.00000001,2,IF('DATOS'!O268="No existe",IF(LEN(TRIM('DATOS'!I268&amp;""))=0,0,2),IF('DATOS'!O268="Comparamos",IF(LEN(TRIM('DATOS'!I268&amp;""))=0,1,IF(ISNUMBER('DATOS'!I268),IF(ABS('DATOS'!H268-'DATOS'!I268)&gt;0.00000001,2,0),2)),1)))))),2)</f>
      </c>
      <c r="Q268" s="29">
        <f>IFERROR(IF(N268=0,"",IF(NOT(Y268=1),1,IF('DATOS'!K268="Sin valorar",2,IF('DATOS'!G268=0,1,IF(OR('DATOS'!H268=0,'DATOS'!J268=0),IF(AND(OR('DATOS'!K268="Sin coste documentado",'DATOS'!K268="Incluido en otra partida"),AND(LEN(TRIM('DATOS'!L268&amp;""))&gt;0,TRIM('DATOS'!L268&amp;"")&lt;&gt;"Pendiente",TRIM('DATOS'!L268&amp;"")&lt;&gt;"Por confirmar",TRIM('DATOS'!L268&amp;"")&lt;&gt;"No consta",TRIM('DATOS'!L268&amp;"")&lt;&gt;"Desconocido",TRIM('DATOS'!L268&amp;"")&lt;&gt;"Sin confirmar",TRIM('DATOS'!L268&amp;"")&lt;&gt;"Por decidir",TRIM('DATOS'!L268&amp;"")&lt;&gt;"Por comprobar")),0,1),0))))),2)</f>
      </c>
      <c r="R268" s="29">
        <f>IFERROR(IF(N268=0,"",IF(OR(NOT(AND(LEN(TRIM('DATOS'!D268&amp;""))&gt;0,TRIM('DATOS'!D268&amp;"")&lt;&gt;"Pendiente",TRIM('DATOS'!D268&amp;"")&lt;&gt;"Por confirmar",TRIM('DATOS'!D268&amp;"")&lt;&gt;"No consta",TRIM('DATOS'!D268&amp;"")&lt;&gt;"Desconocido",TRIM('DATOS'!D268&amp;"")&lt;&gt;"Sin confirmar",TRIM('DATOS'!D268&amp;"")&lt;&gt;"Por decidir",TRIM('DATOS'!D268&amp;"")&lt;&gt;"Por comprobar")),NOT(AND(LEN(TRIM('DATOS'!E268&amp;""))&gt;0,TRIM('DATOS'!E268&amp;"")&lt;&gt;"Pendiente",TRIM('DATOS'!E268&amp;"")&lt;&gt;"Por confirmar",TRIM('DATOS'!E268&amp;"")&lt;&gt;"No consta",TRIM('DATOS'!E268&amp;"")&lt;&gt;"Desconocido",TRIM('DATOS'!E268&amp;"")&lt;&gt;"Sin confirmar",TRIM('DATOS'!E268&amp;"")&lt;&gt;"Por decidir",TRIM('DATOS'!E268&amp;"")&lt;&gt;"Por comprobar"))),2,IF('DATOS'!M268="No",2,IF('DATOS'!M268="Sí",0,IF(OR('DATOS'!D268&lt;&gt;'DATOS'!E268,LEN('DATOS'!E268)&gt;300,RIGHT(TRIM('DATOS'!E268),3)="...",RIGHT(TRIM('DATOS'!E268),1)="…"),1,0))))),2)</f>
      </c>
      <c r="S268" s="29">
        <f>IFERROR(IF(N268=0,"",IF('REFERENCIAS'!$Q$8&lt;&gt;1,2,IF(NOT(Y268=1),1,IF(OR(ABS('DATOS'!G268-ROUND('DATOS'!G268,'REFERENCIAS'!$E$8))&gt;0.00000001,ABS('DATOS'!H268-ROUND('DATOS'!H268,'REFERENCIAS'!$H$8))&gt;0.00000001,ABS('DATOS'!J268-ROUND('DATOS'!J268,'REFERENCIAS'!$K$8))&gt;0.00000001,IF(ISNUMBER('DATOS'!I268),ABS('DATOS'!I268-ROUND('DATOS'!I268,'REFERENCIAS'!$H$8))&gt;0.00000001,FALSE)),1,0)))),2)</f>
      </c>
      <c r="T268" s="29">
        <f>IFERROR(IF(N268=0,"",IF(NOT(AND(LEN(TRIM('DATOS'!F268&amp;""))&gt;0,TRIM('DATOS'!F268&amp;"")&lt;&gt;"Pendiente",TRIM('DATOS'!F268&amp;"")&lt;&gt;"Por confirmar",TRIM('DATOS'!F268&amp;"")&lt;&gt;"No consta",TRIM('DATOS'!F268&amp;"")&lt;&gt;"Desconocido",TRIM('DATOS'!F268&amp;"")&lt;&gt;"Sin confirmar",TRIM('DATOS'!F268&amp;"")&lt;&gt;"Por decidir",TRIM('DATOS'!F268&amp;"")&lt;&gt;"Por comprobar")),2,IF(COUNTIFS('REFERENCIAS'!$T$15:$T$34,"ID:"&amp;SUBSTITUTE(SUBSTITUTE(SUBSTITUTE(SUBSTITUTE(UPPER(TRIM('DATOS'!F268&amp;"")),"!","!E"),"*","!A"),"?","!B"),"~","!C"),'REFERENCIAS'!$H$15:$H$34,"&lt;&gt;")&gt;0,0,1))),2)</f>
      </c>
      <c r="U268" s="29" t="str">
        <f>'DATOS'!R268</f>
        <v>ID:</v>
      </c>
      <c r="V268" s="29" t="str">
        <f>'DATOS'!S268</f>
        <v>ID:</v>
      </c>
      <c r="W268" s="29" t="n">
        <f>IF(N268=0,0,COUNTIFS('REFERENCIAS'!$R$15:$R$64,U268))</f>
        <v>0</v>
      </c>
      <c r="X268" s="29" t="n">
        <f>IF(N268=0,0,COUNTIFS('DATOS'!$R$10:$R$509,U268,'DATOS'!$S$10:$S$509,V268))</f>
        <v>0</v>
      </c>
      <c r="Y268" s="29" t="n">
        <f>IF(AND(ISNUMBER('DATOS'!G268),ISNUMBER('DATOS'!H268),ISNUMBER('DATOS'!J268)),1,0)</f>
        <v>0</v>
      </c>
    </row>
    <row r="269" ht="64" customHeight="1">
      <c r="B269" s="26">
        <f>IF(N269=1,260,"")</f>
      </c>
      <c r="C269" s="26">
        <f>IF(AND(N269=1,LEN(TRIM('DATOS'!B269&amp;""))&gt;0),'DATOS'!B269,"")</f>
      </c>
      <c r="D269" s="26">
        <f>IF(AND(N269=1,LEN(TRIM('DATOS'!C269&amp;""))&gt;0),'DATOS'!C269,"")</f>
      </c>
      <c r="E269" s="26">
        <f>IF(NOT(ISNUMBER(P269)),"",IF(P269=2,"ROJO",IF(P269=1,"ÁMBAR","VERDE")))</f>
      </c>
      <c r="F269" s="26">
        <f>IF(NOT(ISNUMBER(Q269)),"",IF(Q269=2,"ROJO",IF(Q269=1,"ÁMBAR","VERDE")))</f>
      </c>
      <c r="G269" s="26">
        <f>IF(NOT(ISNUMBER(R269)),"",IF(R269=2,"ROJO",IF(R269=1,"ÁMBAR","VERDE")))</f>
      </c>
      <c r="H269" s="26">
        <f>IF(NOT(ISNUMBER(S269)),"",IF(S269=2,"ROJO",IF(S269=1,"ÁMBAR","VERDE")))</f>
      </c>
      <c r="I269" s="26">
        <f>IF(NOT(ISNUMBER(T269)),"",IF(T269=2,"ROJO",IF(T269=1,"ÁMBAR","VERDE")))</f>
      </c>
      <c r="J269" s="26">
        <f>IF(NOT(ISNUMBER(O269)),"",IF(O269=2,"ROJO",IF(O269=1,"ÁMBAR","VERDE")))</f>
      </c>
      <c r="K269" s="26">
        <f>IFERROR(IF(AND(N269=1,LEN(TRIM('DATOS'!N269&amp;""))&gt;0),'DATOS'!N269,""),"Hay una entrada con error. Corregimos el dato antes de cerrar la comprobación.")</f>
      </c>
      <c r="L269" s="26">
        <f>IFERROR(IF(N269=0,"",IF(O269&gt;0,"Completamos datos, claves o motivo. ","")&amp;IF(P269&gt;0,"Cotejamos precios e importe. ","")&amp;IF(Q269&gt;0,"Aclaramos el cero. ","")&amp;IF(R269&gt;0,"Comprobamos el texto. ","")&amp;IF(S269&gt;0,"Revisamos decimales visibles. ","")&amp;IF(T269&gt;0,"Confirmamos la unidad.","")),"Hay una entrada con error. Corregimos el dato antes de cerrar la comprobación.")</f>
      </c>
      <c r="N269" s="29" t="n">
        <f>IF(COUNTA('DATOS'!B269:O269)&gt;0,1,0)</f>
        <v>0</v>
      </c>
      <c r="O269" s="29">
        <f>IFERROR(IF(N269=0,"",IF(OR(NOT(AND(LEN(TRIM('DATOS'!B269&amp;""))&gt;0,TRIM('DATOS'!B269&amp;"")&lt;&gt;"Pendiente",TRIM('DATOS'!B269&amp;"")&lt;&gt;"Por confirmar",TRIM('DATOS'!B269&amp;"")&lt;&gt;"No consta",TRIM('DATOS'!B269&amp;"")&lt;&gt;"Desconocido",TRIM('DATOS'!B269&amp;"")&lt;&gt;"Sin confirmar",TRIM('DATOS'!B269&amp;"")&lt;&gt;"Por decidir",TRIM('DATOS'!B269&amp;"")&lt;&gt;"Por comprobar")),NOT(AND(LEN(TRIM('DATOS'!C269&amp;""))&gt;0,TRIM('DATOS'!C269&amp;"")&lt;&gt;"Pendiente",TRIM('DATOS'!C269&amp;"")&lt;&gt;"Por confirmar",TRIM('DATOS'!C269&amp;"")&lt;&gt;"No consta",TRIM('DATOS'!C269&amp;"")&lt;&gt;"Desconocido",TRIM('DATOS'!C269&amp;"")&lt;&gt;"Sin confirmar",TRIM('DATOS'!C269&amp;"")&lt;&gt;"Por decidir",TRIM('DATOS'!C269&amp;"")&lt;&gt;"Por comprobar")),NOT(AND(LEN(TRIM('DATOS'!D269&amp;""))&gt;0,TRIM('DATOS'!D269&amp;"")&lt;&gt;"Pendiente",TRIM('DATOS'!D269&amp;"")&lt;&gt;"Por confirmar",TRIM('DATOS'!D269&amp;"")&lt;&gt;"No consta",TRIM('DATOS'!D269&amp;"")&lt;&gt;"Desconocido",TRIM('DATOS'!D269&amp;"")&lt;&gt;"Sin confirmar",TRIM('DATOS'!D269&amp;"")&lt;&gt;"Por decidir",TRIM('DATOS'!D269&amp;"")&lt;&gt;"Por comprobar")),NOT(AND(LEN(TRIM('DATOS'!E269&amp;""))&gt;0,TRIM('DATOS'!E269&amp;"")&lt;&gt;"Pendiente",TRIM('DATOS'!E269&amp;"")&lt;&gt;"Por confirmar",TRIM('DATOS'!E269&amp;"")&lt;&gt;"No consta",TRIM('DATOS'!E269&amp;"")&lt;&gt;"Desconocido",TRIM('DATOS'!E269&amp;"")&lt;&gt;"Sin confirmar",TRIM('DATOS'!E269&amp;"")&lt;&gt;"Por decidir",TRIM('DATOS'!E269&amp;"")&lt;&gt;"Por comprobar")),NOT(AND(LEN(TRIM('DATOS'!F269&amp;""))&gt;0,TRIM('DATOS'!F269&amp;"")&lt;&gt;"Pendiente",TRIM('DATOS'!F269&amp;"")&lt;&gt;"Por confirmar",TRIM('DATOS'!F269&amp;"")&lt;&gt;"No consta",TRIM('DATOS'!F269&amp;"")&lt;&gt;"Desconocido",TRIM('DATOS'!F269&amp;"")&lt;&gt;"Sin confirmar",TRIM('DATOS'!F269&amp;"")&lt;&gt;"Por decidir",TRIM('DATOS'!F269&amp;"")&lt;&gt;"Por comprobar")),NOT(AND(LEN(TRIM('DATOS'!N269&amp;""))&gt;0,TRIM('DATOS'!N269&amp;"")&lt;&gt;"Pendiente",TRIM('DATOS'!N269&amp;"")&lt;&gt;"Por confirmar",TRIM('DATOS'!N269&amp;"")&lt;&gt;"No consta",TRIM('DATOS'!N269&amp;"")&lt;&gt;"Desconocido",TRIM('DATOS'!N269&amp;"")&lt;&gt;"Sin confirmar",TRIM('DATOS'!N269&amp;"")&lt;&gt;"Por decidir",TRIM('DATOS'!N269&amp;"")&lt;&gt;"Por comprobar")),NOT(Y269=1),W269&lt;&gt;1,X269&gt;1,NOT(OR(LEN(TRIM('DATOS'!K269&amp;""))=0,'DATOS'!K269="Sin valorar",'DATOS'!K269="Sin coste documentado",'DATOS'!K269="Incluido en otra partida",'DATOS'!K269="Por confirmar")),NOT(OR(LEN(TRIM('DATOS'!M269&amp;""))=0,'DATOS'!M269="Sí",'DATOS'!M269="No",'DATOS'!M269="Por confirmar")),NOT(OR(LEN(TRIM('DATOS'!O269&amp;""))=0,'DATOS'!O269="Comparamos",'DATOS'!O269="No existe",'DATOS'!O269="Por confirmar"))),2,IF(AND(OR('DATOS'!G269&lt;0,'DATOS'!H269&lt;0,'DATOS'!J269&lt;0),NOT(AND(LEN(TRIM('DATOS'!L269&amp;""))&gt;0,TRIM('DATOS'!L269&amp;"")&lt;&gt;"Pendiente",TRIM('DATOS'!L269&amp;"")&lt;&gt;"Por confirmar",TRIM('DATOS'!L269&amp;"")&lt;&gt;"No consta",TRIM('DATOS'!L269&amp;"")&lt;&gt;"Desconocido",TRIM('DATOS'!L269&amp;"")&lt;&gt;"Sin confirmar",TRIM('DATOS'!L269&amp;"")&lt;&gt;"Por decidir",TRIM('DATOS'!L269&amp;"")&lt;&gt;"Por comprobar"))),1,0))),2)</f>
      </c>
      <c r="P269" s="29">
        <f>IFERROR(IF(N269=0,"",IF(NOT(Y269=1),1,IF('REFERENCIAS'!$Q$8&lt;&gt;1,2,IF(ABS('DATOS'!J269-ROUND('DATOS'!G269*'DATOS'!H269,'REFERENCIAS'!$K$8))&gt;0.00000001,2,IF('DATOS'!O269="No existe",IF(LEN(TRIM('DATOS'!I269&amp;""))=0,0,2),IF('DATOS'!O269="Comparamos",IF(LEN(TRIM('DATOS'!I269&amp;""))=0,1,IF(ISNUMBER('DATOS'!I269),IF(ABS('DATOS'!H269-'DATOS'!I269)&gt;0.00000001,2,0),2)),1)))))),2)</f>
      </c>
      <c r="Q269" s="29">
        <f>IFERROR(IF(N269=0,"",IF(NOT(Y269=1),1,IF('DATOS'!K269="Sin valorar",2,IF('DATOS'!G269=0,1,IF(OR('DATOS'!H269=0,'DATOS'!J269=0),IF(AND(OR('DATOS'!K269="Sin coste documentado",'DATOS'!K269="Incluido en otra partida"),AND(LEN(TRIM('DATOS'!L269&amp;""))&gt;0,TRIM('DATOS'!L269&amp;"")&lt;&gt;"Pendiente",TRIM('DATOS'!L269&amp;"")&lt;&gt;"Por confirmar",TRIM('DATOS'!L269&amp;"")&lt;&gt;"No consta",TRIM('DATOS'!L269&amp;"")&lt;&gt;"Desconocido",TRIM('DATOS'!L269&amp;"")&lt;&gt;"Sin confirmar",TRIM('DATOS'!L269&amp;"")&lt;&gt;"Por decidir",TRIM('DATOS'!L269&amp;"")&lt;&gt;"Por comprobar")),0,1),0))))),2)</f>
      </c>
      <c r="R269" s="29">
        <f>IFERROR(IF(N269=0,"",IF(OR(NOT(AND(LEN(TRIM('DATOS'!D269&amp;""))&gt;0,TRIM('DATOS'!D269&amp;"")&lt;&gt;"Pendiente",TRIM('DATOS'!D269&amp;"")&lt;&gt;"Por confirmar",TRIM('DATOS'!D269&amp;"")&lt;&gt;"No consta",TRIM('DATOS'!D269&amp;"")&lt;&gt;"Desconocido",TRIM('DATOS'!D269&amp;"")&lt;&gt;"Sin confirmar",TRIM('DATOS'!D269&amp;"")&lt;&gt;"Por decidir",TRIM('DATOS'!D269&amp;"")&lt;&gt;"Por comprobar")),NOT(AND(LEN(TRIM('DATOS'!E269&amp;""))&gt;0,TRIM('DATOS'!E269&amp;"")&lt;&gt;"Pendiente",TRIM('DATOS'!E269&amp;"")&lt;&gt;"Por confirmar",TRIM('DATOS'!E269&amp;"")&lt;&gt;"No consta",TRIM('DATOS'!E269&amp;"")&lt;&gt;"Desconocido",TRIM('DATOS'!E269&amp;"")&lt;&gt;"Sin confirmar",TRIM('DATOS'!E269&amp;"")&lt;&gt;"Por decidir",TRIM('DATOS'!E269&amp;"")&lt;&gt;"Por comprobar"))),2,IF('DATOS'!M269="No",2,IF('DATOS'!M269="Sí",0,IF(OR('DATOS'!D269&lt;&gt;'DATOS'!E269,LEN('DATOS'!E269)&gt;300,RIGHT(TRIM('DATOS'!E269),3)="...",RIGHT(TRIM('DATOS'!E269),1)="…"),1,0))))),2)</f>
      </c>
      <c r="S269" s="29">
        <f>IFERROR(IF(N269=0,"",IF('REFERENCIAS'!$Q$8&lt;&gt;1,2,IF(NOT(Y269=1),1,IF(OR(ABS('DATOS'!G269-ROUND('DATOS'!G269,'REFERENCIAS'!$E$8))&gt;0.00000001,ABS('DATOS'!H269-ROUND('DATOS'!H269,'REFERENCIAS'!$H$8))&gt;0.00000001,ABS('DATOS'!J269-ROUND('DATOS'!J269,'REFERENCIAS'!$K$8))&gt;0.00000001,IF(ISNUMBER('DATOS'!I269),ABS('DATOS'!I269-ROUND('DATOS'!I269,'REFERENCIAS'!$H$8))&gt;0.00000001,FALSE)),1,0)))),2)</f>
      </c>
      <c r="T269" s="29">
        <f>IFERROR(IF(N269=0,"",IF(NOT(AND(LEN(TRIM('DATOS'!F269&amp;""))&gt;0,TRIM('DATOS'!F269&amp;"")&lt;&gt;"Pendiente",TRIM('DATOS'!F269&amp;"")&lt;&gt;"Por confirmar",TRIM('DATOS'!F269&amp;"")&lt;&gt;"No consta",TRIM('DATOS'!F269&amp;"")&lt;&gt;"Desconocido",TRIM('DATOS'!F269&amp;"")&lt;&gt;"Sin confirmar",TRIM('DATOS'!F269&amp;"")&lt;&gt;"Por decidir",TRIM('DATOS'!F269&amp;"")&lt;&gt;"Por comprobar")),2,IF(COUNTIFS('REFERENCIAS'!$T$15:$T$34,"ID:"&amp;SUBSTITUTE(SUBSTITUTE(SUBSTITUTE(SUBSTITUTE(UPPER(TRIM('DATOS'!F269&amp;"")),"!","!E"),"*","!A"),"?","!B"),"~","!C"),'REFERENCIAS'!$H$15:$H$34,"&lt;&gt;")&gt;0,0,1))),2)</f>
      </c>
      <c r="U269" s="29" t="str">
        <f>'DATOS'!R269</f>
        <v>ID:</v>
      </c>
      <c r="V269" s="29" t="str">
        <f>'DATOS'!S269</f>
        <v>ID:</v>
      </c>
      <c r="W269" s="29" t="n">
        <f>IF(N269=0,0,COUNTIFS('REFERENCIAS'!$R$15:$R$64,U269))</f>
        <v>0</v>
      </c>
      <c r="X269" s="29" t="n">
        <f>IF(N269=0,0,COUNTIFS('DATOS'!$R$10:$R$509,U269,'DATOS'!$S$10:$S$509,V269))</f>
        <v>0</v>
      </c>
      <c r="Y269" s="29" t="n">
        <f>IF(AND(ISNUMBER('DATOS'!G269),ISNUMBER('DATOS'!H269),ISNUMBER('DATOS'!J269)),1,0)</f>
        <v>0</v>
      </c>
    </row>
    <row r="270" ht="64" customHeight="1">
      <c r="B270" s="26">
        <f>IF(N270=1,261,"")</f>
      </c>
      <c r="C270" s="26">
        <f>IF(AND(N270=1,LEN(TRIM('DATOS'!B270&amp;""))&gt;0),'DATOS'!B270,"")</f>
      </c>
      <c r="D270" s="26">
        <f>IF(AND(N270=1,LEN(TRIM('DATOS'!C270&amp;""))&gt;0),'DATOS'!C270,"")</f>
      </c>
      <c r="E270" s="26">
        <f>IF(NOT(ISNUMBER(P270)),"",IF(P270=2,"ROJO",IF(P270=1,"ÁMBAR","VERDE")))</f>
      </c>
      <c r="F270" s="26">
        <f>IF(NOT(ISNUMBER(Q270)),"",IF(Q270=2,"ROJO",IF(Q270=1,"ÁMBAR","VERDE")))</f>
      </c>
      <c r="G270" s="26">
        <f>IF(NOT(ISNUMBER(R270)),"",IF(R270=2,"ROJO",IF(R270=1,"ÁMBAR","VERDE")))</f>
      </c>
      <c r="H270" s="26">
        <f>IF(NOT(ISNUMBER(S270)),"",IF(S270=2,"ROJO",IF(S270=1,"ÁMBAR","VERDE")))</f>
      </c>
      <c r="I270" s="26">
        <f>IF(NOT(ISNUMBER(T270)),"",IF(T270=2,"ROJO",IF(T270=1,"ÁMBAR","VERDE")))</f>
      </c>
      <c r="J270" s="26">
        <f>IF(NOT(ISNUMBER(O270)),"",IF(O270=2,"ROJO",IF(O270=1,"ÁMBAR","VERDE")))</f>
      </c>
      <c r="K270" s="26">
        <f>IFERROR(IF(AND(N270=1,LEN(TRIM('DATOS'!N270&amp;""))&gt;0),'DATOS'!N270,""),"Hay una entrada con error. Corregimos el dato antes de cerrar la comprobación.")</f>
      </c>
      <c r="L270" s="26">
        <f>IFERROR(IF(N270=0,"",IF(O270&gt;0,"Completamos datos, claves o motivo. ","")&amp;IF(P270&gt;0,"Cotejamos precios e importe. ","")&amp;IF(Q270&gt;0,"Aclaramos el cero. ","")&amp;IF(R270&gt;0,"Comprobamos el texto. ","")&amp;IF(S270&gt;0,"Revisamos decimales visibles. ","")&amp;IF(T270&gt;0,"Confirmamos la unidad.","")),"Hay una entrada con error. Corregimos el dato antes de cerrar la comprobación.")</f>
      </c>
      <c r="N270" s="29" t="n">
        <f>IF(COUNTA('DATOS'!B270:O270)&gt;0,1,0)</f>
        <v>0</v>
      </c>
      <c r="O270" s="29">
        <f>IFERROR(IF(N270=0,"",IF(OR(NOT(AND(LEN(TRIM('DATOS'!B270&amp;""))&gt;0,TRIM('DATOS'!B270&amp;"")&lt;&gt;"Pendiente",TRIM('DATOS'!B270&amp;"")&lt;&gt;"Por confirmar",TRIM('DATOS'!B270&amp;"")&lt;&gt;"No consta",TRIM('DATOS'!B270&amp;"")&lt;&gt;"Desconocido",TRIM('DATOS'!B270&amp;"")&lt;&gt;"Sin confirmar",TRIM('DATOS'!B270&amp;"")&lt;&gt;"Por decidir",TRIM('DATOS'!B270&amp;"")&lt;&gt;"Por comprobar")),NOT(AND(LEN(TRIM('DATOS'!C270&amp;""))&gt;0,TRIM('DATOS'!C270&amp;"")&lt;&gt;"Pendiente",TRIM('DATOS'!C270&amp;"")&lt;&gt;"Por confirmar",TRIM('DATOS'!C270&amp;"")&lt;&gt;"No consta",TRIM('DATOS'!C270&amp;"")&lt;&gt;"Desconocido",TRIM('DATOS'!C270&amp;"")&lt;&gt;"Sin confirmar",TRIM('DATOS'!C270&amp;"")&lt;&gt;"Por decidir",TRIM('DATOS'!C270&amp;"")&lt;&gt;"Por comprobar")),NOT(AND(LEN(TRIM('DATOS'!D270&amp;""))&gt;0,TRIM('DATOS'!D270&amp;"")&lt;&gt;"Pendiente",TRIM('DATOS'!D270&amp;"")&lt;&gt;"Por confirmar",TRIM('DATOS'!D270&amp;"")&lt;&gt;"No consta",TRIM('DATOS'!D270&amp;"")&lt;&gt;"Desconocido",TRIM('DATOS'!D270&amp;"")&lt;&gt;"Sin confirmar",TRIM('DATOS'!D270&amp;"")&lt;&gt;"Por decidir",TRIM('DATOS'!D270&amp;"")&lt;&gt;"Por comprobar")),NOT(AND(LEN(TRIM('DATOS'!E270&amp;""))&gt;0,TRIM('DATOS'!E270&amp;"")&lt;&gt;"Pendiente",TRIM('DATOS'!E270&amp;"")&lt;&gt;"Por confirmar",TRIM('DATOS'!E270&amp;"")&lt;&gt;"No consta",TRIM('DATOS'!E270&amp;"")&lt;&gt;"Desconocido",TRIM('DATOS'!E270&amp;"")&lt;&gt;"Sin confirmar",TRIM('DATOS'!E270&amp;"")&lt;&gt;"Por decidir",TRIM('DATOS'!E270&amp;"")&lt;&gt;"Por comprobar")),NOT(AND(LEN(TRIM('DATOS'!F270&amp;""))&gt;0,TRIM('DATOS'!F270&amp;"")&lt;&gt;"Pendiente",TRIM('DATOS'!F270&amp;"")&lt;&gt;"Por confirmar",TRIM('DATOS'!F270&amp;"")&lt;&gt;"No consta",TRIM('DATOS'!F270&amp;"")&lt;&gt;"Desconocido",TRIM('DATOS'!F270&amp;"")&lt;&gt;"Sin confirmar",TRIM('DATOS'!F270&amp;"")&lt;&gt;"Por decidir",TRIM('DATOS'!F270&amp;"")&lt;&gt;"Por comprobar")),NOT(AND(LEN(TRIM('DATOS'!N270&amp;""))&gt;0,TRIM('DATOS'!N270&amp;"")&lt;&gt;"Pendiente",TRIM('DATOS'!N270&amp;"")&lt;&gt;"Por confirmar",TRIM('DATOS'!N270&amp;"")&lt;&gt;"No consta",TRIM('DATOS'!N270&amp;"")&lt;&gt;"Desconocido",TRIM('DATOS'!N270&amp;"")&lt;&gt;"Sin confirmar",TRIM('DATOS'!N270&amp;"")&lt;&gt;"Por decidir",TRIM('DATOS'!N270&amp;"")&lt;&gt;"Por comprobar")),NOT(Y270=1),W270&lt;&gt;1,X270&gt;1,NOT(OR(LEN(TRIM('DATOS'!K270&amp;""))=0,'DATOS'!K270="Sin valorar",'DATOS'!K270="Sin coste documentado",'DATOS'!K270="Incluido en otra partida",'DATOS'!K270="Por confirmar")),NOT(OR(LEN(TRIM('DATOS'!M270&amp;""))=0,'DATOS'!M270="Sí",'DATOS'!M270="No",'DATOS'!M270="Por confirmar")),NOT(OR(LEN(TRIM('DATOS'!O270&amp;""))=0,'DATOS'!O270="Comparamos",'DATOS'!O270="No existe",'DATOS'!O270="Por confirmar"))),2,IF(AND(OR('DATOS'!G270&lt;0,'DATOS'!H270&lt;0,'DATOS'!J270&lt;0),NOT(AND(LEN(TRIM('DATOS'!L270&amp;""))&gt;0,TRIM('DATOS'!L270&amp;"")&lt;&gt;"Pendiente",TRIM('DATOS'!L270&amp;"")&lt;&gt;"Por confirmar",TRIM('DATOS'!L270&amp;"")&lt;&gt;"No consta",TRIM('DATOS'!L270&amp;"")&lt;&gt;"Desconocido",TRIM('DATOS'!L270&amp;"")&lt;&gt;"Sin confirmar",TRIM('DATOS'!L270&amp;"")&lt;&gt;"Por decidir",TRIM('DATOS'!L270&amp;"")&lt;&gt;"Por comprobar"))),1,0))),2)</f>
      </c>
      <c r="P270" s="29">
        <f>IFERROR(IF(N270=0,"",IF(NOT(Y270=1),1,IF('REFERENCIAS'!$Q$8&lt;&gt;1,2,IF(ABS('DATOS'!J270-ROUND('DATOS'!G270*'DATOS'!H270,'REFERENCIAS'!$K$8))&gt;0.00000001,2,IF('DATOS'!O270="No existe",IF(LEN(TRIM('DATOS'!I270&amp;""))=0,0,2),IF('DATOS'!O270="Comparamos",IF(LEN(TRIM('DATOS'!I270&amp;""))=0,1,IF(ISNUMBER('DATOS'!I270),IF(ABS('DATOS'!H270-'DATOS'!I270)&gt;0.00000001,2,0),2)),1)))))),2)</f>
      </c>
      <c r="Q270" s="29">
        <f>IFERROR(IF(N270=0,"",IF(NOT(Y270=1),1,IF('DATOS'!K270="Sin valorar",2,IF('DATOS'!G270=0,1,IF(OR('DATOS'!H270=0,'DATOS'!J270=0),IF(AND(OR('DATOS'!K270="Sin coste documentado",'DATOS'!K270="Incluido en otra partida"),AND(LEN(TRIM('DATOS'!L270&amp;""))&gt;0,TRIM('DATOS'!L270&amp;"")&lt;&gt;"Pendiente",TRIM('DATOS'!L270&amp;"")&lt;&gt;"Por confirmar",TRIM('DATOS'!L270&amp;"")&lt;&gt;"No consta",TRIM('DATOS'!L270&amp;"")&lt;&gt;"Desconocido",TRIM('DATOS'!L270&amp;"")&lt;&gt;"Sin confirmar",TRIM('DATOS'!L270&amp;"")&lt;&gt;"Por decidir",TRIM('DATOS'!L270&amp;"")&lt;&gt;"Por comprobar")),0,1),0))))),2)</f>
      </c>
      <c r="R270" s="29">
        <f>IFERROR(IF(N270=0,"",IF(OR(NOT(AND(LEN(TRIM('DATOS'!D270&amp;""))&gt;0,TRIM('DATOS'!D270&amp;"")&lt;&gt;"Pendiente",TRIM('DATOS'!D270&amp;"")&lt;&gt;"Por confirmar",TRIM('DATOS'!D270&amp;"")&lt;&gt;"No consta",TRIM('DATOS'!D270&amp;"")&lt;&gt;"Desconocido",TRIM('DATOS'!D270&amp;"")&lt;&gt;"Sin confirmar",TRIM('DATOS'!D270&amp;"")&lt;&gt;"Por decidir",TRIM('DATOS'!D270&amp;"")&lt;&gt;"Por comprobar")),NOT(AND(LEN(TRIM('DATOS'!E270&amp;""))&gt;0,TRIM('DATOS'!E270&amp;"")&lt;&gt;"Pendiente",TRIM('DATOS'!E270&amp;"")&lt;&gt;"Por confirmar",TRIM('DATOS'!E270&amp;"")&lt;&gt;"No consta",TRIM('DATOS'!E270&amp;"")&lt;&gt;"Desconocido",TRIM('DATOS'!E270&amp;"")&lt;&gt;"Sin confirmar",TRIM('DATOS'!E270&amp;"")&lt;&gt;"Por decidir",TRIM('DATOS'!E270&amp;"")&lt;&gt;"Por comprobar"))),2,IF('DATOS'!M270="No",2,IF('DATOS'!M270="Sí",0,IF(OR('DATOS'!D270&lt;&gt;'DATOS'!E270,LEN('DATOS'!E270)&gt;300,RIGHT(TRIM('DATOS'!E270),3)="...",RIGHT(TRIM('DATOS'!E270),1)="…"),1,0))))),2)</f>
      </c>
      <c r="S270" s="29">
        <f>IFERROR(IF(N270=0,"",IF('REFERENCIAS'!$Q$8&lt;&gt;1,2,IF(NOT(Y270=1),1,IF(OR(ABS('DATOS'!G270-ROUND('DATOS'!G270,'REFERENCIAS'!$E$8))&gt;0.00000001,ABS('DATOS'!H270-ROUND('DATOS'!H270,'REFERENCIAS'!$H$8))&gt;0.00000001,ABS('DATOS'!J270-ROUND('DATOS'!J270,'REFERENCIAS'!$K$8))&gt;0.00000001,IF(ISNUMBER('DATOS'!I270),ABS('DATOS'!I270-ROUND('DATOS'!I270,'REFERENCIAS'!$H$8))&gt;0.00000001,FALSE)),1,0)))),2)</f>
      </c>
      <c r="T270" s="29">
        <f>IFERROR(IF(N270=0,"",IF(NOT(AND(LEN(TRIM('DATOS'!F270&amp;""))&gt;0,TRIM('DATOS'!F270&amp;"")&lt;&gt;"Pendiente",TRIM('DATOS'!F270&amp;"")&lt;&gt;"Por confirmar",TRIM('DATOS'!F270&amp;"")&lt;&gt;"No consta",TRIM('DATOS'!F270&amp;"")&lt;&gt;"Desconocido",TRIM('DATOS'!F270&amp;"")&lt;&gt;"Sin confirmar",TRIM('DATOS'!F270&amp;"")&lt;&gt;"Por decidir",TRIM('DATOS'!F270&amp;"")&lt;&gt;"Por comprobar")),2,IF(COUNTIFS('REFERENCIAS'!$T$15:$T$34,"ID:"&amp;SUBSTITUTE(SUBSTITUTE(SUBSTITUTE(SUBSTITUTE(UPPER(TRIM('DATOS'!F270&amp;"")),"!","!E"),"*","!A"),"?","!B"),"~","!C"),'REFERENCIAS'!$H$15:$H$34,"&lt;&gt;")&gt;0,0,1))),2)</f>
      </c>
      <c r="U270" s="29" t="str">
        <f>'DATOS'!R270</f>
        <v>ID:</v>
      </c>
      <c r="V270" s="29" t="str">
        <f>'DATOS'!S270</f>
        <v>ID:</v>
      </c>
      <c r="W270" s="29" t="n">
        <f>IF(N270=0,0,COUNTIFS('REFERENCIAS'!$R$15:$R$64,U270))</f>
        <v>0</v>
      </c>
      <c r="X270" s="29" t="n">
        <f>IF(N270=0,0,COUNTIFS('DATOS'!$R$10:$R$509,U270,'DATOS'!$S$10:$S$509,V270))</f>
        <v>0</v>
      </c>
      <c r="Y270" s="29" t="n">
        <f>IF(AND(ISNUMBER('DATOS'!G270),ISNUMBER('DATOS'!H270),ISNUMBER('DATOS'!J270)),1,0)</f>
        <v>0</v>
      </c>
    </row>
    <row r="271" ht="64" customHeight="1">
      <c r="B271" s="26">
        <f>IF(N271=1,262,"")</f>
      </c>
      <c r="C271" s="26">
        <f>IF(AND(N271=1,LEN(TRIM('DATOS'!B271&amp;""))&gt;0),'DATOS'!B271,"")</f>
      </c>
      <c r="D271" s="26">
        <f>IF(AND(N271=1,LEN(TRIM('DATOS'!C271&amp;""))&gt;0),'DATOS'!C271,"")</f>
      </c>
      <c r="E271" s="26">
        <f>IF(NOT(ISNUMBER(P271)),"",IF(P271=2,"ROJO",IF(P271=1,"ÁMBAR","VERDE")))</f>
      </c>
      <c r="F271" s="26">
        <f>IF(NOT(ISNUMBER(Q271)),"",IF(Q271=2,"ROJO",IF(Q271=1,"ÁMBAR","VERDE")))</f>
      </c>
      <c r="G271" s="26">
        <f>IF(NOT(ISNUMBER(R271)),"",IF(R271=2,"ROJO",IF(R271=1,"ÁMBAR","VERDE")))</f>
      </c>
      <c r="H271" s="26">
        <f>IF(NOT(ISNUMBER(S271)),"",IF(S271=2,"ROJO",IF(S271=1,"ÁMBAR","VERDE")))</f>
      </c>
      <c r="I271" s="26">
        <f>IF(NOT(ISNUMBER(T271)),"",IF(T271=2,"ROJO",IF(T271=1,"ÁMBAR","VERDE")))</f>
      </c>
      <c r="J271" s="26">
        <f>IF(NOT(ISNUMBER(O271)),"",IF(O271=2,"ROJO",IF(O271=1,"ÁMBAR","VERDE")))</f>
      </c>
      <c r="K271" s="26">
        <f>IFERROR(IF(AND(N271=1,LEN(TRIM('DATOS'!N271&amp;""))&gt;0),'DATOS'!N271,""),"Hay una entrada con error. Corregimos el dato antes de cerrar la comprobación.")</f>
      </c>
      <c r="L271" s="26">
        <f>IFERROR(IF(N271=0,"",IF(O271&gt;0,"Completamos datos, claves o motivo. ","")&amp;IF(P271&gt;0,"Cotejamos precios e importe. ","")&amp;IF(Q271&gt;0,"Aclaramos el cero. ","")&amp;IF(R271&gt;0,"Comprobamos el texto. ","")&amp;IF(S271&gt;0,"Revisamos decimales visibles. ","")&amp;IF(T271&gt;0,"Confirmamos la unidad.","")),"Hay una entrada con error. Corregimos el dato antes de cerrar la comprobación.")</f>
      </c>
      <c r="N271" s="29" t="n">
        <f>IF(COUNTA('DATOS'!B271:O271)&gt;0,1,0)</f>
        <v>0</v>
      </c>
      <c r="O271" s="29">
        <f>IFERROR(IF(N271=0,"",IF(OR(NOT(AND(LEN(TRIM('DATOS'!B271&amp;""))&gt;0,TRIM('DATOS'!B271&amp;"")&lt;&gt;"Pendiente",TRIM('DATOS'!B271&amp;"")&lt;&gt;"Por confirmar",TRIM('DATOS'!B271&amp;"")&lt;&gt;"No consta",TRIM('DATOS'!B271&amp;"")&lt;&gt;"Desconocido",TRIM('DATOS'!B271&amp;"")&lt;&gt;"Sin confirmar",TRIM('DATOS'!B271&amp;"")&lt;&gt;"Por decidir",TRIM('DATOS'!B271&amp;"")&lt;&gt;"Por comprobar")),NOT(AND(LEN(TRIM('DATOS'!C271&amp;""))&gt;0,TRIM('DATOS'!C271&amp;"")&lt;&gt;"Pendiente",TRIM('DATOS'!C271&amp;"")&lt;&gt;"Por confirmar",TRIM('DATOS'!C271&amp;"")&lt;&gt;"No consta",TRIM('DATOS'!C271&amp;"")&lt;&gt;"Desconocido",TRIM('DATOS'!C271&amp;"")&lt;&gt;"Sin confirmar",TRIM('DATOS'!C271&amp;"")&lt;&gt;"Por decidir",TRIM('DATOS'!C271&amp;"")&lt;&gt;"Por comprobar")),NOT(AND(LEN(TRIM('DATOS'!D271&amp;""))&gt;0,TRIM('DATOS'!D271&amp;"")&lt;&gt;"Pendiente",TRIM('DATOS'!D271&amp;"")&lt;&gt;"Por confirmar",TRIM('DATOS'!D271&amp;"")&lt;&gt;"No consta",TRIM('DATOS'!D271&amp;"")&lt;&gt;"Desconocido",TRIM('DATOS'!D271&amp;"")&lt;&gt;"Sin confirmar",TRIM('DATOS'!D271&amp;"")&lt;&gt;"Por decidir",TRIM('DATOS'!D271&amp;"")&lt;&gt;"Por comprobar")),NOT(AND(LEN(TRIM('DATOS'!E271&amp;""))&gt;0,TRIM('DATOS'!E271&amp;"")&lt;&gt;"Pendiente",TRIM('DATOS'!E271&amp;"")&lt;&gt;"Por confirmar",TRIM('DATOS'!E271&amp;"")&lt;&gt;"No consta",TRIM('DATOS'!E271&amp;"")&lt;&gt;"Desconocido",TRIM('DATOS'!E271&amp;"")&lt;&gt;"Sin confirmar",TRIM('DATOS'!E271&amp;"")&lt;&gt;"Por decidir",TRIM('DATOS'!E271&amp;"")&lt;&gt;"Por comprobar")),NOT(AND(LEN(TRIM('DATOS'!F271&amp;""))&gt;0,TRIM('DATOS'!F271&amp;"")&lt;&gt;"Pendiente",TRIM('DATOS'!F271&amp;"")&lt;&gt;"Por confirmar",TRIM('DATOS'!F271&amp;"")&lt;&gt;"No consta",TRIM('DATOS'!F271&amp;"")&lt;&gt;"Desconocido",TRIM('DATOS'!F271&amp;"")&lt;&gt;"Sin confirmar",TRIM('DATOS'!F271&amp;"")&lt;&gt;"Por decidir",TRIM('DATOS'!F271&amp;"")&lt;&gt;"Por comprobar")),NOT(AND(LEN(TRIM('DATOS'!N271&amp;""))&gt;0,TRIM('DATOS'!N271&amp;"")&lt;&gt;"Pendiente",TRIM('DATOS'!N271&amp;"")&lt;&gt;"Por confirmar",TRIM('DATOS'!N271&amp;"")&lt;&gt;"No consta",TRIM('DATOS'!N271&amp;"")&lt;&gt;"Desconocido",TRIM('DATOS'!N271&amp;"")&lt;&gt;"Sin confirmar",TRIM('DATOS'!N271&amp;"")&lt;&gt;"Por decidir",TRIM('DATOS'!N271&amp;"")&lt;&gt;"Por comprobar")),NOT(Y271=1),W271&lt;&gt;1,X271&gt;1,NOT(OR(LEN(TRIM('DATOS'!K271&amp;""))=0,'DATOS'!K271="Sin valorar",'DATOS'!K271="Sin coste documentado",'DATOS'!K271="Incluido en otra partida",'DATOS'!K271="Por confirmar")),NOT(OR(LEN(TRIM('DATOS'!M271&amp;""))=0,'DATOS'!M271="Sí",'DATOS'!M271="No",'DATOS'!M271="Por confirmar")),NOT(OR(LEN(TRIM('DATOS'!O271&amp;""))=0,'DATOS'!O271="Comparamos",'DATOS'!O271="No existe",'DATOS'!O271="Por confirmar"))),2,IF(AND(OR('DATOS'!G271&lt;0,'DATOS'!H271&lt;0,'DATOS'!J271&lt;0),NOT(AND(LEN(TRIM('DATOS'!L271&amp;""))&gt;0,TRIM('DATOS'!L271&amp;"")&lt;&gt;"Pendiente",TRIM('DATOS'!L271&amp;"")&lt;&gt;"Por confirmar",TRIM('DATOS'!L271&amp;"")&lt;&gt;"No consta",TRIM('DATOS'!L271&amp;"")&lt;&gt;"Desconocido",TRIM('DATOS'!L271&amp;"")&lt;&gt;"Sin confirmar",TRIM('DATOS'!L271&amp;"")&lt;&gt;"Por decidir",TRIM('DATOS'!L271&amp;"")&lt;&gt;"Por comprobar"))),1,0))),2)</f>
      </c>
      <c r="P271" s="29">
        <f>IFERROR(IF(N271=0,"",IF(NOT(Y271=1),1,IF('REFERENCIAS'!$Q$8&lt;&gt;1,2,IF(ABS('DATOS'!J271-ROUND('DATOS'!G271*'DATOS'!H271,'REFERENCIAS'!$K$8))&gt;0.00000001,2,IF('DATOS'!O271="No existe",IF(LEN(TRIM('DATOS'!I271&amp;""))=0,0,2),IF('DATOS'!O271="Comparamos",IF(LEN(TRIM('DATOS'!I271&amp;""))=0,1,IF(ISNUMBER('DATOS'!I271),IF(ABS('DATOS'!H271-'DATOS'!I271)&gt;0.00000001,2,0),2)),1)))))),2)</f>
      </c>
      <c r="Q271" s="29">
        <f>IFERROR(IF(N271=0,"",IF(NOT(Y271=1),1,IF('DATOS'!K271="Sin valorar",2,IF('DATOS'!G271=0,1,IF(OR('DATOS'!H271=0,'DATOS'!J271=0),IF(AND(OR('DATOS'!K271="Sin coste documentado",'DATOS'!K271="Incluido en otra partida"),AND(LEN(TRIM('DATOS'!L271&amp;""))&gt;0,TRIM('DATOS'!L271&amp;"")&lt;&gt;"Pendiente",TRIM('DATOS'!L271&amp;"")&lt;&gt;"Por confirmar",TRIM('DATOS'!L271&amp;"")&lt;&gt;"No consta",TRIM('DATOS'!L271&amp;"")&lt;&gt;"Desconocido",TRIM('DATOS'!L271&amp;"")&lt;&gt;"Sin confirmar",TRIM('DATOS'!L271&amp;"")&lt;&gt;"Por decidir",TRIM('DATOS'!L271&amp;"")&lt;&gt;"Por comprobar")),0,1),0))))),2)</f>
      </c>
      <c r="R271" s="29">
        <f>IFERROR(IF(N271=0,"",IF(OR(NOT(AND(LEN(TRIM('DATOS'!D271&amp;""))&gt;0,TRIM('DATOS'!D271&amp;"")&lt;&gt;"Pendiente",TRIM('DATOS'!D271&amp;"")&lt;&gt;"Por confirmar",TRIM('DATOS'!D271&amp;"")&lt;&gt;"No consta",TRIM('DATOS'!D271&amp;"")&lt;&gt;"Desconocido",TRIM('DATOS'!D271&amp;"")&lt;&gt;"Sin confirmar",TRIM('DATOS'!D271&amp;"")&lt;&gt;"Por decidir",TRIM('DATOS'!D271&amp;"")&lt;&gt;"Por comprobar")),NOT(AND(LEN(TRIM('DATOS'!E271&amp;""))&gt;0,TRIM('DATOS'!E271&amp;"")&lt;&gt;"Pendiente",TRIM('DATOS'!E271&amp;"")&lt;&gt;"Por confirmar",TRIM('DATOS'!E271&amp;"")&lt;&gt;"No consta",TRIM('DATOS'!E271&amp;"")&lt;&gt;"Desconocido",TRIM('DATOS'!E271&amp;"")&lt;&gt;"Sin confirmar",TRIM('DATOS'!E271&amp;"")&lt;&gt;"Por decidir",TRIM('DATOS'!E271&amp;"")&lt;&gt;"Por comprobar"))),2,IF('DATOS'!M271="No",2,IF('DATOS'!M271="Sí",0,IF(OR('DATOS'!D271&lt;&gt;'DATOS'!E271,LEN('DATOS'!E271)&gt;300,RIGHT(TRIM('DATOS'!E271),3)="...",RIGHT(TRIM('DATOS'!E271),1)="…"),1,0))))),2)</f>
      </c>
      <c r="S271" s="29">
        <f>IFERROR(IF(N271=0,"",IF('REFERENCIAS'!$Q$8&lt;&gt;1,2,IF(NOT(Y271=1),1,IF(OR(ABS('DATOS'!G271-ROUND('DATOS'!G271,'REFERENCIAS'!$E$8))&gt;0.00000001,ABS('DATOS'!H271-ROUND('DATOS'!H271,'REFERENCIAS'!$H$8))&gt;0.00000001,ABS('DATOS'!J271-ROUND('DATOS'!J271,'REFERENCIAS'!$K$8))&gt;0.00000001,IF(ISNUMBER('DATOS'!I271),ABS('DATOS'!I271-ROUND('DATOS'!I271,'REFERENCIAS'!$H$8))&gt;0.00000001,FALSE)),1,0)))),2)</f>
      </c>
      <c r="T271" s="29">
        <f>IFERROR(IF(N271=0,"",IF(NOT(AND(LEN(TRIM('DATOS'!F271&amp;""))&gt;0,TRIM('DATOS'!F271&amp;"")&lt;&gt;"Pendiente",TRIM('DATOS'!F271&amp;"")&lt;&gt;"Por confirmar",TRIM('DATOS'!F271&amp;"")&lt;&gt;"No consta",TRIM('DATOS'!F271&amp;"")&lt;&gt;"Desconocido",TRIM('DATOS'!F271&amp;"")&lt;&gt;"Sin confirmar",TRIM('DATOS'!F271&amp;"")&lt;&gt;"Por decidir",TRIM('DATOS'!F271&amp;"")&lt;&gt;"Por comprobar")),2,IF(COUNTIFS('REFERENCIAS'!$T$15:$T$34,"ID:"&amp;SUBSTITUTE(SUBSTITUTE(SUBSTITUTE(SUBSTITUTE(UPPER(TRIM('DATOS'!F271&amp;"")),"!","!E"),"*","!A"),"?","!B"),"~","!C"),'REFERENCIAS'!$H$15:$H$34,"&lt;&gt;")&gt;0,0,1))),2)</f>
      </c>
      <c r="U271" s="29" t="str">
        <f>'DATOS'!R271</f>
        <v>ID:</v>
      </c>
      <c r="V271" s="29" t="str">
        <f>'DATOS'!S271</f>
        <v>ID:</v>
      </c>
      <c r="W271" s="29" t="n">
        <f>IF(N271=0,0,COUNTIFS('REFERENCIAS'!$R$15:$R$64,U271))</f>
        <v>0</v>
      </c>
      <c r="X271" s="29" t="n">
        <f>IF(N271=0,0,COUNTIFS('DATOS'!$R$10:$R$509,U271,'DATOS'!$S$10:$S$509,V271))</f>
        <v>0</v>
      </c>
      <c r="Y271" s="29" t="n">
        <f>IF(AND(ISNUMBER('DATOS'!G271),ISNUMBER('DATOS'!H271),ISNUMBER('DATOS'!J271)),1,0)</f>
        <v>0</v>
      </c>
    </row>
    <row r="272" ht="64" customHeight="1">
      <c r="B272" s="26">
        <f>IF(N272=1,263,"")</f>
      </c>
      <c r="C272" s="26">
        <f>IF(AND(N272=1,LEN(TRIM('DATOS'!B272&amp;""))&gt;0),'DATOS'!B272,"")</f>
      </c>
      <c r="D272" s="26">
        <f>IF(AND(N272=1,LEN(TRIM('DATOS'!C272&amp;""))&gt;0),'DATOS'!C272,"")</f>
      </c>
      <c r="E272" s="26">
        <f>IF(NOT(ISNUMBER(P272)),"",IF(P272=2,"ROJO",IF(P272=1,"ÁMBAR","VERDE")))</f>
      </c>
      <c r="F272" s="26">
        <f>IF(NOT(ISNUMBER(Q272)),"",IF(Q272=2,"ROJO",IF(Q272=1,"ÁMBAR","VERDE")))</f>
      </c>
      <c r="G272" s="26">
        <f>IF(NOT(ISNUMBER(R272)),"",IF(R272=2,"ROJO",IF(R272=1,"ÁMBAR","VERDE")))</f>
      </c>
      <c r="H272" s="26">
        <f>IF(NOT(ISNUMBER(S272)),"",IF(S272=2,"ROJO",IF(S272=1,"ÁMBAR","VERDE")))</f>
      </c>
      <c r="I272" s="26">
        <f>IF(NOT(ISNUMBER(T272)),"",IF(T272=2,"ROJO",IF(T272=1,"ÁMBAR","VERDE")))</f>
      </c>
      <c r="J272" s="26">
        <f>IF(NOT(ISNUMBER(O272)),"",IF(O272=2,"ROJO",IF(O272=1,"ÁMBAR","VERDE")))</f>
      </c>
      <c r="K272" s="26">
        <f>IFERROR(IF(AND(N272=1,LEN(TRIM('DATOS'!N272&amp;""))&gt;0),'DATOS'!N272,""),"Hay una entrada con error. Corregimos el dato antes de cerrar la comprobación.")</f>
      </c>
      <c r="L272" s="26">
        <f>IFERROR(IF(N272=0,"",IF(O272&gt;0,"Completamos datos, claves o motivo. ","")&amp;IF(P272&gt;0,"Cotejamos precios e importe. ","")&amp;IF(Q272&gt;0,"Aclaramos el cero. ","")&amp;IF(R272&gt;0,"Comprobamos el texto. ","")&amp;IF(S272&gt;0,"Revisamos decimales visibles. ","")&amp;IF(T272&gt;0,"Confirmamos la unidad.","")),"Hay una entrada con error. Corregimos el dato antes de cerrar la comprobación.")</f>
      </c>
      <c r="N272" s="29" t="n">
        <f>IF(COUNTA('DATOS'!B272:O272)&gt;0,1,0)</f>
        <v>0</v>
      </c>
      <c r="O272" s="29">
        <f>IFERROR(IF(N272=0,"",IF(OR(NOT(AND(LEN(TRIM('DATOS'!B272&amp;""))&gt;0,TRIM('DATOS'!B272&amp;"")&lt;&gt;"Pendiente",TRIM('DATOS'!B272&amp;"")&lt;&gt;"Por confirmar",TRIM('DATOS'!B272&amp;"")&lt;&gt;"No consta",TRIM('DATOS'!B272&amp;"")&lt;&gt;"Desconocido",TRIM('DATOS'!B272&amp;"")&lt;&gt;"Sin confirmar",TRIM('DATOS'!B272&amp;"")&lt;&gt;"Por decidir",TRIM('DATOS'!B272&amp;"")&lt;&gt;"Por comprobar")),NOT(AND(LEN(TRIM('DATOS'!C272&amp;""))&gt;0,TRIM('DATOS'!C272&amp;"")&lt;&gt;"Pendiente",TRIM('DATOS'!C272&amp;"")&lt;&gt;"Por confirmar",TRIM('DATOS'!C272&amp;"")&lt;&gt;"No consta",TRIM('DATOS'!C272&amp;"")&lt;&gt;"Desconocido",TRIM('DATOS'!C272&amp;"")&lt;&gt;"Sin confirmar",TRIM('DATOS'!C272&amp;"")&lt;&gt;"Por decidir",TRIM('DATOS'!C272&amp;"")&lt;&gt;"Por comprobar")),NOT(AND(LEN(TRIM('DATOS'!D272&amp;""))&gt;0,TRIM('DATOS'!D272&amp;"")&lt;&gt;"Pendiente",TRIM('DATOS'!D272&amp;"")&lt;&gt;"Por confirmar",TRIM('DATOS'!D272&amp;"")&lt;&gt;"No consta",TRIM('DATOS'!D272&amp;"")&lt;&gt;"Desconocido",TRIM('DATOS'!D272&amp;"")&lt;&gt;"Sin confirmar",TRIM('DATOS'!D272&amp;"")&lt;&gt;"Por decidir",TRIM('DATOS'!D272&amp;"")&lt;&gt;"Por comprobar")),NOT(AND(LEN(TRIM('DATOS'!E272&amp;""))&gt;0,TRIM('DATOS'!E272&amp;"")&lt;&gt;"Pendiente",TRIM('DATOS'!E272&amp;"")&lt;&gt;"Por confirmar",TRIM('DATOS'!E272&amp;"")&lt;&gt;"No consta",TRIM('DATOS'!E272&amp;"")&lt;&gt;"Desconocido",TRIM('DATOS'!E272&amp;"")&lt;&gt;"Sin confirmar",TRIM('DATOS'!E272&amp;"")&lt;&gt;"Por decidir",TRIM('DATOS'!E272&amp;"")&lt;&gt;"Por comprobar")),NOT(AND(LEN(TRIM('DATOS'!F272&amp;""))&gt;0,TRIM('DATOS'!F272&amp;"")&lt;&gt;"Pendiente",TRIM('DATOS'!F272&amp;"")&lt;&gt;"Por confirmar",TRIM('DATOS'!F272&amp;"")&lt;&gt;"No consta",TRIM('DATOS'!F272&amp;"")&lt;&gt;"Desconocido",TRIM('DATOS'!F272&amp;"")&lt;&gt;"Sin confirmar",TRIM('DATOS'!F272&amp;"")&lt;&gt;"Por decidir",TRIM('DATOS'!F272&amp;"")&lt;&gt;"Por comprobar")),NOT(AND(LEN(TRIM('DATOS'!N272&amp;""))&gt;0,TRIM('DATOS'!N272&amp;"")&lt;&gt;"Pendiente",TRIM('DATOS'!N272&amp;"")&lt;&gt;"Por confirmar",TRIM('DATOS'!N272&amp;"")&lt;&gt;"No consta",TRIM('DATOS'!N272&amp;"")&lt;&gt;"Desconocido",TRIM('DATOS'!N272&amp;"")&lt;&gt;"Sin confirmar",TRIM('DATOS'!N272&amp;"")&lt;&gt;"Por decidir",TRIM('DATOS'!N272&amp;"")&lt;&gt;"Por comprobar")),NOT(Y272=1),W272&lt;&gt;1,X272&gt;1,NOT(OR(LEN(TRIM('DATOS'!K272&amp;""))=0,'DATOS'!K272="Sin valorar",'DATOS'!K272="Sin coste documentado",'DATOS'!K272="Incluido en otra partida",'DATOS'!K272="Por confirmar")),NOT(OR(LEN(TRIM('DATOS'!M272&amp;""))=0,'DATOS'!M272="Sí",'DATOS'!M272="No",'DATOS'!M272="Por confirmar")),NOT(OR(LEN(TRIM('DATOS'!O272&amp;""))=0,'DATOS'!O272="Comparamos",'DATOS'!O272="No existe",'DATOS'!O272="Por confirmar"))),2,IF(AND(OR('DATOS'!G272&lt;0,'DATOS'!H272&lt;0,'DATOS'!J272&lt;0),NOT(AND(LEN(TRIM('DATOS'!L272&amp;""))&gt;0,TRIM('DATOS'!L272&amp;"")&lt;&gt;"Pendiente",TRIM('DATOS'!L272&amp;"")&lt;&gt;"Por confirmar",TRIM('DATOS'!L272&amp;"")&lt;&gt;"No consta",TRIM('DATOS'!L272&amp;"")&lt;&gt;"Desconocido",TRIM('DATOS'!L272&amp;"")&lt;&gt;"Sin confirmar",TRIM('DATOS'!L272&amp;"")&lt;&gt;"Por decidir",TRIM('DATOS'!L272&amp;"")&lt;&gt;"Por comprobar"))),1,0))),2)</f>
      </c>
      <c r="P272" s="29">
        <f>IFERROR(IF(N272=0,"",IF(NOT(Y272=1),1,IF('REFERENCIAS'!$Q$8&lt;&gt;1,2,IF(ABS('DATOS'!J272-ROUND('DATOS'!G272*'DATOS'!H272,'REFERENCIAS'!$K$8))&gt;0.00000001,2,IF('DATOS'!O272="No existe",IF(LEN(TRIM('DATOS'!I272&amp;""))=0,0,2),IF('DATOS'!O272="Comparamos",IF(LEN(TRIM('DATOS'!I272&amp;""))=0,1,IF(ISNUMBER('DATOS'!I272),IF(ABS('DATOS'!H272-'DATOS'!I272)&gt;0.00000001,2,0),2)),1)))))),2)</f>
      </c>
      <c r="Q272" s="29">
        <f>IFERROR(IF(N272=0,"",IF(NOT(Y272=1),1,IF('DATOS'!K272="Sin valorar",2,IF('DATOS'!G272=0,1,IF(OR('DATOS'!H272=0,'DATOS'!J272=0),IF(AND(OR('DATOS'!K272="Sin coste documentado",'DATOS'!K272="Incluido en otra partida"),AND(LEN(TRIM('DATOS'!L272&amp;""))&gt;0,TRIM('DATOS'!L272&amp;"")&lt;&gt;"Pendiente",TRIM('DATOS'!L272&amp;"")&lt;&gt;"Por confirmar",TRIM('DATOS'!L272&amp;"")&lt;&gt;"No consta",TRIM('DATOS'!L272&amp;"")&lt;&gt;"Desconocido",TRIM('DATOS'!L272&amp;"")&lt;&gt;"Sin confirmar",TRIM('DATOS'!L272&amp;"")&lt;&gt;"Por decidir",TRIM('DATOS'!L272&amp;"")&lt;&gt;"Por comprobar")),0,1),0))))),2)</f>
      </c>
      <c r="R272" s="29">
        <f>IFERROR(IF(N272=0,"",IF(OR(NOT(AND(LEN(TRIM('DATOS'!D272&amp;""))&gt;0,TRIM('DATOS'!D272&amp;"")&lt;&gt;"Pendiente",TRIM('DATOS'!D272&amp;"")&lt;&gt;"Por confirmar",TRIM('DATOS'!D272&amp;"")&lt;&gt;"No consta",TRIM('DATOS'!D272&amp;"")&lt;&gt;"Desconocido",TRIM('DATOS'!D272&amp;"")&lt;&gt;"Sin confirmar",TRIM('DATOS'!D272&amp;"")&lt;&gt;"Por decidir",TRIM('DATOS'!D272&amp;"")&lt;&gt;"Por comprobar")),NOT(AND(LEN(TRIM('DATOS'!E272&amp;""))&gt;0,TRIM('DATOS'!E272&amp;"")&lt;&gt;"Pendiente",TRIM('DATOS'!E272&amp;"")&lt;&gt;"Por confirmar",TRIM('DATOS'!E272&amp;"")&lt;&gt;"No consta",TRIM('DATOS'!E272&amp;"")&lt;&gt;"Desconocido",TRIM('DATOS'!E272&amp;"")&lt;&gt;"Sin confirmar",TRIM('DATOS'!E272&amp;"")&lt;&gt;"Por decidir",TRIM('DATOS'!E272&amp;"")&lt;&gt;"Por comprobar"))),2,IF('DATOS'!M272="No",2,IF('DATOS'!M272="Sí",0,IF(OR('DATOS'!D272&lt;&gt;'DATOS'!E272,LEN('DATOS'!E272)&gt;300,RIGHT(TRIM('DATOS'!E272),3)="...",RIGHT(TRIM('DATOS'!E272),1)="…"),1,0))))),2)</f>
      </c>
      <c r="S272" s="29">
        <f>IFERROR(IF(N272=0,"",IF('REFERENCIAS'!$Q$8&lt;&gt;1,2,IF(NOT(Y272=1),1,IF(OR(ABS('DATOS'!G272-ROUND('DATOS'!G272,'REFERENCIAS'!$E$8))&gt;0.00000001,ABS('DATOS'!H272-ROUND('DATOS'!H272,'REFERENCIAS'!$H$8))&gt;0.00000001,ABS('DATOS'!J272-ROUND('DATOS'!J272,'REFERENCIAS'!$K$8))&gt;0.00000001,IF(ISNUMBER('DATOS'!I272),ABS('DATOS'!I272-ROUND('DATOS'!I272,'REFERENCIAS'!$H$8))&gt;0.00000001,FALSE)),1,0)))),2)</f>
      </c>
      <c r="T272" s="29">
        <f>IFERROR(IF(N272=0,"",IF(NOT(AND(LEN(TRIM('DATOS'!F272&amp;""))&gt;0,TRIM('DATOS'!F272&amp;"")&lt;&gt;"Pendiente",TRIM('DATOS'!F272&amp;"")&lt;&gt;"Por confirmar",TRIM('DATOS'!F272&amp;"")&lt;&gt;"No consta",TRIM('DATOS'!F272&amp;"")&lt;&gt;"Desconocido",TRIM('DATOS'!F272&amp;"")&lt;&gt;"Sin confirmar",TRIM('DATOS'!F272&amp;"")&lt;&gt;"Por decidir",TRIM('DATOS'!F272&amp;"")&lt;&gt;"Por comprobar")),2,IF(COUNTIFS('REFERENCIAS'!$T$15:$T$34,"ID:"&amp;SUBSTITUTE(SUBSTITUTE(SUBSTITUTE(SUBSTITUTE(UPPER(TRIM('DATOS'!F272&amp;"")),"!","!E"),"*","!A"),"?","!B"),"~","!C"),'REFERENCIAS'!$H$15:$H$34,"&lt;&gt;")&gt;0,0,1))),2)</f>
      </c>
      <c r="U272" s="29" t="str">
        <f>'DATOS'!R272</f>
        <v>ID:</v>
      </c>
      <c r="V272" s="29" t="str">
        <f>'DATOS'!S272</f>
        <v>ID:</v>
      </c>
      <c r="W272" s="29" t="n">
        <f>IF(N272=0,0,COUNTIFS('REFERENCIAS'!$R$15:$R$64,U272))</f>
        <v>0</v>
      </c>
      <c r="X272" s="29" t="n">
        <f>IF(N272=0,0,COUNTIFS('DATOS'!$R$10:$R$509,U272,'DATOS'!$S$10:$S$509,V272))</f>
        <v>0</v>
      </c>
      <c r="Y272" s="29" t="n">
        <f>IF(AND(ISNUMBER('DATOS'!G272),ISNUMBER('DATOS'!H272),ISNUMBER('DATOS'!J272)),1,0)</f>
        <v>0</v>
      </c>
    </row>
    <row r="273" ht="64" customHeight="1">
      <c r="B273" s="26">
        <f>IF(N273=1,264,"")</f>
      </c>
      <c r="C273" s="26">
        <f>IF(AND(N273=1,LEN(TRIM('DATOS'!B273&amp;""))&gt;0),'DATOS'!B273,"")</f>
      </c>
      <c r="D273" s="26">
        <f>IF(AND(N273=1,LEN(TRIM('DATOS'!C273&amp;""))&gt;0),'DATOS'!C273,"")</f>
      </c>
      <c r="E273" s="26">
        <f>IF(NOT(ISNUMBER(P273)),"",IF(P273=2,"ROJO",IF(P273=1,"ÁMBAR","VERDE")))</f>
      </c>
      <c r="F273" s="26">
        <f>IF(NOT(ISNUMBER(Q273)),"",IF(Q273=2,"ROJO",IF(Q273=1,"ÁMBAR","VERDE")))</f>
      </c>
      <c r="G273" s="26">
        <f>IF(NOT(ISNUMBER(R273)),"",IF(R273=2,"ROJO",IF(R273=1,"ÁMBAR","VERDE")))</f>
      </c>
      <c r="H273" s="26">
        <f>IF(NOT(ISNUMBER(S273)),"",IF(S273=2,"ROJO",IF(S273=1,"ÁMBAR","VERDE")))</f>
      </c>
      <c r="I273" s="26">
        <f>IF(NOT(ISNUMBER(T273)),"",IF(T273=2,"ROJO",IF(T273=1,"ÁMBAR","VERDE")))</f>
      </c>
      <c r="J273" s="26">
        <f>IF(NOT(ISNUMBER(O273)),"",IF(O273=2,"ROJO",IF(O273=1,"ÁMBAR","VERDE")))</f>
      </c>
      <c r="K273" s="26">
        <f>IFERROR(IF(AND(N273=1,LEN(TRIM('DATOS'!N273&amp;""))&gt;0),'DATOS'!N273,""),"Hay una entrada con error. Corregimos el dato antes de cerrar la comprobación.")</f>
      </c>
      <c r="L273" s="26">
        <f>IFERROR(IF(N273=0,"",IF(O273&gt;0,"Completamos datos, claves o motivo. ","")&amp;IF(P273&gt;0,"Cotejamos precios e importe. ","")&amp;IF(Q273&gt;0,"Aclaramos el cero. ","")&amp;IF(R273&gt;0,"Comprobamos el texto. ","")&amp;IF(S273&gt;0,"Revisamos decimales visibles. ","")&amp;IF(T273&gt;0,"Confirmamos la unidad.","")),"Hay una entrada con error. Corregimos el dato antes de cerrar la comprobación.")</f>
      </c>
      <c r="N273" s="29" t="n">
        <f>IF(COUNTA('DATOS'!B273:O273)&gt;0,1,0)</f>
        <v>0</v>
      </c>
      <c r="O273" s="29">
        <f>IFERROR(IF(N273=0,"",IF(OR(NOT(AND(LEN(TRIM('DATOS'!B273&amp;""))&gt;0,TRIM('DATOS'!B273&amp;"")&lt;&gt;"Pendiente",TRIM('DATOS'!B273&amp;"")&lt;&gt;"Por confirmar",TRIM('DATOS'!B273&amp;"")&lt;&gt;"No consta",TRIM('DATOS'!B273&amp;"")&lt;&gt;"Desconocido",TRIM('DATOS'!B273&amp;"")&lt;&gt;"Sin confirmar",TRIM('DATOS'!B273&amp;"")&lt;&gt;"Por decidir",TRIM('DATOS'!B273&amp;"")&lt;&gt;"Por comprobar")),NOT(AND(LEN(TRIM('DATOS'!C273&amp;""))&gt;0,TRIM('DATOS'!C273&amp;"")&lt;&gt;"Pendiente",TRIM('DATOS'!C273&amp;"")&lt;&gt;"Por confirmar",TRIM('DATOS'!C273&amp;"")&lt;&gt;"No consta",TRIM('DATOS'!C273&amp;"")&lt;&gt;"Desconocido",TRIM('DATOS'!C273&amp;"")&lt;&gt;"Sin confirmar",TRIM('DATOS'!C273&amp;"")&lt;&gt;"Por decidir",TRIM('DATOS'!C273&amp;"")&lt;&gt;"Por comprobar")),NOT(AND(LEN(TRIM('DATOS'!D273&amp;""))&gt;0,TRIM('DATOS'!D273&amp;"")&lt;&gt;"Pendiente",TRIM('DATOS'!D273&amp;"")&lt;&gt;"Por confirmar",TRIM('DATOS'!D273&amp;"")&lt;&gt;"No consta",TRIM('DATOS'!D273&amp;"")&lt;&gt;"Desconocido",TRIM('DATOS'!D273&amp;"")&lt;&gt;"Sin confirmar",TRIM('DATOS'!D273&amp;"")&lt;&gt;"Por decidir",TRIM('DATOS'!D273&amp;"")&lt;&gt;"Por comprobar")),NOT(AND(LEN(TRIM('DATOS'!E273&amp;""))&gt;0,TRIM('DATOS'!E273&amp;"")&lt;&gt;"Pendiente",TRIM('DATOS'!E273&amp;"")&lt;&gt;"Por confirmar",TRIM('DATOS'!E273&amp;"")&lt;&gt;"No consta",TRIM('DATOS'!E273&amp;"")&lt;&gt;"Desconocido",TRIM('DATOS'!E273&amp;"")&lt;&gt;"Sin confirmar",TRIM('DATOS'!E273&amp;"")&lt;&gt;"Por decidir",TRIM('DATOS'!E273&amp;"")&lt;&gt;"Por comprobar")),NOT(AND(LEN(TRIM('DATOS'!F273&amp;""))&gt;0,TRIM('DATOS'!F273&amp;"")&lt;&gt;"Pendiente",TRIM('DATOS'!F273&amp;"")&lt;&gt;"Por confirmar",TRIM('DATOS'!F273&amp;"")&lt;&gt;"No consta",TRIM('DATOS'!F273&amp;"")&lt;&gt;"Desconocido",TRIM('DATOS'!F273&amp;"")&lt;&gt;"Sin confirmar",TRIM('DATOS'!F273&amp;"")&lt;&gt;"Por decidir",TRIM('DATOS'!F273&amp;"")&lt;&gt;"Por comprobar")),NOT(AND(LEN(TRIM('DATOS'!N273&amp;""))&gt;0,TRIM('DATOS'!N273&amp;"")&lt;&gt;"Pendiente",TRIM('DATOS'!N273&amp;"")&lt;&gt;"Por confirmar",TRIM('DATOS'!N273&amp;"")&lt;&gt;"No consta",TRIM('DATOS'!N273&amp;"")&lt;&gt;"Desconocido",TRIM('DATOS'!N273&amp;"")&lt;&gt;"Sin confirmar",TRIM('DATOS'!N273&amp;"")&lt;&gt;"Por decidir",TRIM('DATOS'!N273&amp;"")&lt;&gt;"Por comprobar")),NOT(Y273=1),W273&lt;&gt;1,X273&gt;1,NOT(OR(LEN(TRIM('DATOS'!K273&amp;""))=0,'DATOS'!K273="Sin valorar",'DATOS'!K273="Sin coste documentado",'DATOS'!K273="Incluido en otra partida",'DATOS'!K273="Por confirmar")),NOT(OR(LEN(TRIM('DATOS'!M273&amp;""))=0,'DATOS'!M273="Sí",'DATOS'!M273="No",'DATOS'!M273="Por confirmar")),NOT(OR(LEN(TRIM('DATOS'!O273&amp;""))=0,'DATOS'!O273="Comparamos",'DATOS'!O273="No existe",'DATOS'!O273="Por confirmar"))),2,IF(AND(OR('DATOS'!G273&lt;0,'DATOS'!H273&lt;0,'DATOS'!J273&lt;0),NOT(AND(LEN(TRIM('DATOS'!L273&amp;""))&gt;0,TRIM('DATOS'!L273&amp;"")&lt;&gt;"Pendiente",TRIM('DATOS'!L273&amp;"")&lt;&gt;"Por confirmar",TRIM('DATOS'!L273&amp;"")&lt;&gt;"No consta",TRIM('DATOS'!L273&amp;"")&lt;&gt;"Desconocido",TRIM('DATOS'!L273&amp;"")&lt;&gt;"Sin confirmar",TRIM('DATOS'!L273&amp;"")&lt;&gt;"Por decidir",TRIM('DATOS'!L273&amp;"")&lt;&gt;"Por comprobar"))),1,0))),2)</f>
      </c>
      <c r="P273" s="29">
        <f>IFERROR(IF(N273=0,"",IF(NOT(Y273=1),1,IF('REFERENCIAS'!$Q$8&lt;&gt;1,2,IF(ABS('DATOS'!J273-ROUND('DATOS'!G273*'DATOS'!H273,'REFERENCIAS'!$K$8))&gt;0.00000001,2,IF('DATOS'!O273="No existe",IF(LEN(TRIM('DATOS'!I273&amp;""))=0,0,2),IF('DATOS'!O273="Comparamos",IF(LEN(TRIM('DATOS'!I273&amp;""))=0,1,IF(ISNUMBER('DATOS'!I273),IF(ABS('DATOS'!H273-'DATOS'!I273)&gt;0.00000001,2,0),2)),1)))))),2)</f>
      </c>
      <c r="Q273" s="29">
        <f>IFERROR(IF(N273=0,"",IF(NOT(Y273=1),1,IF('DATOS'!K273="Sin valorar",2,IF('DATOS'!G273=0,1,IF(OR('DATOS'!H273=0,'DATOS'!J273=0),IF(AND(OR('DATOS'!K273="Sin coste documentado",'DATOS'!K273="Incluido en otra partida"),AND(LEN(TRIM('DATOS'!L273&amp;""))&gt;0,TRIM('DATOS'!L273&amp;"")&lt;&gt;"Pendiente",TRIM('DATOS'!L273&amp;"")&lt;&gt;"Por confirmar",TRIM('DATOS'!L273&amp;"")&lt;&gt;"No consta",TRIM('DATOS'!L273&amp;"")&lt;&gt;"Desconocido",TRIM('DATOS'!L273&amp;"")&lt;&gt;"Sin confirmar",TRIM('DATOS'!L273&amp;"")&lt;&gt;"Por decidir",TRIM('DATOS'!L273&amp;"")&lt;&gt;"Por comprobar")),0,1),0))))),2)</f>
      </c>
      <c r="R273" s="29">
        <f>IFERROR(IF(N273=0,"",IF(OR(NOT(AND(LEN(TRIM('DATOS'!D273&amp;""))&gt;0,TRIM('DATOS'!D273&amp;"")&lt;&gt;"Pendiente",TRIM('DATOS'!D273&amp;"")&lt;&gt;"Por confirmar",TRIM('DATOS'!D273&amp;"")&lt;&gt;"No consta",TRIM('DATOS'!D273&amp;"")&lt;&gt;"Desconocido",TRIM('DATOS'!D273&amp;"")&lt;&gt;"Sin confirmar",TRIM('DATOS'!D273&amp;"")&lt;&gt;"Por decidir",TRIM('DATOS'!D273&amp;"")&lt;&gt;"Por comprobar")),NOT(AND(LEN(TRIM('DATOS'!E273&amp;""))&gt;0,TRIM('DATOS'!E273&amp;"")&lt;&gt;"Pendiente",TRIM('DATOS'!E273&amp;"")&lt;&gt;"Por confirmar",TRIM('DATOS'!E273&amp;"")&lt;&gt;"No consta",TRIM('DATOS'!E273&amp;"")&lt;&gt;"Desconocido",TRIM('DATOS'!E273&amp;"")&lt;&gt;"Sin confirmar",TRIM('DATOS'!E273&amp;"")&lt;&gt;"Por decidir",TRIM('DATOS'!E273&amp;"")&lt;&gt;"Por comprobar"))),2,IF('DATOS'!M273="No",2,IF('DATOS'!M273="Sí",0,IF(OR('DATOS'!D273&lt;&gt;'DATOS'!E273,LEN('DATOS'!E273)&gt;300,RIGHT(TRIM('DATOS'!E273),3)="...",RIGHT(TRIM('DATOS'!E273),1)="…"),1,0))))),2)</f>
      </c>
      <c r="S273" s="29">
        <f>IFERROR(IF(N273=0,"",IF('REFERENCIAS'!$Q$8&lt;&gt;1,2,IF(NOT(Y273=1),1,IF(OR(ABS('DATOS'!G273-ROUND('DATOS'!G273,'REFERENCIAS'!$E$8))&gt;0.00000001,ABS('DATOS'!H273-ROUND('DATOS'!H273,'REFERENCIAS'!$H$8))&gt;0.00000001,ABS('DATOS'!J273-ROUND('DATOS'!J273,'REFERENCIAS'!$K$8))&gt;0.00000001,IF(ISNUMBER('DATOS'!I273),ABS('DATOS'!I273-ROUND('DATOS'!I273,'REFERENCIAS'!$H$8))&gt;0.00000001,FALSE)),1,0)))),2)</f>
      </c>
      <c r="T273" s="29">
        <f>IFERROR(IF(N273=0,"",IF(NOT(AND(LEN(TRIM('DATOS'!F273&amp;""))&gt;0,TRIM('DATOS'!F273&amp;"")&lt;&gt;"Pendiente",TRIM('DATOS'!F273&amp;"")&lt;&gt;"Por confirmar",TRIM('DATOS'!F273&amp;"")&lt;&gt;"No consta",TRIM('DATOS'!F273&amp;"")&lt;&gt;"Desconocido",TRIM('DATOS'!F273&amp;"")&lt;&gt;"Sin confirmar",TRIM('DATOS'!F273&amp;"")&lt;&gt;"Por decidir",TRIM('DATOS'!F273&amp;"")&lt;&gt;"Por comprobar")),2,IF(COUNTIFS('REFERENCIAS'!$T$15:$T$34,"ID:"&amp;SUBSTITUTE(SUBSTITUTE(SUBSTITUTE(SUBSTITUTE(UPPER(TRIM('DATOS'!F273&amp;"")),"!","!E"),"*","!A"),"?","!B"),"~","!C"),'REFERENCIAS'!$H$15:$H$34,"&lt;&gt;")&gt;0,0,1))),2)</f>
      </c>
      <c r="U273" s="29" t="str">
        <f>'DATOS'!R273</f>
        <v>ID:</v>
      </c>
      <c r="V273" s="29" t="str">
        <f>'DATOS'!S273</f>
        <v>ID:</v>
      </c>
      <c r="W273" s="29" t="n">
        <f>IF(N273=0,0,COUNTIFS('REFERENCIAS'!$R$15:$R$64,U273))</f>
        <v>0</v>
      </c>
      <c r="X273" s="29" t="n">
        <f>IF(N273=0,0,COUNTIFS('DATOS'!$R$10:$R$509,U273,'DATOS'!$S$10:$S$509,V273))</f>
        <v>0</v>
      </c>
      <c r="Y273" s="29" t="n">
        <f>IF(AND(ISNUMBER('DATOS'!G273),ISNUMBER('DATOS'!H273),ISNUMBER('DATOS'!J273)),1,0)</f>
        <v>0</v>
      </c>
    </row>
    <row r="274" ht="64" customHeight="1">
      <c r="B274" s="26">
        <f>IF(N274=1,265,"")</f>
      </c>
      <c r="C274" s="26">
        <f>IF(AND(N274=1,LEN(TRIM('DATOS'!B274&amp;""))&gt;0),'DATOS'!B274,"")</f>
      </c>
      <c r="D274" s="26">
        <f>IF(AND(N274=1,LEN(TRIM('DATOS'!C274&amp;""))&gt;0),'DATOS'!C274,"")</f>
      </c>
      <c r="E274" s="26">
        <f>IF(NOT(ISNUMBER(P274)),"",IF(P274=2,"ROJO",IF(P274=1,"ÁMBAR","VERDE")))</f>
      </c>
      <c r="F274" s="26">
        <f>IF(NOT(ISNUMBER(Q274)),"",IF(Q274=2,"ROJO",IF(Q274=1,"ÁMBAR","VERDE")))</f>
      </c>
      <c r="G274" s="26">
        <f>IF(NOT(ISNUMBER(R274)),"",IF(R274=2,"ROJO",IF(R274=1,"ÁMBAR","VERDE")))</f>
      </c>
      <c r="H274" s="26">
        <f>IF(NOT(ISNUMBER(S274)),"",IF(S274=2,"ROJO",IF(S274=1,"ÁMBAR","VERDE")))</f>
      </c>
      <c r="I274" s="26">
        <f>IF(NOT(ISNUMBER(T274)),"",IF(T274=2,"ROJO",IF(T274=1,"ÁMBAR","VERDE")))</f>
      </c>
      <c r="J274" s="26">
        <f>IF(NOT(ISNUMBER(O274)),"",IF(O274=2,"ROJO",IF(O274=1,"ÁMBAR","VERDE")))</f>
      </c>
      <c r="K274" s="26">
        <f>IFERROR(IF(AND(N274=1,LEN(TRIM('DATOS'!N274&amp;""))&gt;0),'DATOS'!N274,""),"Hay una entrada con error. Corregimos el dato antes de cerrar la comprobación.")</f>
      </c>
      <c r="L274" s="26">
        <f>IFERROR(IF(N274=0,"",IF(O274&gt;0,"Completamos datos, claves o motivo. ","")&amp;IF(P274&gt;0,"Cotejamos precios e importe. ","")&amp;IF(Q274&gt;0,"Aclaramos el cero. ","")&amp;IF(R274&gt;0,"Comprobamos el texto. ","")&amp;IF(S274&gt;0,"Revisamos decimales visibles. ","")&amp;IF(T274&gt;0,"Confirmamos la unidad.","")),"Hay una entrada con error. Corregimos el dato antes de cerrar la comprobación.")</f>
      </c>
      <c r="N274" s="29" t="n">
        <f>IF(COUNTA('DATOS'!B274:O274)&gt;0,1,0)</f>
        <v>0</v>
      </c>
      <c r="O274" s="29">
        <f>IFERROR(IF(N274=0,"",IF(OR(NOT(AND(LEN(TRIM('DATOS'!B274&amp;""))&gt;0,TRIM('DATOS'!B274&amp;"")&lt;&gt;"Pendiente",TRIM('DATOS'!B274&amp;"")&lt;&gt;"Por confirmar",TRIM('DATOS'!B274&amp;"")&lt;&gt;"No consta",TRIM('DATOS'!B274&amp;"")&lt;&gt;"Desconocido",TRIM('DATOS'!B274&amp;"")&lt;&gt;"Sin confirmar",TRIM('DATOS'!B274&amp;"")&lt;&gt;"Por decidir",TRIM('DATOS'!B274&amp;"")&lt;&gt;"Por comprobar")),NOT(AND(LEN(TRIM('DATOS'!C274&amp;""))&gt;0,TRIM('DATOS'!C274&amp;"")&lt;&gt;"Pendiente",TRIM('DATOS'!C274&amp;"")&lt;&gt;"Por confirmar",TRIM('DATOS'!C274&amp;"")&lt;&gt;"No consta",TRIM('DATOS'!C274&amp;"")&lt;&gt;"Desconocido",TRIM('DATOS'!C274&amp;"")&lt;&gt;"Sin confirmar",TRIM('DATOS'!C274&amp;"")&lt;&gt;"Por decidir",TRIM('DATOS'!C274&amp;"")&lt;&gt;"Por comprobar")),NOT(AND(LEN(TRIM('DATOS'!D274&amp;""))&gt;0,TRIM('DATOS'!D274&amp;"")&lt;&gt;"Pendiente",TRIM('DATOS'!D274&amp;"")&lt;&gt;"Por confirmar",TRIM('DATOS'!D274&amp;"")&lt;&gt;"No consta",TRIM('DATOS'!D274&amp;"")&lt;&gt;"Desconocido",TRIM('DATOS'!D274&amp;"")&lt;&gt;"Sin confirmar",TRIM('DATOS'!D274&amp;"")&lt;&gt;"Por decidir",TRIM('DATOS'!D274&amp;"")&lt;&gt;"Por comprobar")),NOT(AND(LEN(TRIM('DATOS'!E274&amp;""))&gt;0,TRIM('DATOS'!E274&amp;"")&lt;&gt;"Pendiente",TRIM('DATOS'!E274&amp;"")&lt;&gt;"Por confirmar",TRIM('DATOS'!E274&amp;"")&lt;&gt;"No consta",TRIM('DATOS'!E274&amp;"")&lt;&gt;"Desconocido",TRIM('DATOS'!E274&amp;"")&lt;&gt;"Sin confirmar",TRIM('DATOS'!E274&amp;"")&lt;&gt;"Por decidir",TRIM('DATOS'!E274&amp;"")&lt;&gt;"Por comprobar")),NOT(AND(LEN(TRIM('DATOS'!F274&amp;""))&gt;0,TRIM('DATOS'!F274&amp;"")&lt;&gt;"Pendiente",TRIM('DATOS'!F274&amp;"")&lt;&gt;"Por confirmar",TRIM('DATOS'!F274&amp;"")&lt;&gt;"No consta",TRIM('DATOS'!F274&amp;"")&lt;&gt;"Desconocido",TRIM('DATOS'!F274&amp;"")&lt;&gt;"Sin confirmar",TRIM('DATOS'!F274&amp;"")&lt;&gt;"Por decidir",TRIM('DATOS'!F274&amp;"")&lt;&gt;"Por comprobar")),NOT(AND(LEN(TRIM('DATOS'!N274&amp;""))&gt;0,TRIM('DATOS'!N274&amp;"")&lt;&gt;"Pendiente",TRIM('DATOS'!N274&amp;"")&lt;&gt;"Por confirmar",TRIM('DATOS'!N274&amp;"")&lt;&gt;"No consta",TRIM('DATOS'!N274&amp;"")&lt;&gt;"Desconocido",TRIM('DATOS'!N274&amp;"")&lt;&gt;"Sin confirmar",TRIM('DATOS'!N274&amp;"")&lt;&gt;"Por decidir",TRIM('DATOS'!N274&amp;"")&lt;&gt;"Por comprobar")),NOT(Y274=1),W274&lt;&gt;1,X274&gt;1,NOT(OR(LEN(TRIM('DATOS'!K274&amp;""))=0,'DATOS'!K274="Sin valorar",'DATOS'!K274="Sin coste documentado",'DATOS'!K274="Incluido en otra partida",'DATOS'!K274="Por confirmar")),NOT(OR(LEN(TRIM('DATOS'!M274&amp;""))=0,'DATOS'!M274="Sí",'DATOS'!M274="No",'DATOS'!M274="Por confirmar")),NOT(OR(LEN(TRIM('DATOS'!O274&amp;""))=0,'DATOS'!O274="Comparamos",'DATOS'!O274="No existe",'DATOS'!O274="Por confirmar"))),2,IF(AND(OR('DATOS'!G274&lt;0,'DATOS'!H274&lt;0,'DATOS'!J274&lt;0),NOT(AND(LEN(TRIM('DATOS'!L274&amp;""))&gt;0,TRIM('DATOS'!L274&amp;"")&lt;&gt;"Pendiente",TRIM('DATOS'!L274&amp;"")&lt;&gt;"Por confirmar",TRIM('DATOS'!L274&amp;"")&lt;&gt;"No consta",TRIM('DATOS'!L274&amp;"")&lt;&gt;"Desconocido",TRIM('DATOS'!L274&amp;"")&lt;&gt;"Sin confirmar",TRIM('DATOS'!L274&amp;"")&lt;&gt;"Por decidir",TRIM('DATOS'!L274&amp;"")&lt;&gt;"Por comprobar"))),1,0))),2)</f>
      </c>
      <c r="P274" s="29">
        <f>IFERROR(IF(N274=0,"",IF(NOT(Y274=1),1,IF('REFERENCIAS'!$Q$8&lt;&gt;1,2,IF(ABS('DATOS'!J274-ROUND('DATOS'!G274*'DATOS'!H274,'REFERENCIAS'!$K$8))&gt;0.00000001,2,IF('DATOS'!O274="No existe",IF(LEN(TRIM('DATOS'!I274&amp;""))=0,0,2),IF('DATOS'!O274="Comparamos",IF(LEN(TRIM('DATOS'!I274&amp;""))=0,1,IF(ISNUMBER('DATOS'!I274),IF(ABS('DATOS'!H274-'DATOS'!I274)&gt;0.00000001,2,0),2)),1)))))),2)</f>
      </c>
      <c r="Q274" s="29">
        <f>IFERROR(IF(N274=0,"",IF(NOT(Y274=1),1,IF('DATOS'!K274="Sin valorar",2,IF('DATOS'!G274=0,1,IF(OR('DATOS'!H274=0,'DATOS'!J274=0),IF(AND(OR('DATOS'!K274="Sin coste documentado",'DATOS'!K274="Incluido en otra partida"),AND(LEN(TRIM('DATOS'!L274&amp;""))&gt;0,TRIM('DATOS'!L274&amp;"")&lt;&gt;"Pendiente",TRIM('DATOS'!L274&amp;"")&lt;&gt;"Por confirmar",TRIM('DATOS'!L274&amp;"")&lt;&gt;"No consta",TRIM('DATOS'!L274&amp;"")&lt;&gt;"Desconocido",TRIM('DATOS'!L274&amp;"")&lt;&gt;"Sin confirmar",TRIM('DATOS'!L274&amp;"")&lt;&gt;"Por decidir",TRIM('DATOS'!L274&amp;"")&lt;&gt;"Por comprobar")),0,1),0))))),2)</f>
      </c>
      <c r="R274" s="29">
        <f>IFERROR(IF(N274=0,"",IF(OR(NOT(AND(LEN(TRIM('DATOS'!D274&amp;""))&gt;0,TRIM('DATOS'!D274&amp;"")&lt;&gt;"Pendiente",TRIM('DATOS'!D274&amp;"")&lt;&gt;"Por confirmar",TRIM('DATOS'!D274&amp;"")&lt;&gt;"No consta",TRIM('DATOS'!D274&amp;"")&lt;&gt;"Desconocido",TRIM('DATOS'!D274&amp;"")&lt;&gt;"Sin confirmar",TRIM('DATOS'!D274&amp;"")&lt;&gt;"Por decidir",TRIM('DATOS'!D274&amp;"")&lt;&gt;"Por comprobar")),NOT(AND(LEN(TRIM('DATOS'!E274&amp;""))&gt;0,TRIM('DATOS'!E274&amp;"")&lt;&gt;"Pendiente",TRIM('DATOS'!E274&amp;"")&lt;&gt;"Por confirmar",TRIM('DATOS'!E274&amp;"")&lt;&gt;"No consta",TRIM('DATOS'!E274&amp;"")&lt;&gt;"Desconocido",TRIM('DATOS'!E274&amp;"")&lt;&gt;"Sin confirmar",TRIM('DATOS'!E274&amp;"")&lt;&gt;"Por decidir",TRIM('DATOS'!E274&amp;"")&lt;&gt;"Por comprobar"))),2,IF('DATOS'!M274="No",2,IF('DATOS'!M274="Sí",0,IF(OR('DATOS'!D274&lt;&gt;'DATOS'!E274,LEN('DATOS'!E274)&gt;300,RIGHT(TRIM('DATOS'!E274),3)="...",RIGHT(TRIM('DATOS'!E274),1)="…"),1,0))))),2)</f>
      </c>
      <c r="S274" s="29">
        <f>IFERROR(IF(N274=0,"",IF('REFERENCIAS'!$Q$8&lt;&gt;1,2,IF(NOT(Y274=1),1,IF(OR(ABS('DATOS'!G274-ROUND('DATOS'!G274,'REFERENCIAS'!$E$8))&gt;0.00000001,ABS('DATOS'!H274-ROUND('DATOS'!H274,'REFERENCIAS'!$H$8))&gt;0.00000001,ABS('DATOS'!J274-ROUND('DATOS'!J274,'REFERENCIAS'!$K$8))&gt;0.00000001,IF(ISNUMBER('DATOS'!I274),ABS('DATOS'!I274-ROUND('DATOS'!I274,'REFERENCIAS'!$H$8))&gt;0.00000001,FALSE)),1,0)))),2)</f>
      </c>
      <c r="T274" s="29">
        <f>IFERROR(IF(N274=0,"",IF(NOT(AND(LEN(TRIM('DATOS'!F274&amp;""))&gt;0,TRIM('DATOS'!F274&amp;"")&lt;&gt;"Pendiente",TRIM('DATOS'!F274&amp;"")&lt;&gt;"Por confirmar",TRIM('DATOS'!F274&amp;"")&lt;&gt;"No consta",TRIM('DATOS'!F274&amp;"")&lt;&gt;"Desconocido",TRIM('DATOS'!F274&amp;"")&lt;&gt;"Sin confirmar",TRIM('DATOS'!F274&amp;"")&lt;&gt;"Por decidir",TRIM('DATOS'!F274&amp;"")&lt;&gt;"Por comprobar")),2,IF(COUNTIFS('REFERENCIAS'!$T$15:$T$34,"ID:"&amp;SUBSTITUTE(SUBSTITUTE(SUBSTITUTE(SUBSTITUTE(UPPER(TRIM('DATOS'!F274&amp;"")),"!","!E"),"*","!A"),"?","!B"),"~","!C"),'REFERENCIAS'!$H$15:$H$34,"&lt;&gt;")&gt;0,0,1))),2)</f>
      </c>
      <c r="U274" s="29" t="str">
        <f>'DATOS'!R274</f>
        <v>ID:</v>
      </c>
      <c r="V274" s="29" t="str">
        <f>'DATOS'!S274</f>
        <v>ID:</v>
      </c>
      <c r="W274" s="29" t="n">
        <f>IF(N274=0,0,COUNTIFS('REFERENCIAS'!$R$15:$R$64,U274))</f>
        <v>0</v>
      </c>
      <c r="X274" s="29" t="n">
        <f>IF(N274=0,0,COUNTIFS('DATOS'!$R$10:$R$509,U274,'DATOS'!$S$10:$S$509,V274))</f>
        <v>0</v>
      </c>
      <c r="Y274" s="29" t="n">
        <f>IF(AND(ISNUMBER('DATOS'!G274),ISNUMBER('DATOS'!H274),ISNUMBER('DATOS'!J274)),1,0)</f>
        <v>0</v>
      </c>
    </row>
    <row r="275" ht="64" customHeight="1">
      <c r="B275" s="26">
        <f>IF(N275=1,266,"")</f>
      </c>
      <c r="C275" s="26">
        <f>IF(AND(N275=1,LEN(TRIM('DATOS'!B275&amp;""))&gt;0),'DATOS'!B275,"")</f>
      </c>
      <c r="D275" s="26">
        <f>IF(AND(N275=1,LEN(TRIM('DATOS'!C275&amp;""))&gt;0),'DATOS'!C275,"")</f>
      </c>
      <c r="E275" s="26">
        <f>IF(NOT(ISNUMBER(P275)),"",IF(P275=2,"ROJO",IF(P275=1,"ÁMBAR","VERDE")))</f>
      </c>
      <c r="F275" s="26">
        <f>IF(NOT(ISNUMBER(Q275)),"",IF(Q275=2,"ROJO",IF(Q275=1,"ÁMBAR","VERDE")))</f>
      </c>
      <c r="G275" s="26">
        <f>IF(NOT(ISNUMBER(R275)),"",IF(R275=2,"ROJO",IF(R275=1,"ÁMBAR","VERDE")))</f>
      </c>
      <c r="H275" s="26">
        <f>IF(NOT(ISNUMBER(S275)),"",IF(S275=2,"ROJO",IF(S275=1,"ÁMBAR","VERDE")))</f>
      </c>
      <c r="I275" s="26">
        <f>IF(NOT(ISNUMBER(T275)),"",IF(T275=2,"ROJO",IF(T275=1,"ÁMBAR","VERDE")))</f>
      </c>
      <c r="J275" s="26">
        <f>IF(NOT(ISNUMBER(O275)),"",IF(O275=2,"ROJO",IF(O275=1,"ÁMBAR","VERDE")))</f>
      </c>
      <c r="K275" s="26">
        <f>IFERROR(IF(AND(N275=1,LEN(TRIM('DATOS'!N275&amp;""))&gt;0),'DATOS'!N275,""),"Hay una entrada con error. Corregimos el dato antes de cerrar la comprobación.")</f>
      </c>
      <c r="L275" s="26">
        <f>IFERROR(IF(N275=0,"",IF(O275&gt;0,"Completamos datos, claves o motivo. ","")&amp;IF(P275&gt;0,"Cotejamos precios e importe. ","")&amp;IF(Q275&gt;0,"Aclaramos el cero. ","")&amp;IF(R275&gt;0,"Comprobamos el texto. ","")&amp;IF(S275&gt;0,"Revisamos decimales visibles. ","")&amp;IF(T275&gt;0,"Confirmamos la unidad.","")),"Hay una entrada con error. Corregimos el dato antes de cerrar la comprobación.")</f>
      </c>
      <c r="N275" s="29" t="n">
        <f>IF(COUNTA('DATOS'!B275:O275)&gt;0,1,0)</f>
        <v>0</v>
      </c>
      <c r="O275" s="29">
        <f>IFERROR(IF(N275=0,"",IF(OR(NOT(AND(LEN(TRIM('DATOS'!B275&amp;""))&gt;0,TRIM('DATOS'!B275&amp;"")&lt;&gt;"Pendiente",TRIM('DATOS'!B275&amp;"")&lt;&gt;"Por confirmar",TRIM('DATOS'!B275&amp;"")&lt;&gt;"No consta",TRIM('DATOS'!B275&amp;"")&lt;&gt;"Desconocido",TRIM('DATOS'!B275&amp;"")&lt;&gt;"Sin confirmar",TRIM('DATOS'!B275&amp;"")&lt;&gt;"Por decidir",TRIM('DATOS'!B275&amp;"")&lt;&gt;"Por comprobar")),NOT(AND(LEN(TRIM('DATOS'!C275&amp;""))&gt;0,TRIM('DATOS'!C275&amp;"")&lt;&gt;"Pendiente",TRIM('DATOS'!C275&amp;"")&lt;&gt;"Por confirmar",TRIM('DATOS'!C275&amp;"")&lt;&gt;"No consta",TRIM('DATOS'!C275&amp;"")&lt;&gt;"Desconocido",TRIM('DATOS'!C275&amp;"")&lt;&gt;"Sin confirmar",TRIM('DATOS'!C275&amp;"")&lt;&gt;"Por decidir",TRIM('DATOS'!C275&amp;"")&lt;&gt;"Por comprobar")),NOT(AND(LEN(TRIM('DATOS'!D275&amp;""))&gt;0,TRIM('DATOS'!D275&amp;"")&lt;&gt;"Pendiente",TRIM('DATOS'!D275&amp;"")&lt;&gt;"Por confirmar",TRIM('DATOS'!D275&amp;"")&lt;&gt;"No consta",TRIM('DATOS'!D275&amp;"")&lt;&gt;"Desconocido",TRIM('DATOS'!D275&amp;"")&lt;&gt;"Sin confirmar",TRIM('DATOS'!D275&amp;"")&lt;&gt;"Por decidir",TRIM('DATOS'!D275&amp;"")&lt;&gt;"Por comprobar")),NOT(AND(LEN(TRIM('DATOS'!E275&amp;""))&gt;0,TRIM('DATOS'!E275&amp;"")&lt;&gt;"Pendiente",TRIM('DATOS'!E275&amp;"")&lt;&gt;"Por confirmar",TRIM('DATOS'!E275&amp;"")&lt;&gt;"No consta",TRIM('DATOS'!E275&amp;"")&lt;&gt;"Desconocido",TRIM('DATOS'!E275&amp;"")&lt;&gt;"Sin confirmar",TRIM('DATOS'!E275&amp;"")&lt;&gt;"Por decidir",TRIM('DATOS'!E275&amp;"")&lt;&gt;"Por comprobar")),NOT(AND(LEN(TRIM('DATOS'!F275&amp;""))&gt;0,TRIM('DATOS'!F275&amp;"")&lt;&gt;"Pendiente",TRIM('DATOS'!F275&amp;"")&lt;&gt;"Por confirmar",TRIM('DATOS'!F275&amp;"")&lt;&gt;"No consta",TRIM('DATOS'!F275&amp;"")&lt;&gt;"Desconocido",TRIM('DATOS'!F275&amp;"")&lt;&gt;"Sin confirmar",TRIM('DATOS'!F275&amp;"")&lt;&gt;"Por decidir",TRIM('DATOS'!F275&amp;"")&lt;&gt;"Por comprobar")),NOT(AND(LEN(TRIM('DATOS'!N275&amp;""))&gt;0,TRIM('DATOS'!N275&amp;"")&lt;&gt;"Pendiente",TRIM('DATOS'!N275&amp;"")&lt;&gt;"Por confirmar",TRIM('DATOS'!N275&amp;"")&lt;&gt;"No consta",TRIM('DATOS'!N275&amp;"")&lt;&gt;"Desconocido",TRIM('DATOS'!N275&amp;"")&lt;&gt;"Sin confirmar",TRIM('DATOS'!N275&amp;"")&lt;&gt;"Por decidir",TRIM('DATOS'!N275&amp;"")&lt;&gt;"Por comprobar")),NOT(Y275=1),W275&lt;&gt;1,X275&gt;1,NOT(OR(LEN(TRIM('DATOS'!K275&amp;""))=0,'DATOS'!K275="Sin valorar",'DATOS'!K275="Sin coste documentado",'DATOS'!K275="Incluido en otra partida",'DATOS'!K275="Por confirmar")),NOT(OR(LEN(TRIM('DATOS'!M275&amp;""))=0,'DATOS'!M275="Sí",'DATOS'!M275="No",'DATOS'!M275="Por confirmar")),NOT(OR(LEN(TRIM('DATOS'!O275&amp;""))=0,'DATOS'!O275="Comparamos",'DATOS'!O275="No existe",'DATOS'!O275="Por confirmar"))),2,IF(AND(OR('DATOS'!G275&lt;0,'DATOS'!H275&lt;0,'DATOS'!J275&lt;0),NOT(AND(LEN(TRIM('DATOS'!L275&amp;""))&gt;0,TRIM('DATOS'!L275&amp;"")&lt;&gt;"Pendiente",TRIM('DATOS'!L275&amp;"")&lt;&gt;"Por confirmar",TRIM('DATOS'!L275&amp;"")&lt;&gt;"No consta",TRIM('DATOS'!L275&amp;"")&lt;&gt;"Desconocido",TRIM('DATOS'!L275&amp;"")&lt;&gt;"Sin confirmar",TRIM('DATOS'!L275&amp;"")&lt;&gt;"Por decidir",TRIM('DATOS'!L275&amp;"")&lt;&gt;"Por comprobar"))),1,0))),2)</f>
      </c>
      <c r="P275" s="29">
        <f>IFERROR(IF(N275=0,"",IF(NOT(Y275=1),1,IF('REFERENCIAS'!$Q$8&lt;&gt;1,2,IF(ABS('DATOS'!J275-ROUND('DATOS'!G275*'DATOS'!H275,'REFERENCIAS'!$K$8))&gt;0.00000001,2,IF('DATOS'!O275="No existe",IF(LEN(TRIM('DATOS'!I275&amp;""))=0,0,2),IF('DATOS'!O275="Comparamos",IF(LEN(TRIM('DATOS'!I275&amp;""))=0,1,IF(ISNUMBER('DATOS'!I275),IF(ABS('DATOS'!H275-'DATOS'!I275)&gt;0.00000001,2,0),2)),1)))))),2)</f>
      </c>
      <c r="Q275" s="29">
        <f>IFERROR(IF(N275=0,"",IF(NOT(Y275=1),1,IF('DATOS'!K275="Sin valorar",2,IF('DATOS'!G275=0,1,IF(OR('DATOS'!H275=0,'DATOS'!J275=0),IF(AND(OR('DATOS'!K275="Sin coste documentado",'DATOS'!K275="Incluido en otra partida"),AND(LEN(TRIM('DATOS'!L275&amp;""))&gt;0,TRIM('DATOS'!L275&amp;"")&lt;&gt;"Pendiente",TRIM('DATOS'!L275&amp;"")&lt;&gt;"Por confirmar",TRIM('DATOS'!L275&amp;"")&lt;&gt;"No consta",TRIM('DATOS'!L275&amp;"")&lt;&gt;"Desconocido",TRIM('DATOS'!L275&amp;"")&lt;&gt;"Sin confirmar",TRIM('DATOS'!L275&amp;"")&lt;&gt;"Por decidir",TRIM('DATOS'!L275&amp;"")&lt;&gt;"Por comprobar")),0,1),0))))),2)</f>
      </c>
      <c r="R275" s="29">
        <f>IFERROR(IF(N275=0,"",IF(OR(NOT(AND(LEN(TRIM('DATOS'!D275&amp;""))&gt;0,TRIM('DATOS'!D275&amp;"")&lt;&gt;"Pendiente",TRIM('DATOS'!D275&amp;"")&lt;&gt;"Por confirmar",TRIM('DATOS'!D275&amp;"")&lt;&gt;"No consta",TRIM('DATOS'!D275&amp;"")&lt;&gt;"Desconocido",TRIM('DATOS'!D275&amp;"")&lt;&gt;"Sin confirmar",TRIM('DATOS'!D275&amp;"")&lt;&gt;"Por decidir",TRIM('DATOS'!D275&amp;"")&lt;&gt;"Por comprobar")),NOT(AND(LEN(TRIM('DATOS'!E275&amp;""))&gt;0,TRIM('DATOS'!E275&amp;"")&lt;&gt;"Pendiente",TRIM('DATOS'!E275&amp;"")&lt;&gt;"Por confirmar",TRIM('DATOS'!E275&amp;"")&lt;&gt;"No consta",TRIM('DATOS'!E275&amp;"")&lt;&gt;"Desconocido",TRIM('DATOS'!E275&amp;"")&lt;&gt;"Sin confirmar",TRIM('DATOS'!E275&amp;"")&lt;&gt;"Por decidir",TRIM('DATOS'!E275&amp;"")&lt;&gt;"Por comprobar"))),2,IF('DATOS'!M275="No",2,IF('DATOS'!M275="Sí",0,IF(OR('DATOS'!D275&lt;&gt;'DATOS'!E275,LEN('DATOS'!E275)&gt;300,RIGHT(TRIM('DATOS'!E275),3)="...",RIGHT(TRIM('DATOS'!E275),1)="…"),1,0))))),2)</f>
      </c>
      <c r="S275" s="29">
        <f>IFERROR(IF(N275=0,"",IF('REFERENCIAS'!$Q$8&lt;&gt;1,2,IF(NOT(Y275=1),1,IF(OR(ABS('DATOS'!G275-ROUND('DATOS'!G275,'REFERENCIAS'!$E$8))&gt;0.00000001,ABS('DATOS'!H275-ROUND('DATOS'!H275,'REFERENCIAS'!$H$8))&gt;0.00000001,ABS('DATOS'!J275-ROUND('DATOS'!J275,'REFERENCIAS'!$K$8))&gt;0.00000001,IF(ISNUMBER('DATOS'!I275),ABS('DATOS'!I275-ROUND('DATOS'!I275,'REFERENCIAS'!$H$8))&gt;0.00000001,FALSE)),1,0)))),2)</f>
      </c>
      <c r="T275" s="29">
        <f>IFERROR(IF(N275=0,"",IF(NOT(AND(LEN(TRIM('DATOS'!F275&amp;""))&gt;0,TRIM('DATOS'!F275&amp;"")&lt;&gt;"Pendiente",TRIM('DATOS'!F275&amp;"")&lt;&gt;"Por confirmar",TRIM('DATOS'!F275&amp;"")&lt;&gt;"No consta",TRIM('DATOS'!F275&amp;"")&lt;&gt;"Desconocido",TRIM('DATOS'!F275&amp;"")&lt;&gt;"Sin confirmar",TRIM('DATOS'!F275&amp;"")&lt;&gt;"Por decidir",TRIM('DATOS'!F275&amp;"")&lt;&gt;"Por comprobar")),2,IF(COUNTIFS('REFERENCIAS'!$T$15:$T$34,"ID:"&amp;SUBSTITUTE(SUBSTITUTE(SUBSTITUTE(SUBSTITUTE(UPPER(TRIM('DATOS'!F275&amp;"")),"!","!E"),"*","!A"),"?","!B"),"~","!C"),'REFERENCIAS'!$H$15:$H$34,"&lt;&gt;")&gt;0,0,1))),2)</f>
      </c>
      <c r="U275" s="29" t="str">
        <f>'DATOS'!R275</f>
        <v>ID:</v>
      </c>
      <c r="V275" s="29" t="str">
        <f>'DATOS'!S275</f>
        <v>ID:</v>
      </c>
      <c r="W275" s="29" t="n">
        <f>IF(N275=0,0,COUNTIFS('REFERENCIAS'!$R$15:$R$64,U275))</f>
        <v>0</v>
      </c>
      <c r="X275" s="29" t="n">
        <f>IF(N275=0,0,COUNTIFS('DATOS'!$R$10:$R$509,U275,'DATOS'!$S$10:$S$509,V275))</f>
        <v>0</v>
      </c>
      <c r="Y275" s="29" t="n">
        <f>IF(AND(ISNUMBER('DATOS'!G275),ISNUMBER('DATOS'!H275),ISNUMBER('DATOS'!J275)),1,0)</f>
        <v>0</v>
      </c>
    </row>
    <row r="276" ht="64" customHeight="1">
      <c r="B276" s="26">
        <f>IF(N276=1,267,"")</f>
      </c>
      <c r="C276" s="26">
        <f>IF(AND(N276=1,LEN(TRIM('DATOS'!B276&amp;""))&gt;0),'DATOS'!B276,"")</f>
      </c>
      <c r="D276" s="26">
        <f>IF(AND(N276=1,LEN(TRIM('DATOS'!C276&amp;""))&gt;0),'DATOS'!C276,"")</f>
      </c>
      <c r="E276" s="26">
        <f>IF(NOT(ISNUMBER(P276)),"",IF(P276=2,"ROJO",IF(P276=1,"ÁMBAR","VERDE")))</f>
      </c>
      <c r="F276" s="26">
        <f>IF(NOT(ISNUMBER(Q276)),"",IF(Q276=2,"ROJO",IF(Q276=1,"ÁMBAR","VERDE")))</f>
      </c>
      <c r="G276" s="26">
        <f>IF(NOT(ISNUMBER(R276)),"",IF(R276=2,"ROJO",IF(R276=1,"ÁMBAR","VERDE")))</f>
      </c>
      <c r="H276" s="26">
        <f>IF(NOT(ISNUMBER(S276)),"",IF(S276=2,"ROJO",IF(S276=1,"ÁMBAR","VERDE")))</f>
      </c>
      <c r="I276" s="26">
        <f>IF(NOT(ISNUMBER(T276)),"",IF(T276=2,"ROJO",IF(T276=1,"ÁMBAR","VERDE")))</f>
      </c>
      <c r="J276" s="26">
        <f>IF(NOT(ISNUMBER(O276)),"",IF(O276=2,"ROJO",IF(O276=1,"ÁMBAR","VERDE")))</f>
      </c>
      <c r="K276" s="26">
        <f>IFERROR(IF(AND(N276=1,LEN(TRIM('DATOS'!N276&amp;""))&gt;0),'DATOS'!N276,""),"Hay una entrada con error. Corregimos el dato antes de cerrar la comprobación.")</f>
      </c>
      <c r="L276" s="26">
        <f>IFERROR(IF(N276=0,"",IF(O276&gt;0,"Completamos datos, claves o motivo. ","")&amp;IF(P276&gt;0,"Cotejamos precios e importe. ","")&amp;IF(Q276&gt;0,"Aclaramos el cero. ","")&amp;IF(R276&gt;0,"Comprobamos el texto. ","")&amp;IF(S276&gt;0,"Revisamos decimales visibles. ","")&amp;IF(T276&gt;0,"Confirmamos la unidad.","")),"Hay una entrada con error. Corregimos el dato antes de cerrar la comprobación.")</f>
      </c>
      <c r="N276" s="29" t="n">
        <f>IF(COUNTA('DATOS'!B276:O276)&gt;0,1,0)</f>
        <v>0</v>
      </c>
      <c r="O276" s="29">
        <f>IFERROR(IF(N276=0,"",IF(OR(NOT(AND(LEN(TRIM('DATOS'!B276&amp;""))&gt;0,TRIM('DATOS'!B276&amp;"")&lt;&gt;"Pendiente",TRIM('DATOS'!B276&amp;"")&lt;&gt;"Por confirmar",TRIM('DATOS'!B276&amp;"")&lt;&gt;"No consta",TRIM('DATOS'!B276&amp;"")&lt;&gt;"Desconocido",TRIM('DATOS'!B276&amp;"")&lt;&gt;"Sin confirmar",TRIM('DATOS'!B276&amp;"")&lt;&gt;"Por decidir",TRIM('DATOS'!B276&amp;"")&lt;&gt;"Por comprobar")),NOT(AND(LEN(TRIM('DATOS'!C276&amp;""))&gt;0,TRIM('DATOS'!C276&amp;"")&lt;&gt;"Pendiente",TRIM('DATOS'!C276&amp;"")&lt;&gt;"Por confirmar",TRIM('DATOS'!C276&amp;"")&lt;&gt;"No consta",TRIM('DATOS'!C276&amp;"")&lt;&gt;"Desconocido",TRIM('DATOS'!C276&amp;"")&lt;&gt;"Sin confirmar",TRIM('DATOS'!C276&amp;"")&lt;&gt;"Por decidir",TRIM('DATOS'!C276&amp;"")&lt;&gt;"Por comprobar")),NOT(AND(LEN(TRIM('DATOS'!D276&amp;""))&gt;0,TRIM('DATOS'!D276&amp;"")&lt;&gt;"Pendiente",TRIM('DATOS'!D276&amp;"")&lt;&gt;"Por confirmar",TRIM('DATOS'!D276&amp;"")&lt;&gt;"No consta",TRIM('DATOS'!D276&amp;"")&lt;&gt;"Desconocido",TRIM('DATOS'!D276&amp;"")&lt;&gt;"Sin confirmar",TRIM('DATOS'!D276&amp;"")&lt;&gt;"Por decidir",TRIM('DATOS'!D276&amp;"")&lt;&gt;"Por comprobar")),NOT(AND(LEN(TRIM('DATOS'!E276&amp;""))&gt;0,TRIM('DATOS'!E276&amp;"")&lt;&gt;"Pendiente",TRIM('DATOS'!E276&amp;"")&lt;&gt;"Por confirmar",TRIM('DATOS'!E276&amp;"")&lt;&gt;"No consta",TRIM('DATOS'!E276&amp;"")&lt;&gt;"Desconocido",TRIM('DATOS'!E276&amp;"")&lt;&gt;"Sin confirmar",TRIM('DATOS'!E276&amp;"")&lt;&gt;"Por decidir",TRIM('DATOS'!E276&amp;"")&lt;&gt;"Por comprobar")),NOT(AND(LEN(TRIM('DATOS'!F276&amp;""))&gt;0,TRIM('DATOS'!F276&amp;"")&lt;&gt;"Pendiente",TRIM('DATOS'!F276&amp;"")&lt;&gt;"Por confirmar",TRIM('DATOS'!F276&amp;"")&lt;&gt;"No consta",TRIM('DATOS'!F276&amp;"")&lt;&gt;"Desconocido",TRIM('DATOS'!F276&amp;"")&lt;&gt;"Sin confirmar",TRIM('DATOS'!F276&amp;"")&lt;&gt;"Por decidir",TRIM('DATOS'!F276&amp;"")&lt;&gt;"Por comprobar")),NOT(AND(LEN(TRIM('DATOS'!N276&amp;""))&gt;0,TRIM('DATOS'!N276&amp;"")&lt;&gt;"Pendiente",TRIM('DATOS'!N276&amp;"")&lt;&gt;"Por confirmar",TRIM('DATOS'!N276&amp;"")&lt;&gt;"No consta",TRIM('DATOS'!N276&amp;"")&lt;&gt;"Desconocido",TRIM('DATOS'!N276&amp;"")&lt;&gt;"Sin confirmar",TRIM('DATOS'!N276&amp;"")&lt;&gt;"Por decidir",TRIM('DATOS'!N276&amp;"")&lt;&gt;"Por comprobar")),NOT(Y276=1),W276&lt;&gt;1,X276&gt;1,NOT(OR(LEN(TRIM('DATOS'!K276&amp;""))=0,'DATOS'!K276="Sin valorar",'DATOS'!K276="Sin coste documentado",'DATOS'!K276="Incluido en otra partida",'DATOS'!K276="Por confirmar")),NOT(OR(LEN(TRIM('DATOS'!M276&amp;""))=0,'DATOS'!M276="Sí",'DATOS'!M276="No",'DATOS'!M276="Por confirmar")),NOT(OR(LEN(TRIM('DATOS'!O276&amp;""))=0,'DATOS'!O276="Comparamos",'DATOS'!O276="No existe",'DATOS'!O276="Por confirmar"))),2,IF(AND(OR('DATOS'!G276&lt;0,'DATOS'!H276&lt;0,'DATOS'!J276&lt;0),NOT(AND(LEN(TRIM('DATOS'!L276&amp;""))&gt;0,TRIM('DATOS'!L276&amp;"")&lt;&gt;"Pendiente",TRIM('DATOS'!L276&amp;"")&lt;&gt;"Por confirmar",TRIM('DATOS'!L276&amp;"")&lt;&gt;"No consta",TRIM('DATOS'!L276&amp;"")&lt;&gt;"Desconocido",TRIM('DATOS'!L276&amp;"")&lt;&gt;"Sin confirmar",TRIM('DATOS'!L276&amp;"")&lt;&gt;"Por decidir",TRIM('DATOS'!L276&amp;"")&lt;&gt;"Por comprobar"))),1,0))),2)</f>
      </c>
      <c r="P276" s="29">
        <f>IFERROR(IF(N276=0,"",IF(NOT(Y276=1),1,IF('REFERENCIAS'!$Q$8&lt;&gt;1,2,IF(ABS('DATOS'!J276-ROUND('DATOS'!G276*'DATOS'!H276,'REFERENCIAS'!$K$8))&gt;0.00000001,2,IF('DATOS'!O276="No existe",IF(LEN(TRIM('DATOS'!I276&amp;""))=0,0,2),IF('DATOS'!O276="Comparamos",IF(LEN(TRIM('DATOS'!I276&amp;""))=0,1,IF(ISNUMBER('DATOS'!I276),IF(ABS('DATOS'!H276-'DATOS'!I276)&gt;0.00000001,2,0),2)),1)))))),2)</f>
      </c>
      <c r="Q276" s="29">
        <f>IFERROR(IF(N276=0,"",IF(NOT(Y276=1),1,IF('DATOS'!K276="Sin valorar",2,IF('DATOS'!G276=0,1,IF(OR('DATOS'!H276=0,'DATOS'!J276=0),IF(AND(OR('DATOS'!K276="Sin coste documentado",'DATOS'!K276="Incluido en otra partida"),AND(LEN(TRIM('DATOS'!L276&amp;""))&gt;0,TRIM('DATOS'!L276&amp;"")&lt;&gt;"Pendiente",TRIM('DATOS'!L276&amp;"")&lt;&gt;"Por confirmar",TRIM('DATOS'!L276&amp;"")&lt;&gt;"No consta",TRIM('DATOS'!L276&amp;"")&lt;&gt;"Desconocido",TRIM('DATOS'!L276&amp;"")&lt;&gt;"Sin confirmar",TRIM('DATOS'!L276&amp;"")&lt;&gt;"Por decidir",TRIM('DATOS'!L276&amp;"")&lt;&gt;"Por comprobar")),0,1),0))))),2)</f>
      </c>
      <c r="R276" s="29">
        <f>IFERROR(IF(N276=0,"",IF(OR(NOT(AND(LEN(TRIM('DATOS'!D276&amp;""))&gt;0,TRIM('DATOS'!D276&amp;"")&lt;&gt;"Pendiente",TRIM('DATOS'!D276&amp;"")&lt;&gt;"Por confirmar",TRIM('DATOS'!D276&amp;"")&lt;&gt;"No consta",TRIM('DATOS'!D276&amp;"")&lt;&gt;"Desconocido",TRIM('DATOS'!D276&amp;"")&lt;&gt;"Sin confirmar",TRIM('DATOS'!D276&amp;"")&lt;&gt;"Por decidir",TRIM('DATOS'!D276&amp;"")&lt;&gt;"Por comprobar")),NOT(AND(LEN(TRIM('DATOS'!E276&amp;""))&gt;0,TRIM('DATOS'!E276&amp;"")&lt;&gt;"Pendiente",TRIM('DATOS'!E276&amp;"")&lt;&gt;"Por confirmar",TRIM('DATOS'!E276&amp;"")&lt;&gt;"No consta",TRIM('DATOS'!E276&amp;"")&lt;&gt;"Desconocido",TRIM('DATOS'!E276&amp;"")&lt;&gt;"Sin confirmar",TRIM('DATOS'!E276&amp;"")&lt;&gt;"Por decidir",TRIM('DATOS'!E276&amp;"")&lt;&gt;"Por comprobar"))),2,IF('DATOS'!M276="No",2,IF('DATOS'!M276="Sí",0,IF(OR('DATOS'!D276&lt;&gt;'DATOS'!E276,LEN('DATOS'!E276)&gt;300,RIGHT(TRIM('DATOS'!E276),3)="...",RIGHT(TRIM('DATOS'!E276),1)="…"),1,0))))),2)</f>
      </c>
      <c r="S276" s="29">
        <f>IFERROR(IF(N276=0,"",IF('REFERENCIAS'!$Q$8&lt;&gt;1,2,IF(NOT(Y276=1),1,IF(OR(ABS('DATOS'!G276-ROUND('DATOS'!G276,'REFERENCIAS'!$E$8))&gt;0.00000001,ABS('DATOS'!H276-ROUND('DATOS'!H276,'REFERENCIAS'!$H$8))&gt;0.00000001,ABS('DATOS'!J276-ROUND('DATOS'!J276,'REFERENCIAS'!$K$8))&gt;0.00000001,IF(ISNUMBER('DATOS'!I276),ABS('DATOS'!I276-ROUND('DATOS'!I276,'REFERENCIAS'!$H$8))&gt;0.00000001,FALSE)),1,0)))),2)</f>
      </c>
      <c r="T276" s="29">
        <f>IFERROR(IF(N276=0,"",IF(NOT(AND(LEN(TRIM('DATOS'!F276&amp;""))&gt;0,TRIM('DATOS'!F276&amp;"")&lt;&gt;"Pendiente",TRIM('DATOS'!F276&amp;"")&lt;&gt;"Por confirmar",TRIM('DATOS'!F276&amp;"")&lt;&gt;"No consta",TRIM('DATOS'!F276&amp;"")&lt;&gt;"Desconocido",TRIM('DATOS'!F276&amp;"")&lt;&gt;"Sin confirmar",TRIM('DATOS'!F276&amp;"")&lt;&gt;"Por decidir",TRIM('DATOS'!F276&amp;"")&lt;&gt;"Por comprobar")),2,IF(COUNTIFS('REFERENCIAS'!$T$15:$T$34,"ID:"&amp;SUBSTITUTE(SUBSTITUTE(SUBSTITUTE(SUBSTITUTE(UPPER(TRIM('DATOS'!F276&amp;"")),"!","!E"),"*","!A"),"?","!B"),"~","!C"),'REFERENCIAS'!$H$15:$H$34,"&lt;&gt;")&gt;0,0,1))),2)</f>
      </c>
      <c r="U276" s="29" t="str">
        <f>'DATOS'!R276</f>
        <v>ID:</v>
      </c>
      <c r="V276" s="29" t="str">
        <f>'DATOS'!S276</f>
        <v>ID:</v>
      </c>
      <c r="W276" s="29" t="n">
        <f>IF(N276=0,0,COUNTIFS('REFERENCIAS'!$R$15:$R$64,U276))</f>
        <v>0</v>
      </c>
      <c r="X276" s="29" t="n">
        <f>IF(N276=0,0,COUNTIFS('DATOS'!$R$10:$R$509,U276,'DATOS'!$S$10:$S$509,V276))</f>
        <v>0</v>
      </c>
      <c r="Y276" s="29" t="n">
        <f>IF(AND(ISNUMBER('DATOS'!G276),ISNUMBER('DATOS'!H276),ISNUMBER('DATOS'!J276)),1,0)</f>
        <v>0</v>
      </c>
    </row>
    <row r="277" ht="64" customHeight="1">
      <c r="B277" s="26">
        <f>IF(N277=1,268,"")</f>
      </c>
      <c r="C277" s="26">
        <f>IF(AND(N277=1,LEN(TRIM('DATOS'!B277&amp;""))&gt;0),'DATOS'!B277,"")</f>
      </c>
      <c r="D277" s="26">
        <f>IF(AND(N277=1,LEN(TRIM('DATOS'!C277&amp;""))&gt;0),'DATOS'!C277,"")</f>
      </c>
      <c r="E277" s="26">
        <f>IF(NOT(ISNUMBER(P277)),"",IF(P277=2,"ROJO",IF(P277=1,"ÁMBAR","VERDE")))</f>
      </c>
      <c r="F277" s="26">
        <f>IF(NOT(ISNUMBER(Q277)),"",IF(Q277=2,"ROJO",IF(Q277=1,"ÁMBAR","VERDE")))</f>
      </c>
      <c r="G277" s="26">
        <f>IF(NOT(ISNUMBER(R277)),"",IF(R277=2,"ROJO",IF(R277=1,"ÁMBAR","VERDE")))</f>
      </c>
      <c r="H277" s="26">
        <f>IF(NOT(ISNUMBER(S277)),"",IF(S277=2,"ROJO",IF(S277=1,"ÁMBAR","VERDE")))</f>
      </c>
      <c r="I277" s="26">
        <f>IF(NOT(ISNUMBER(T277)),"",IF(T277=2,"ROJO",IF(T277=1,"ÁMBAR","VERDE")))</f>
      </c>
      <c r="J277" s="26">
        <f>IF(NOT(ISNUMBER(O277)),"",IF(O277=2,"ROJO",IF(O277=1,"ÁMBAR","VERDE")))</f>
      </c>
      <c r="K277" s="26">
        <f>IFERROR(IF(AND(N277=1,LEN(TRIM('DATOS'!N277&amp;""))&gt;0),'DATOS'!N277,""),"Hay una entrada con error. Corregimos el dato antes de cerrar la comprobación.")</f>
      </c>
      <c r="L277" s="26">
        <f>IFERROR(IF(N277=0,"",IF(O277&gt;0,"Completamos datos, claves o motivo. ","")&amp;IF(P277&gt;0,"Cotejamos precios e importe. ","")&amp;IF(Q277&gt;0,"Aclaramos el cero. ","")&amp;IF(R277&gt;0,"Comprobamos el texto. ","")&amp;IF(S277&gt;0,"Revisamos decimales visibles. ","")&amp;IF(T277&gt;0,"Confirmamos la unidad.","")),"Hay una entrada con error. Corregimos el dato antes de cerrar la comprobación.")</f>
      </c>
      <c r="N277" s="29" t="n">
        <f>IF(COUNTA('DATOS'!B277:O277)&gt;0,1,0)</f>
        <v>0</v>
      </c>
      <c r="O277" s="29">
        <f>IFERROR(IF(N277=0,"",IF(OR(NOT(AND(LEN(TRIM('DATOS'!B277&amp;""))&gt;0,TRIM('DATOS'!B277&amp;"")&lt;&gt;"Pendiente",TRIM('DATOS'!B277&amp;"")&lt;&gt;"Por confirmar",TRIM('DATOS'!B277&amp;"")&lt;&gt;"No consta",TRIM('DATOS'!B277&amp;"")&lt;&gt;"Desconocido",TRIM('DATOS'!B277&amp;"")&lt;&gt;"Sin confirmar",TRIM('DATOS'!B277&amp;"")&lt;&gt;"Por decidir",TRIM('DATOS'!B277&amp;"")&lt;&gt;"Por comprobar")),NOT(AND(LEN(TRIM('DATOS'!C277&amp;""))&gt;0,TRIM('DATOS'!C277&amp;"")&lt;&gt;"Pendiente",TRIM('DATOS'!C277&amp;"")&lt;&gt;"Por confirmar",TRIM('DATOS'!C277&amp;"")&lt;&gt;"No consta",TRIM('DATOS'!C277&amp;"")&lt;&gt;"Desconocido",TRIM('DATOS'!C277&amp;"")&lt;&gt;"Sin confirmar",TRIM('DATOS'!C277&amp;"")&lt;&gt;"Por decidir",TRIM('DATOS'!C277&amp;"")&lt;&gt;"Por comprobar")),NOT(AND(LEN(TRIM('DATOS'!D277&amp;""))&gt;0,TRIM('DATOS'!D277&amp;"")&lt;&gt;"Pendiente",TRIM('DATOS'!D277&amp;"")&lt;&gt;"Por confirmar",TRIM('DATOS'!D277&amp;"")&lt;&gt;"No consta",TRIM('DATOS'!D277&amp;"")&lt;&gt;"Desconocido",TRIM('DATOS'!D277&amp;"")&lt;&gt;"Sin confirmar",TRIM('DATOS'!D277&amp;"")&lt;&gt;"Por decidir",TRIM('DATOS'!D277&amp;"")&lt;&gt;"Por comprobar")),NOT(AND(LEN(TRIM('DATOS'!E277&amp;""))&gt;0,TRIM('DATOS'!E277&amp;"")&lt;&gt;"Pendiente",TRIM('DATOS'!E277&amp;"")&lt;&gt;"Por confirmar",TRIM('DATOS'!E277&amp;"")&lt;&gt;"No consta",TRIM('DATOS'!E277&amp;"")&lt;&gt;"Desconocido",TRIM('DATOS'!E277&amp;"")&lt;&gt;"Sin confirmar",TRIM('DATOS'!E277&amp;"")&lt;&gt;"Por decidir",TRIM('DATOS'!E277&amp;"")&lt;&gt;"Por comprobar")),NOT(AND(LEN(TRIM('DATOS'!F277&amp;""))&gt;0,TRIM('DATOS'!F277&amp;"")&lt;&gt;"Pendiente",TRIM('DATOS'!F277&amp;"")&lt;&gt;"Por confirmar",TRIM('DATOS'!F277&amp;"")&lt;&gt;"No consta",TRIM('DATOS'!F277&amp;"")&lt;&gt;"Desconocido",TRIM('DATOS'!F277&amp;"")&lt;&gt;"Sin confirmar",TRIM('DATOS'!F277&amp;"")&lt;&gt;"Por decidir",TRIM('DATOS'!F277&amp;"")&lt;&gt;"Por comprobar")),NOT(AND(LEN(TRIM('DATOS'!N277&amp;""))&gt;0,TRIM('DATOS'!N277&amp;"")&lt;&gt;"Pendiente",TRIM('DATOS'!N277&amp;"")&lt;&gt;"Por confirmar",TRIM('DATOS'!N277&amp;"")&lt;&gt;"No consta",TRIM('DATOS'!N277&amp;"")&lt;&gt;"Desconocido",TRIM('DATOS'!N277&amp;"")&lt;&gt;"Sin confirmar",TRIM('DATOS'!N277&amp;"")&lt;&gt;"Por decidir",TRIM('DATOS'!N277&amp;"")&lt;&gt;"Por comprobar")),NOT(Y277=1),W277&lt;&gt;1,X277&gt;1,NOT(OR(LEN(TRIM('DATOS'!K277&amp;""))=0,'DATOS'!K277="Sin valorar",'DATOS'!K277="Sin coste documentado",'DATOS'!K277="Incluido en otra partida",'DATOS'!K277="Por confirmar")),NOT(OR(LEN(TRIM('DATOS'!M277&amp;""))=0,'DATOS'!M277="Sí",'DATOS'!M277="No",'DATOS'!M277="Por confirmar")),NOT(OR(LEN(TRIM('DATOS'!O277&amp;""))=0,'DATOS'!O277="Comparamos",'DATOS'!O277="No existe",'DATOS'!O277="Por confirmar"))),2,IF(AND(OR('DATOS'!G277&lt;0,'DATOS'!H277&lt;0,'DATOS'!J277&lt;0),NOT(AND(LEN(TRIM('DATOS'!L277&amp;""))&gt;0,TRIM('DATOS'!L277&amp;"")&lt;&gt;"Pendiente",TRIM('DATOS'!L277&amp;"")&lt;&gt;"Por confirmar",TRIM('DATOS'!L277&amp;"")&lt;&gt;"No consta",TRIM('DATOS'!L277&amp;"")&lt;&gt;"Desconocido",TRIM('DATOS'!L277&amp;"")&lt;&gt;"Sin confirmar",TRIM('DATOS'!L277&amp;"")&lt;&gt;"Por decidir",TRIM('DATOS'!L277&amp;"")&lt;&gt;"Por comprobar"))),1,0))),2)</f>
      </c>
      <c r="P277" s="29">
        <f>IFERROR(IF(N277=0,"",IF(NOT(Y277=1),1,IF('REFERENCIAS'!$Q$8&lt;&gt;1,2,IF(ABS('DATOS'!J277-ROUND('DATOS'!G277*'DATOS'!H277,'REFERENCIAS'!$K$8))&gt;0.00000001,2,IF('DATOS'!O277="No existe",IF(LEN(TRIM('DATOS'!I277&amp;""))=0,0,2),IF('DATOS'!O277="Comparamos",IF(LEN(TRIM('DATOS'!I277&amp;""))=0,1,IF(ISNUMBER('DATOS'!I277),IF(ABS('DATOS'!H277-'DATOS'!I277)&gt;0.00000001,2,0),2)),1)))))),2)</f>
      </c>
      <c r="Q277" s="29">
        <f>IFERROR(IF(N277=0,"",IF(NOT(Y277=1),1,IF('DATOS'!K277="Sin valorar",2,IF('DATOS'!G277=0,1,IF(OR('DATOS'!H277=0,'DATOS'!J277=0),IF(AND(OR('DATOS'!K277="Sin coste documentado",'DATOS'!K277="Incluido en otra partida"),AND(LEN(TRIM('DATOS'!L277&amp;""))&gt;0,TRIM('DATOS'!L277&amp;"")&lt;&gt;"Pendiente",TRIM('DATOS'!L277&amp;"")&lt;&gt;"Por confirmar",TRIM('DATOS'!L277&amp;"")&lt;&gt;"No consta",TRIM('DATOS'!L277&amp;"")&lt;&gt;"Desconocido",TRIM('DATOS'!L277&amp;"")&lt;&gt;"Sin confirmar",TRIM('DATOS'!L277&amp;"")&lt;&gt;"Por decidir",TRIM('DATOS'!L277&amp;"")&lt;&gt;"Por comprobar")),0,1),0))))),2)</f>
      </c>
      <c r="R277" s="29">
        <f>IFERROR(IF(N277=0,"",IF(OR(NOT(AND(LEN(TRIM('DATOS'!D277&amp;""))&gt;0,TRIM('DATOS'!D277&amp;"")&lt;&gt;"Pendiente",TRIM('DATOS'!D277&amp;"")&lt;&gt;"Por confirmar",TRIM('DATOS'!D277&amp;"")&lt;&gt;"No consta",TRIM('DATOS'!D277&amp;"")&lt;&gt;"Desconocido",TRIM('DATOS'!D277&amp;"")&lt;&gt;"Sin confirmar",TRIM('DATOS'!D277&amp;"")&lt;&gt;"Por decidir",TRIM('DATOS'!D277&amp;"")&lt;&gt;"Por comprobar")),NOT(AND(LEN(TRIM('DATOS'!E277&amp;""))&gt;0,TRIM('DATOS'!E277&amp;"")&lt;&gt;"Pendiente",TRIM('DATOS'!E277&amp;"")&lt;&gt;"Por confirmar",TRIM('DATOS'!E277&amp;"")&lt;&gt;"No consta",TRIM('DATOS'!E277&amp;"")&lt;&gt;"Desconocido",TRIM('DATOS'!E277&amp;"")&lt;&gt;"Sin confirmar",TRIM('DATOS'!E277&amp;"")&lt;&gt;"Por decidir",TRIM('DATOS'!E277&amp;"")&lt;&gt;"Por comprobar"))),2,IF('DATOS'!M277="No",2,IF('DATOS'!M277="Sí",0,IF(OR('DATOS'!D277&lt;&gt;'DATOS'!E277,LEN('DATOS'!E277)&gt;300,RIGHT(TRIM('DATOS'!E277),3)="...",RIGHT(TRIM('DATOS'!E277),1)="…"),1,0))))),2)</f>
      </c>
      <c r="S277" s="29">
        <f>IFERROR(IF(N277=0,"",IF('REFERENCIAS'!$Q$8&lt;&gt;1,2,IF(NOT(Y277=1),1,IF(OR(ABS('DATOS'!G277-ROUND('DATOS'!G277,'REFERENCIAS'!$E$8))&gt;0.00000001,ABS('DATOS'!H277-ROUND('DATOS'!H277,'REFERENCIAS'!$H$8))&gt;0.00000001,ABS('DATOS'!J277-ROUND('DATOS'!J277,'REFERENCIAS'!$K$8))&gt;0.00000001,IF(ISNUMBER('DATOS'!I277),ABS('DATOS'!I277-ROUND('DATOS'!I277,'REFERENCIAS'!$H$8))&gt;0.00000001,FALSE)),1,0)))),2)</f>
      </c>
      <c r="T277" s="29">
        <f>IFERROR(IF(N277=0,"",IF(NOT(AND(LEN(TRIM('DATOS'!F277&amp;""))&gt;0,TRIM('DATOS'!F277&amp;"")&lt;&gt;"Pendiente",TRIM('DATOS'!F277&amp;"")&lt;&gt;"Por confirmar",TRIM('DATOS'!F277&amp;"")&lt;&gt;"No consta",TRIM('DATOS'!F277&amp;"")&lt;&gt;"Desconocido",TRIM('DATOS'!F277&amp;"")&lt;&gt;"Sin confirmar",TRIM('DATOS'!F277&amp;"")&lt;&gt;"Por decidir",TRIM('DATOS'!F277&amp;"")&lt;&gt;"Por comprobar")),2,IF(COUNTIFS('REFERENCIAS'!$T$15:$T$34,"ID:"&amp;SUBSTITUTE(SUBSTITUTE(SUBSTITUTE(SUBSTITUTE(UPPER(TRIM('DATOS'!F277&amp;"")),"!","!E"),"*","!A"),"?","!B"),"~","!C"),'REFERENCIAS'!$H$15:$H$34,"&lt;&gt;")&gt;0,0,1))),2)</f>
      </c>
      <c r="U277" s="29" t="str">
        <f>'DATOS'!R277</f>
        <v>ID:</v>
      </c>
      <c r="V277" s="29" t="str">
        <f>'DATOS'!S277</f>
        <v>ID:</v>
      </c>
      <c r="W277" s="29" t="n">
        <f>IF(N277=0,0,COUNTIFS('REFERENCIAS'!$R$15:$R$64,U277))</f>
        <v>0</v>
      </c>
      <c r="X277" s="29" t="n">
        <f>IF(N277=0,0,COUNTIFS('DATOS'!$R$10:$R$509,U277,'DATOS'!$S$10:$S$509,V277))</f>
        <v>0</v>
      </c>
      <c r="Y277" s="29" t="n">
        <f>IF(AND(ISNUMBER('DATOS'!G277),ISNUMBER('DATOS'!H277),ISNUMBER('DATOS'!J277)),1,0)</f>
        <v>0</v>
      </c>
    </row>
    <row r="278" ht="64" customHeight="1">
      <c r="B278" s="26">
        <f>IF(N278=1,269,"")</f>
      </c>
      <c r="C278" s="26">
        <f>IF(AND(N278=1,LEN(TRIM('DATOS'!B278&amp;""))&gt;0),'DATOS'!B278,"")</f>
      </c>
      <c r="D278" s="26">
        <f>IF(AND(N278=1,LEN(TRIM('DATOS'!C278&amp;""))&gt;0),'DATOS'!C278,"")</f>
      </c>
      <c r="E278" s="26">
        <f>IF(NOT(ISNUMBER(P278)),"",IF(P278=2,"ROJO",IF(P278=1,"ÁMBAR","VERDE")))</f>
      </c>
      <c r="F278" s="26">
        <f>IF(NOT(ISNUMBER(Q278)),"",IF(Q278=2,"ROJO",IF(Q278=1,"ÁMBAR","VERDE")))</f>
      </c>
      <c r="G278" s="26">
        <f>IF(NOT(ISNUMBER(R278)),"",IF(R278=2,"ROJO",IF(R278=1,"ÁMBAR","VERDE")))</f>
      </c>
      <c r="H278" s="26">
        <f>IF(NOT(ISNUMBER(S278)),"",IF(S278=2,"ROJO",IF(S278=1,"ÁMBAR","VERDE")))</f>
      </c>
      <c r="I278" s="26">
        <f>IF(NOT(ISNUMBER(T278)),"",IF(T278=2,"ROJO",IF(T278=1,"ÁMBAR","VERDE")))</f>
      </c>
      <c r="J278" s="26">
        <f>IF(NOT(ISNUMBER(O278)),"",IF(O278=2,"ROJO",IF(O278=1,"ÁMBAR","VERDE")))</f>
      </c>
      <c r="K278" s="26">
        <f>IFERROR(IF(AND(N278=1,LEN(TRIM('DATOS'!N278&amp;""))&gt;0),'DATOS'!N278,""),"Hay una entrada con error. Corregimos el dato antes de cerrar la comprobación.")</f>
      </c>
      <c r="L278" s="26">
        <f>IFERROR(IF(N278=0,"",IF(O278&gt;0,"Completamos datos, claves o motivo. ","")&amp;IF(P278&gt;0,"Cotejamos precios e importe. ","")&amp;IF(Q278&gt;0,"Aclaramos el cero. ","")&amp;IF(R278&gt;0,"Comprobamos el texto. ","")&amp;IF(S278&gt;0,"Revisamos decimales visibles. ","")&amp;IF(T278&gt;0,"Confirmamos la unidad.","")),"Hay una entrada con error. Corregimos el dato antes de cerrar la comprobación.")</f>
      </c>
      <c r="N278" s="29" t="n">
        <f>IF(COUNTA('DATOS'!B278:O278)&gt;0,1,0)</f>
        <v>0</v>
      </c>
      <c r="O278" s="29">
        <f>IFERROR(IF(N278=0,"",IF(OR(NOT(AND(LEN(TRIM('DATOS'!B278&amp;""))&gt;0,TRIM('DATOS'!B278&amp;"")&lt;&gt;"Pendiente",TRIM('DATOS'!B278&amp;"")&lt;&gt;"Por confirmar",TRIM('DATOS'!B278&amp;"")&lt;&gt;"No consta",TRIM('DATOS'!B278&amp;"")&lt;&gt;"Desconocido",TRIM('DATOS'!B278&amp;"")&lt;&gt;"Sin confirmar",TRIM('DATOS'!B278&amp;"")&lt;&gt;"Por decidir",TRIM('DATOS'!B278&amp;"")&lt;&gt;"Por comprobar")),NOT(AND(LEN(TRIM('DATOS'!C278&amp;""))&gt;0,TRIM('DATOS'!C278&amp;"")&lt;&gt;"Pendiente",TRIM('DATOS'!C278&amp;"")&lt;&gt;"Por confirmar",TRIM('DATOS'!C278&amp;"")&lt;&gt;"No consta",TRIM('DATOS'!C278&amp;"")&lt;&gt;"Desconocido",TRIM('DATOS'!C278&amp;"")&lt;&gt;"Sin confirmar",TRIM('DATOS'!C278&amp;"")&lt;&gt;"Por decidir",TRIM('DATOS'!C278&amp;"")&lt;&gt;"Por comprobar")),NOT(AND(LEN(TRIM('DATOS'!D278&amp;""))&gt;0,TRIM('DATOS'!D278&amp;"")&lt;&gt;"Pendiente",TRIM('DATOS'!D278&amp;"")&lt;&gt;"Por confirmar",TRIM('DATOS'!D278&amp;"")&lt;&gt;"No consta",TRIM('DATOS'!D278&amp;"")&lt;&gt;"Desconocido",TRIM('DATOS'!D278&amp;"")&lt;&gt;"Sin confirmar",TRIM('DATOS'!D278&amp;"")&lt;&gt;"Por decidir",TRIM('DATOS'!D278&amp;"")&lt;&gt;"Por comprobar")),NOT(AND(LEN(TRIM('DATOS'!E278&amp;""))&gt;0,TRIM('DATOS'!E278&amp;"")&lt;&gt;"Pendiente",TRIM('DATOS'!E278&amp;"")&lt;&gt;"Por confirmar",TRIM('DATOS'!E278&amp;"")&lt;&gt;"No consta",TRIM('DATOS'!E278&amp;"")&lt;&gt;"Desconocido",TRIM('DATOS'!E278&amp;"")&lt;&gt;"Sin confirmar",TRIM('DATOS'!E278&amp;"")&lt;&gt;"Por decidir",TRIM('DATOS'!E278&amp;"")&lt;&gt;"Por comprobar")),NOT(AND(LEN(TRIM('DATOS'!F278&amp;""))&gt;0,TRIM('DATOS'!F278&amp;"")&lt;&gt;"Pendiente",TRIM('DATOS'!F278&amp;"")&lt;&gt;"Por confirmar",TRIM('DATOS'!F278&amp;"")&lt;&gt;"No consta",TRIM('DATOS'!F278&amp;"")&lt;&gt;"Desconocido",TRIM('DATOS'!F278&amp;"")&lt;&gt;"Sin confirmar",TRIM('DATOS'!F278&amp;"")&lt;&gt;"Por decidir",TRIM('DATOS'!F278&amp;"")&lt;&gt;"Por comprobar")),NOT(AND(LEN(TRIM('DATOS'!N278&amp;""))&gt;0,TRIM('DATOS'!N278&amp;"")&lt;&gt;"Pendiente",TRIM('DATOS'!N278&amp;"")&lt;&gt;"Por confirmar",TRIM('DATOS'!N278&amp;"")&lt;&gt;"No consta",TRIM('DATOS'!N278&amp;"")&lt;&gt;"Desconocido",TRIM('DATOS'!N278&amp;"")&lt;&gt;"Sin confirmar",TRIM('DATOS'!N278&amp;"")&lt;&gt;"Por decidir",TRIM('DATOS'!N278&amp;"")&lt;&gt;"Por comprobar")),NOT(Y278=1),W278&lt;&gt;1,X278&gt;1,NOT(OR(LEN(TRIM('DATOS'!K278&amp;""))=0,'DATOS'!K278="Sin valorar",'DATOS'!K278="Sin coste documentado",'DATOS'!K278="Incluido en otra partida",'DATOS'!K278="Por confirmar")),NOT(OR(LEN(TRIM('DATOS'!M278&amp;""))=0,'DATOS'!M278="Sí",'DATOS'!M278="No",'DATOS'!M278="Por confirmar")),NOT(OR(LEN(TRIM('DATOS'!O278&amp;""))=0,'DATOS'!O278="Comparamos",'DATOS'!O278="No existe",'DATOS'!O278="Por confirmar"))),2,IF(AND(OR('DATOS'!G278&lt;0,'DATOS'!H278&lt;0,'DATOS'!J278&lt;0),NOT(AND(LEN(TRIM('DATOS'!L278&amp;""))&gt;0,TRIM('DATOS'!L278&amp;"")&lt;&gt;"Pendiente",TRIM('DATOS'!L278&amp;"")&lt;&gt;"Por confirmar",TRIM('DATOS'!L278&amp;"")&lt;&gt;"No consta",TRIM('DATOS'!L278&amp;"")&lt;&gt;"Desconocido",TRIM('DATOS'!L278&amp;"")&lt;&gt;"Sin confirmar",TRIM('DATOS'!L278&amp;"")&lt;&gt;"Por decidir",TRIM('DATOS'!L278&amp;"")&lt;&gt;"Por comprobar"))),1,0))),2)</f>
      </c>
      <c r="P278" s="29">
        <f>IFERROR(IF(N278=0,"",IF(NOT(Y278=1),1,IF('REFERENCIAS'!$Q$8&lt;&gt;1,2,IF(ABS('DATOS'!J278-ROUND('DATOS'!G278*'DATOS'!H278,'REFERENCIAS'!$K$8))&gt;0.00000001,2,IF('DATOS'!O278="No existe",IF(LEN(TRIM('DATOS'!I278&amp;""))=0,0,2),IF('DATOS'!O278="Comparamos",IF(LEN(TRIM('DATOS'!I278&amp;""))=0,1,IF(ISNUMBER('DATOS'!I278),IF(ABS('DATOS'!H278-'DATOS'!I278)&gt;0.00000001,2,0),2)),1)))))),2)</f>
      </c>
      <c r="Q278" s="29">
        <f>IFERROR(IF(N278=0,"",IF(NOT(Y278=1),1,IF('DATOS'!K278="Sin valorar",2,IF('DATOS'!G278=0,1,IF(OR('DATOS'!H278=0,'DATOS'!J278=0),IF(AND(OR('DATOS'!K278="Sin coste documentado",'DATOS'!K278="Incluido en otra partida"),AND(LEN(TRIM('DATOS'!L278&amp;""))&gt;0,TRIM('DATOS'!L278&amp;"")&lt;&gt;"Pendiente",TRIM('DATOS'!L278&amp;"")&lt;&gt;"Por confirmar",TRIM('DATOS'!L278&amp;"")&lt;&gt;"No consta",TRIM('DATOS'!L278&amp;"")&lt;&gt;"Desconocido",TRIM('DATOS'!L278&amp;"")&lt;&gt;"Sin confirmar",TRIM('DATOS'!L278&amp;"")&lt;&gt;"Por decidir",TRIM('DATOS'!L278&amp;"")&lt;&gt;"Por comprobar")),0,1),0))))),2)</f>
      </c>
      <c r="R278" s="29">
        <f>IFERROR(IF(N278=0,"",IF(OR(NOT(AND(LEN(TRIM('DATOS'!D278&amp;""))&gt;0,TRIM('DATOS'!D278&amp;"")&lt;&gt;"Pendiente",TRIM('DATOS'!D278&amp;"")&lt;&gt;"Por confirmar",TRIM('DATOS'!D278&amp;"")&lt;&gt;"No consta",TRIM('DATOS'!D278&amp;"")&lt;&gt;"Desconocido",TRIM('DATOS'!D278&amp;"")&lt;&gt;"Sin confirmar",TRIM('DATOS'!D278&amp;"")&lt;&gt;"Por decidir",TRIM('DATOS'!D278&amp;"")&lt;&gt;"Por comprobar")),NOT(AND(LEN(TRIM('DATOS'!E278&amp;""))&gt;0,TRIM('DATOS'!E278&amp;"")&lt;&gt;"Pendiente",TRIM('DATOS'!E278&amp;"")&lt;&gt;"Por confirmar",TRIM('DATOS'!E278&amp;"")&lt;&gt;"No consta",TRIM('DATOS'!E278&amp;"")&lt;&gt;"Desconocido",TRIM('DATOS'!E278&amp;"")&lt;&gt;"Sin confirmar",TRIM('DATOS'!E278&amp;"")&lt;&gt;"Por decidir",TRIM('DATOS'!E278&amp;"")&lt;&gt;"Por comprobar"))),2,IF('DATOS'!M278="No",2,IF('DATOS'!M278="Sí",0,IF(OR('DATOS'!D278&lt;&gt;'DATOS'!E278,LEN('DATOS'!E278)&gt;300,RIGHT(TRIM('DATOS'!E278),3)="...",RIGHT(TRIM('DATOS'!E278),1)="…"),1,0))))),2)</f>
      </c>
      <c r="S278" s="29">
        <f>IFERROR(IF(N278=0,"",IF('REFERENCIAS'!$Q$8&lt;&gt;1,2,IF(NOT(Y278=1),1,IF(OR(ABS('DATOS'!G278-ROUND('DATOS'!G278,'REFERENCIAS'!$E$8))&gt;0.00000001,ABS('DATOS'!H278-ROUND('DATOS'!H278,'REFERENCIAS'!$H$8))&gt;0.00000001,ABS('DATOS'!J278-ROUND('DATOS'!J278,'REFERENCIAS'!$K$8))&gt;0.00000001,IF(ISNUMBER('DATOS'!I278),ABS('DATOS'!I278-ROUND('DATOS'!I278,'REFERENCIAS'!$H$8))&gt;0.00000001,FALSE)),1,0)))),2)</f>
      </c>
      <c r="T278" s="29">
        <f>IFERROR(IF(N278=0,"",IF(NOT(AND(LEN(TRIM('DATOS'!F278&amp;""))&gt;0,TRIM('DATOS'!F278&amp;"")&lt;&gt;"Pendiente",TRIM('DATOS'!F278&amp;"")&lt;&gt;"Por confirmar",TRIM('DATOS'!F278&amp;"")&lt;&gt;"No consta",TRIM('DATOS'!F278&amp;"")&lt;&gt;"Desconocido",TRIM('DATOS'!F278&amp;"")&lt;&gt;"Sin confirmar",TRIM('DATOS'!F278&amp;"")&lt;&gt;"Por decidir",TRIM('DATOS'!F278&amp;"")&lt;&gt;"Por comprobar")),2,IF(COUNTIFS('REFERENCIAS'!$T$15:$T$34,"ID:"&amp;SUBSTITUTE(SUBSTITUTE(SUBSTITUTE(SUBSTITUTE(UPPER(TRIM('DATOS'!F278&amp;"")),"!","!E"),"*","!A"),"?","!B"),"~","!C"),'REFERENCIAS'!$H$15:$H$34,"&lt;&gt;")&gt;0,0,1))),2)</f>
      </c>
      <c r="U278" s="29" t="str">
        <f>'DATOS'!R278</f>
        <v>ID:</v>
      </c>
      <c r="V278" s="29" t="str">
        <f>'DATOS'!S278</f>
        <v>ID:</v>
      </c>
      <c r="W278" s="29" t="n">
        <f>IF(N278=0,0,COUNTIFS('REFERENCIAS'!$R$15:$R$64,U278))</f>
        <v>0</v>
      </c>
      <c r="X278" s="29" t="n">
        <f>IF(N278=0,0,COUNTIFS('DATOS'!$R$10:$R$509,U278,'DATOS'!$S$10:$S$509,V278))</f>
        <v>0</v>
      </c>
      <c r="Y278" s="29" t="n">
        <f>IF(AND(ISNUMBER('DATOS'!G278),ISNUMBER('DATOS'!H278),ISNUMBER('DATOS'!J278)),1,0)</f>
        <v>0</v>
      </c>
    </row>
    <row r="279" ht="64" customHeight="1">
      <c r="B279" s="26">
        <f>IF(N279=1,270,"")</f>
      </c>
      <c r="C279" s="26">
        <f>IF(AND(N279=1,LEN(TRIM('DATOS'!B279&amp;""))&gt;0),'DATOS'!B279,"")</f>
      </c>
      <c r="D279" s="26">
        <f>IF(AND(N279=1,LEN(TRIM('DATOS'!C279&amp;""))&gt;0),'DATOS'!C279,"")</f>
      </c>
      <c r="E279" s="26">
        <f>IF(NOT(ISNUMBER(P279)),"",IF(P279=2,"ROJO",IF(P279=1,"ÁMBAR","VERDE")))</f>
      </c>
      <c r="F279" s="26">
        <f>IF(NOT(ISNUMBER(Q279)),"",IF(Q279=2,"ROJO",IF(Q279=1,"ÁMBAR","VERDE")))</f>
      </c>
      <c r="G279" s="26">
        <f>IF(NOT(ISNUMBER(R279)),"",IF(R279=2,"ROJO",IF(R279=1,"ÁMBAR","VERDE")))</f>
      </c>
      <c r="H279" s="26">
        <f>IF(NOT(ISNUMBER(S279)),"",IF(S279=2,"ROJO",IF(S279=1,"ÁMBAR","VERDE")))</f>
      </c>
      <c r="I279" s="26">
        <f>IF(NOT(ISNUMBER(T279)),"",IF(T279=2,"ROJO",IF(T279=1,"ÁMBAR","VERDE")))</f>
      </c>
      <c r="J279" s="26">
        <f>IF(NOT(ISNUMBER(O279)),"",IF(O279=2,"ROJO",IF(O279=1,"ÁMBAR","VERDE")))</f>
      </c>
      <c r="K279" s="26">
        <f>IFERROR(IF(AND(N279=1,LEN(TRIM('DATOS'!N279&amp;""))&gt;0),'DATOS'!N279,""),"Hay una entrada con error. Corregimos el dato antes de cerrar la comprobación.")</f>
      </c>
      <c r="L279" s="26">
        <f>IFERROR(IF(N279=0,"",IF(O279&gt;0,"Completamos datos, claves o motivo. ","")&amp;IF(P279&gt;0,"Cotejamos precios e importe. ","")&amp;IF(Q279&gt;0,"Aclaramos el cero. ","")&amp;IF(R279&gt;0,"Comprobamos el texto. ","")&amp;IF(S279&gt;0,"Revisamos decimales visibles. ","")&amp;IF(T279&gt;0,"Confirmamos la unidad.","")),"Hay una entrada con error. Corregimos el dato antes de cerrar la comprobación.")</f>
      </c>
      <c r="N279" s="29" t="n">
        <f>IF(COUNTA('DATOS'!B279:O279)&gt;0,1,0)</f>
        <v>0</v>
      </c>
      <c r="O279" s="29">
        <f>IFERROR(IF(N279=0,"",IF(OR(NOT(AND(LEN(TRIM('DATOS'!B279&amp;""))&gt;0,TRIM('DATOS'!B279&amp;"")&lt;&gt;"Pendiente",TRIM('DATOS'!B279&amp;"")&lt;&gt;"Por confirmar",TRIM('DATOS'!B279&amp;"")&lt;&gt;"No consta",TRIM('DATOS'!B279&amp;"")&lt;&gt;"Desconocido",TRIM('DATOS'!B279&amp;"")&lt;&gt;"Sin confirmar",TRIM('DATOS'!B279&amp;"")&lt;&gt;"Por decidir",TRIM('DATOS'!B279&amp;"")&lt;&gt;"Por comprobar")),NOT(AND(LEN(TRIM('DATOS'!C279&amp;""))&gt;0,TRIM('DATOS'!C279&amp;"")&lt;&gt;"Pendiente",TRIM('DATOS'!C279&amp;"")&lt;&gt;"Por confirmar",TRIM('DATOS'!C279&amp;"")&lt;&gt;"No consta",TRIM('DATOS'!C279&amp;"")&lt;&gt;"Desconocido",TRIM('DATOS'!C279&amp;"")&lt;&gt;"Sin confirmar",TRIM('DATOS'!C279&amp;"")&lt;&gt;"Por decidir",TRIM('DATOS'!C279&amp;"")&lt;&gt;"Por comprobar")),NOT(AND(LEN(TRIM('DATOS'!D279&amp;""))&gt;0,TRIM('DATOS'!D279&amp;"")&lt;&gt;"Pendiente",TRIM('DATOS'!D279&amp;"")&lt;&gt;"Por confirmar",TRIM('DATOS'!D279&amp;"")&lt;&gt;"No consta",TRIM('DATOS'!D279&amp;"")&lt;&gt;"Desconocido",TRIM('DATOS'!D279&amp;"")&lt;&gt;"Sin confirmar",TRIM('DATOS'!D279&amp;"")&lt;&gt;"Por decidir",TRIM('DATOS'!D279&amp;"")&lt;&gt;"Por comprobar")),NOT(AND(LEN(TRIM('DATOS'!E279&amp;""))&gt;0,TRIM('DATOS'!E279&amp;"")&lt;&gt;"Pendiente",TRIM('DATOS'!E279&amp;"")&lt;&gt;"Por confirmar",TRIM('DATOS'!E279&amp;"")&lt;&gt;"No consta",TRIM('DATOS'!E279&amp;"")&lt;&gt;"Desconocido",TRIM('DATOS'!E279&amp;"")&lt;&gt;"Sin confirmar",TRIM('DATOS'!E279&amp;"")&lt;&gt;"Por decidir",TRIM('DATOS'!E279&amp;"")&lt;&gt;"Por comprobar")),NOT(AND(LEN(TRIM('DATOS'!F279&amp;""))&gt;0,TRIM('DATOS'!F279&amp;"")&lt;&gt;"Pendiente",TRIM('DATOS'!F279&amp;"")&lt;&gt;"Por confirmar",TRIM('DATOS'!F279&amp;"")&lt;&gt;"No consta",TRIM('DATOS'!F279&amp;"")&lt;&gt;"Desconocido",TRIM('DATOS'!F279&amp;"")&lt;&gt;"Sin confirmar",TRIM('DATOS'!F279&amp;"")&lt;&gt;"Por decidir",TRIM('DATOS'!F279&amp;"")&lt;&gt;"Por comprobar")),NOT(AND(LEN(TRIM('DATOS'!N279&amp;""))&gt;0,TRIM('DATOS'!N279&amp;"")&lt;&gt;"Pendiente",TRIM('DATOS'!N279&amp;"")&lt;&gt;"Por confirmar",TRIM('DATOS'!N279&amp;"")&lt;&gt;"No consta",TRIM('DATOS'!N279&amp;"")&lt;&gt;"Desconocido",TRIM('DATOS'!N279&amp;"")&lt;&gt;"Sin confirmar",TRIM('DATOS'!N279&amp;"")&lt;&gt;"Por decidir",TRIM('DATOS'!N279&amp;"")&lt;&gt;"Por comprobar")),NOT(Y279=1),W279&lt;&gt;1,X279&gt;1,NOT(OR(LEN(TRIM('DATOS'!K279&amp;""))=0,'DATOS'!K279="Sin valorar",'DATOS'!K279="Sin coste documentado",'DATOS'!K279="Incluido en otra partida",'DATOS'!K279="Por confirmar")),NOT(OR(LEN(TRIM('DATOS'!M279&amp;""))=0,'DATOS'!M279="Sí",'DATOS'!M279="No",'DATOS'!M279="Por confirmar")),NOT(OR(LEN(TRIM('DATOS'!O279&amp;""))=0,'DATOS'!O279="Comparamos",'DATOS'!O279="No existe",'DATOS'!O279="Por confirmar"))),2,IF(AND(OR('DATOS'!G279&lt;0,'DATOS'!H279&lt;0,'DATOS'!J279&lt;0),NOT(AND(LEN(TRIM('DATOS'!L279&amp;""))&gt;0,TRIM('DATOS'!L279&amp;"")&lt;&gt;"Pendiente",TRIM('DATOS'!L279&amp;"")&lt;&gt;"Por confirmar",TRIM('DATOS'!L279&amp;"")&lt;&gt;"No consta",TRIM('DATOS'!L279&amp;"")&lt;&gt;"Desconocido",TRIM('DATOS'!L279&amp;"")&lt;&gt;"Sin confirmar",TRIM('DATOS'!L279&amp;"")&lt;&gt;"Por decidir",TRIM('DATOS'!L279&amp;"")&lt;&gt;"Por comprobar"))),1,0))),2)</f>
      </c>
      <c r="P279" s="29">
        <f>IFERROR(IF(N279=0,"",IF(NOT(Y279=1),1,IF('REFERENCIAS'!$Q$8&lt;&gt;1,2,IF(ABS('DATOS'!J279-ROUND('DATOS'!G279*'DATOS'!H279,'REFERENCIAS'!$K$8))&gt;0.00000001,2,IF('DATOS'!O279="No existe",IF(LEN(TRIM('DATOS'!I279&amp;""))=0,0,2),IF('DATOS'!O279="Comparamos",IF(LEN(TRIM('DATOS'!I279&amp;""))=0,1,IF(ISNUMBER('DATOS'!I279),IF(ABS('DATOS'!H279-'DATOS'!I279)&gt;0.00000001,2,0),2)),1)))))),2)</f>
      </c>
      <c r="Q279" s="29">
        <f>IFERROR(IF(N279=0,"",IF(NOT(Y279=1),1,IF('DATOS'!K279="Sin valorar",2,IF('DATOS'!G279=0,1,IF(OR('DATOS'!H279=0,'DATOS'!J279=0),IF(AND(OR('DATOS'!K279="Sin coste documentado",'DATOS'!K279="Incluido en otra partida"),AND(LEN(TRIM('DATOS'!L279&amp;""))&gt;0,TRIM('DATOS'!L279&amp;"")&lt;&gt;"Pendiente",TRIM('DATOS'!L279&amp;"")&lt;&gt;"Por confirmar",TRIM('DATOS'!L279&amp;"")&lt;&gt;"No consta",TRIM('DATOS'!L279&amp;"")&lt;&gt;"Desconocido",TRIM('DATOS'!L279&amp;"")&lt;&gt;"Sin confirmar",TRIM('DATOS'!L279&amp;"")&lt;&gt;"Por decidir",TRIM('DATOS'!L279&amp;"")&lt;&gt;"Por comprobar")),0,1),0))))),2)</f>
      </c>
      <c r="R279" s="29">
        <f>IFERROR(IF(N279=0,"",IF(OR(NOT(AND(LEN(TRIM('DATOS'!D279&amp;""))&gt;0,TRIM('DATOS'!D279&amp;"")&lt;&gt;"Pendiente",TRIM('DATOS'!D279&amp;"")&lt;&gt;"Por confirmar",TRIM('DATOS'!D279&amp;"")&lt;&gt;"No consta",TRIM('DATOS'!D279&amp;"")&lt;&gt;"Desconocido",TRIM('DATOS'!D279&amp;"")&lt;&gt;"Sin confirmar",TRIM('DATOS'!D279&amp;"")&lt;&gt;"Por decidir",TRIM('DATOS'!D279&amp;"")&lt;&gt;"Por comprobar")),NOT(AND(LEN(TRIM('DATOS'!E279&amp;""))&gt;0,TRIM('DATOS'!E279&amp;"")&lt;&gt;"Pendiente",TRIM('DATOS'!E279&amp;"")&lt;&gt;"Por confirmar",TRIM('DATOS'!E279&amp;"")&lt;&gt;"No consta",TRIM('DATOS'!E279&amp;"")&lt;&gt;"Desconocido",TRIM('DATOS'!E279&amp;"")&lt;&gt;"Sin confirmar",TRIM('DATOS'!E279&amp;"")&lt;&gt;"Por decidir",TRIM('DATOS'!E279&amp;"")&lt;&gt;"Por comprobar"))),2,IF('DATOS'!M279="No",2,IF('DATOS'!M279="Sí",0,IF(OR('DATOS'!D279&lt;&gt;'DATOS'!E279,LEN('DATOS'!E279)&gt;300,RIGHT(TRIM('DATOS'!E279),3)="...",RIGHT(TRIM('DATOS'!E279),1)="…"),1,0))))),2)</f>
      </c>
      <c r="S279" s="29">
        <f>IFERROR(IF(N279=0,"",IF('REFERENCIAS'!$Q$8&lt;&gt;1,2,IF(NOT(Y279=1),1,IF(OR(ABS('DATOS'!G279-ROUND('DATOS'!G279,'REFERENCIAS'!$E$8))&gt;0.00000001,ABS('DATOS'!H279-ROUND('DATOS'!H279,'REFERENCIAS'!$H$8))&gt;0.00000001,ABS('DATOS'!J279-ROUND('DATOS'!J279,'REFERENCIAS'!$K$8))&gt;0.00000001,IF(ISNUMBER('DATOS'!I279),ABS('DATOS'!I279-ROUND('DATOS'!I279,'REFERENCIAS'!$H$8))&gt;0.00000001,FALSE)),1,0)))),2)</f>
      </c>
      <c r="T279" s="29">
        <f>IFERROR(IF(N279=0,"",IF(NOT(AND(LEN(TRIM('DATOS'!F279&amp;""))&gt;0,TRIM('DATOS'!F279&amp;"")&lt;&gt;"Pendiente",TRIM('DATOS'!F279&amp;"")&lt;&gt;"Por confirmar",TRIM('DATOS'!F279&amp;"")&lt;&gt;"No consta",TRIM('DATOS'!F279&amp;"")&lt;&gt;"Desconocido",TRIM('DATOS'!F279&amp;"")&lt;&gt;"Sin confirmar",TRIM('DATOS'!F279&amp;"")&lt;&gt;"Por decidir",TRIM('DATOS'!F279&amp;"")&lt;&gt;"Por comprobar")),2,IF(COUNTIFS('REFERENCIAS'!$T$15:$T$34,"ID:"&amp;SUBSTITUTE(SUBSTITUTE(SUBSTITUTE(SUBSTITUTE(UPPER(TRIM('DATOS'!F279&amp;"")),"!","!E"),"*","!A"),"?","!B"),"~","!C"),'REFERENCIAS'!$H$15:$H$34,"&lt;&gt;")&gt;0,0,1))),2)</f>
      </c>
      <c r="U279" s="29" t="str">
        <f>'DATOS'!R279</f>
        <v>ID:</v>
      </c>
      <c r="V279" s="29" t="str">
        <f>'DATOS'!S279</f>
        <v>ID:</v>
      </c>
      <c r="W279" s="29" t="n">
        <f>IF(N279=0,0,COUNTIFS('REFERENCIAS'!$R$15:$R$64,U279))</f>
        <v>0</v>
      </c>
      <c r="X279" s="29" t="n">
        <f>IF(N279=0,0,COUNTIFS('DATOS'!$R$10:$R$509,U279,'DATOS'!$S$10:$S$509,V279))</f>
        <v>0</v>
      </c>
      <c r="Y279" s="29" t="n">
        <f>IF(AND(ISNUMBER('DATOS'!G279),ISNUMBER('DATOS'!H279),ISNUMBER('DATOS'!J279)),1,0)</f>
        <v>0</v>
      </c>
    </row>
    <row r="280" ht="64" customHeight="1">
      <c r="B280" s="26">
        <f>IF(N280=1,271,"")</f>
      </c>
      <c r="C280" s="26">
        <f>IF(AND(N280=1,LEN(TRIM('DATOS'!B280&amp;""))&gt;0),'DATOS'!B280,"")</f>
      </c>
      <c r="D280" s="26">
        <f>IF(AND(N280=1,LEN(TRIM('DATOS'!C280&amp;""))&gt;0),'DATOS'!C280,"")</f>
      </c>
      <c r="E280" s="26">
        <f>IF(NOT(ISNUMBER(P280)),"",IF(P280=2,"ROJO",IF(P280=1,"ÁMBAR","VERDE")))</f>
      </c>
      <c r="F280" s="26">
        <f>IF(NOT(ISNUMBER(Q280)),"",IF(Q280=2,"ROJO",IF(Q280=1,"ÁMBAR","VERDE")))</f>
      </c>
      <c r="G280" s="26">
        <f>IF(NOT(ISNUMBER(R280)),"",IF(R280=2,"ROJO",IF(R280=1,"ÁMBAR","VERDE")))</f>
      </c>
      <c r="H280" s="26">
        <f>IF(NOT(ISNUMBER(S280)),"",IF(S280=2,"ROJO",IF(S280=1,"ÁMBAR","VERDE")))</f>
      </c>
      <c r="I280" s="26">
        <f>IF(NOT(ISNUMBER(T280)),"",IF(T280=2,"ROJO",IF(T280=1,"ÁMBAR","VERDE")))</f>
      </c>
      <c r="J280" s="26">
        <f>IF(NOT(ISNUMBER(O280)),"",IF(O280=2,"ROJO",IF(O280=1,"ÁMBAR","VERDE")))</f>
      </c>
      <c r="K280" s="26">
        <f>IFERROR(IF(AND(N280=1,LEN(TRIM('DATOS'!N280&amp;""))&gt;0),'DATOS'!N280,""),"Hay una entrada con error. Corregimos el dato antes de cerrar la comprobación.")</f>
      </c>
      <c r="L280" s="26">
        <f>IFERROR(IF(N280=0,"",IF(O280&gt;0,"Completamos datos, claves o motivo. ","")&amp;IF(P280&gt;0,"Cotejamos precios e importe. ","")&amp;IF(Q280&gt;0,"Aclaramos el cero. ","")&amp;IF(R280&gt;0,"Comprobamos el texto. ","")&amp;IF(S280&gt;0,"Revisamos decimales visibles. ","")&amp;IF(T280&gt;0,"Confirmamos la unidad.","")),"Hay una entrada con error. Corregimos el dato antes de cerrar la comprobación.")</f>
      </c>
      <c r="N280" s="29" t="n">
        <f>IF(COUNTA('DATOS'!B280:O280)&gt;0,1,0)</f>
        <v>0</v>
      </c>
      <c r="O280" s="29">
        <f>IFERROR(IF(N280=0,"",IF(OR(NOT(AND(LEN(TRIM('DATOS'!B280&amp;""))&gt;0,TRIM('DATOS'!B280&amp;"")&lt;&gt;"Pendiente",TRIM('DATOS'!B280&amp;"")&lt;&gt;"Por confirmar",TRIM('DATOS'!B280&amp;"")&lt;&gt;"No consta",TRIM('DATOS'!B280&amp;"")&lt;&gt;"Desconocido",TRIM('DATOS'!B280&amp;"")&lt;&gt;"Sin confirmar",TRIM('DATOS'!B280&amp;"")&lt;&gt;"Por decidir",TRIM('DATOS'!B280&amp;"")&lt;&gt;"Por comprobar")),NOT(AND(LEN(TRIM('DATOS'!C280&amp;""))&gt;0,TRIM('DATOS'!C280&amp;"")&lt;&gt;"Pendiente",TRIM('DATOS'!C280&amp;"")&lt;&gt;"Por confirmar",TRIM('DATOS'!C280&amp;"")&lt;&gt;"No consta",TRIM('DATOS'!C280&amp;"")&lt;&gt;"Desconocido",TRIM('DATOS'!C280&amp;"")&lt;&gt;"Sin confirmar",TRIM('DATOS'!C280&amp;"")&lt;&gt;"Por decidir",TRIM('DATOS'!C280&amp;"")&lt;&gt;"Por comprobar")),NOT(AND(LEN(TRIM('DATOS'!D280&amp;""))&gt;0,TRIM('DATOS'!D280&amp;"")&lt;&gt;"Pendiente",TRIM('DATOS'!D280&amp;"")&lt;&gt;"Por confirmar",TRIM('DATOS'!D280&amp;"")&lt;&gt;"No consta",TRIM('DATOS'!D280&amp;"")&lt;&gt;"Desconocido",TRIM('DATOS'!D280&amp;"")&lt;&gt;"Sin confirmar",TRIM('DATOS'!D280&amp;"")&lt;&gt;"Por decidir",TRIM('DATOS'!D280&amp;"")&lt;&gt;"Por comprobar")),NOT(AND(LEN(TRIM('DATOS'!E280&amp;""))&gt;0,TRIM('DATOS'!E280&amp;"")&lt;&gt;"Pendiente",TRIM('DATOS'!E280&amp;"")&lt;&gt;"Por confirmar",TRIM('DATOS'!E280&amp;"")&lt;&gt;"No consta",TRIM('DATOS'!E280&amp;"")&lt;&gt;"Desconocido",TRIM('DATOS'!E280&amp;"")&lt;&gt;"Sin confirmar",TRIM('DATOS'!E280&amp;"")&lt;&gt;"Por decidir",TRIM('DATOS'!E280&amp;"")&lt;&gt;"Por comprobar")),NOT(AND(LEN(TRIM('DATOS'!F280&amp;""))&gt;0,TRIM('DATOS'!F280&amp;"")&lt;&gt;"Pendiente",TRIM('DATOS'!F280&amp;"")&lt;&gt;"Por confirmar",TRIM('DATOS'!F280&amp;"")&lt;&gt;"No consta",TRIM('DATOS'!F280&amp;"")&lt;&gt;"Desconocido",TRIM('DATOS'!F280&amp;"")&lt;&gt;"Sin confirmar",TRIM('DATOS'!F280&amp;"")&lt;&gt;"Por decidir",TRIM('DATOS'!F280&amp;"")&lt;&gt;"Por comprobar")),NOT(AND(LEN(TRIM('DATOS'!N280&amp;""))&gt;0,TRIM('DATOS'!N280&amp;"")&lt;&gt;"Pendiente",TRIM('DATOS'!N280&amp;"")&lt;&gt;"Por confirmar",TRIM('DATOS'!N280&amp;"")&lt;&gt;"No consta",TRIM('DATOS'!N280&amp;"")&lt;&gt;"Desconocido",TRIM('DATOS'!N280&amp;"")&lt;&gt;"Sin confirmar",TRIM('DATOS'!N280&amp;"")&lt;&gt;"Por decidir",TRIM('DATOS'!N280&amp;"")&lt;&gt;"Por comprobar")),NOT(Y280=1),W280&lt;&gt;1,X280&gt;1,NOT(OR(LEN(TRIM('DATOS'!K280&amp;""))=0,'DATOS'!K280="Sin valorar",'DATOS'!K280="Sin coste documentado",'DATOS'!K280="Incluido en otra partida",'DATOS'!K280="Por confirmar")),NOT(OR(LEN(TRIM('DATOS'!M280&amp;""))=0,'DATOS'!M280="Sí",'DATOS'!M280="No",'DATOS'!M280="Por confirmar")),NOT(OR(LEN(TRIM('DATOS'!O280&amp;""))=0,'DATOS'!O280="Comparamos",'DATOS'!O280="No existe",'DATOS'!O280="Por confirmar"))),2,IF(AND(OR('DATOS'!G280&lt;0,'DATOS'!H280&lt;0,'DATOS'!J280&lt;0),NOT(AND(LEN(TRIM('DATOS'!L280&amp;""))&gt;0,TRIM('DATOS'!L280&amp;"")&lt;&gt;"Pendiente",TRIM('DATOS'!L280&amp;"")&lt;&gt;"Por confirmar",TRIM('DATOS'!L280&amp;"")&lt;&gt;"No consta",TRIM('DATOS'!L280&amp;"")&lt;&gt;"Desconocido",TRIM('DATOS'!L280&amp;"")&lt;&gt;"Sin confirmar",TRIM('DATOS'!L280&amp;"")&lt;&gt;"Por decidir",TRIM('DATOS'!L280&amp;"")&lt;&gt;"Por comprobar"))),1,0))),2)</f>
      </c>
      <c r="P280" s="29">
        <f>IFERROR(IF(N280=0,"",IF(NOT(Y280=1),1,IF('REFERENCIAS'!$Q$8&lt;&gt;1,2,IF(ABS('DATOS'!J280-ROUND('DATOS'!G280*'DATOS'!H280,'REFERENCIAS'!$K$8))&gt;0.00000001,2,IF('DATOS'!O280="No existe",IF(LEN(TRIM('DATOS'!I280&amp;""))=0,0,2),IF('DATOS'!O280="Comparamos",IF(LEN(TRIM('DATOS'!I280&amp;""))=0,1,IF(ISNUMBER('DATOS'!I280),IF(ABS('DATOS'!H280-'DATOS'!I280)&gt;0.00000001,2,0),2)),1)))))),2)</f>
      </c>
      <c r="Q280" s="29">
        <f>IFERROR(IF(N280=0,"",IF(NOT(Y280=1),1,IF('DATOS'!K280="Sin valorar",2,IF('DATOS'!G280=0,1,IF(OR('DATOS'!H280=0,'DATOS'!J280=0),IF(AND(OR('DATOS'!K280="Sin coste documentado",'DATOS'!K280="Incluido en otra partida"),AND(LEN(TRIM('DATOS'!L280&amp;""))&gt;0,TRIM('DATOS'!L280&amp;"")&lt;&gt;"Pendiente",TRIM('DATOS'!L280&amp;"")&lt;&gt;"Por confirmar",TRIM('DATOS'!L280&amp;"")&lt;&gt;"No consta",TRIM('DATOS'!L280&amp;"")&lt;&gt;"Desconocido",TRIM('DATOS'!L280&amp;"")&lt;&gt;"Sin confirmar",TRIM('DATOS'!L280&amp;"")&lt;&gt;"Por decidir",TRIM('DATOS'!L280&amp;"")&lt;&gt;"Por comprobar")),0,1),0))))),2)</f>
      </c>
      <c r="R280" s="29">
        <f>IFERROR(IF(N280=0,"",IF(OR(NOT(AND(LEN(TRIM('DATOS'!D280&amp;""))&gt;0,TRIM('DATOS'!D280&amp;"")&lt;&gt;"Pendiente",TRIM('DATOS'!D280&amp;"")&lt;&gt;"Por confirmar",TRIM('DATOS'!D280&amp;"")&lt;&gt;"No consta",TRIM('DATOS'!D280&amp;"")&lt;&gt;"Desconocido",TRIM('DATOS'!D280&amp;"")&lt;&gt;"Sin confirmar",TRIM('DATOS'!D280&amp;"")&lt;&gt;"Por decidir",TRIM('DATOS'!D280&amp;"")&lt;&gt;"Por comprobar")),NOT(AND(LEN(TRIM('DATOS'!E280&amp;""))&gt;0,TRIM('DATOS'!E280&amp;"")&lt;&gt;"Pendiente",TRIM('DATOS'!E280&amp;"")&lt;&gt;"Por confirmar",TRIM('DATOS'!E280&amp;"")&lt;&gt;"No consta",TRIM('DATOS'!E280&amp;"")&lt;&gt;"Desconocido",TRIM('DATOS'!E280&amp;"")&lt;&gt;"Sin confirmar",TRIM('DATOS'!E280&amp;"")&lt;&gt;"Por decidir",TRIM('DATOS'!E280&amp;"")&lt;&gt;"Por comprobar"))),2,IF('DATOS'!M280="No",2,IF('DATOS'!M280="Sí",0,IF(OR('DATOS'!D280&lt;&gt;'DATOS'!E280,LEN('DATOS'!E280)&gt;300,RIGHT(TRIM('DATOS'!E280),3)="...",RIGHT(TRIM('DATOS'!E280),1)="…"),1,0))))),2)</f>
      </c>
      <c r="S280" s="29">
        <f>IFERROR(IF(N280=0,"",IF('REFERENCIAS'!$Q$8&lt;&gt;1,2,IF(NOT(Y280=1),1,IF(OR(ABS('DATOS'!G280-ROUND('DATOS'!G280,'REFERENCIAS'!$E$8))&gt;0.00000001,ABS('DATOS'!H280-ROUND('DATOS'!H280,'REFERENCIAS'!$H$8))&gt;0.00000001,ABS('DATOS'!J280-ROUND('DATOS'!J280,'REFERENCIAS'!$K$8))&gt;0.00000001,IF(ISNUMBER('DATOS'!I280),ABS('DATOS'!I280-ROUND('DATOS'!I280,'REFERENCIAS'!$H$8))&gt;0.00000001,FALSE)),1,0)))),2)</f>
      </c>
      <c r="T280" s="29">
        <f>IFERROR(IF(N280=0,"",IF(NOT(AND(LEN(TRIM('DATOS'!F280&amp;""))&gt;0,TRIM('DATOS'!F280&amp;"")&lt;&gt;"Pendiente",TRIM('DATOS'!F280&amp;"")&lt;&gt;"Por confirmar",TRIM('DATOS'!F280&amp;"")&lt;&gt;"No consta",TRIM('DATOS'!F280&amp;"")&lt;&gt;"Desconocido",TRIM('DATOS'!F280&amp;"")&lt;&gt;"Sin confirmar",TRIM('DATOS'!F280&amp;"")&lt;&gt;"Por decidir",TRIM('DATOS'!F280&amp;"")&lt;&gt;"Por comprobar")),2,IF(COUNTIFS('REFERENCIAS'!$T$15:$T$34,"ID:"&amp;SUBSTITUTE(SUBSTITUTE(SUBSTITUTE(SUBSTITUTE(UPPER(TRIM('DATOS'!F280&amp;"")),"!","!E"),"*","!A"),"?","!B"),"~","!C"),'REFERENCIAS'!$H$15:$H$34,"&lt;&gt;")&gt;0,0,1))),2)</f>
      </c>
      <c r="U280" s="29" t="str">
        <f>'DATOS'!R280</f>
        <v>ID:</v>
      </c>
      <c r="V280" s="29" t="str">
        <f>'DATOS'!S280</f>
        <v>ID:</v>
      </c>
      <c r="W280" s="29" t="n">
        <f>IF(N280=0,0,COUNTIFS('REFERENCIAS'!$R$15:$R$64,U280))</f>
        <v>0</v>
      </c>
      <c r="X280" s="29" t="n">
        <f>IF(N280=0,0,COUNTIFS('DATOS'!$R$10:$R$509,U280,'DATOS'!$S$10:$S$509,V280))</f>
        <v>0</v>
      </c>
      <c r="Y280" s="29" t="n">
        <f>IF(AND(ISNUMBER('DATOS'!G280),ISNUMBER('DATOS'!H280),ISNUMBER('DATOS'!J280)),1,0)</f>
        <v>0</v>
      </c>
    </row>
    <row r="281" ht="64" customHeight="1">
      <c r="B281" s="26">
        <f>IF(N281=1,272,"")</f>
      </c>
      <c r="C281" s="26">
        <f>IF(AND(N281=1,LEN(TRIM('DATOS'!B281&amp;""))&gt;0),'DATOS'!B281,"")</f>
      </c>
      <c r="D281" s="26">
        <f>IF(AND(N281=1,LEN(TRIM('DATOS'!C281&amp;""))&gt;0),'DATOS'!C281,"")</f>
      </c>
      <c r="E281" s="26">
        <f>IF(NOT(ISNUMBER(P281)),"",IF(P281=2,"ROJO",IF(P281=1,"ÁMBAR","VERDE")))</f>
      </c>
      <c r="F281" s="26">
        <f>IF(NOT(ISNUMBER(Q281)),"",IF(Q281=2,"ROJO",IF(Q281=1,"ÁMBAR","VERDE")))</f>
      </c>
      <c r="G281" s="26">
        <f>IF(NOT(ISNUMBER(R281)),"",IF(R281=2,"ROJO",IF(R281=1,"ÁMBAR","VERDE")))</f>
      </c>
      <c r="H281" s="26">
        <f>IF(NOT(ISNUMBER(S281)),"",IF(S281=2,"ROJO",IF(S281=1,"ÁMBAR","VERDE")))</f>
      </c>
      <c r="I281" s="26">
        <f>IF(NOT(ISNUMBER(T281)),"",IF(T281=2,"ROJO",IF(T281=1,"ÁMBAR","VERDE")))</f>
      </c>
      <c r="J281" s="26">
        <f>IF(NOT(ISNUMBER(O281)),"",IF(O281=2,"ROJO",IF(O281=1,"ÁMBAR","VERDE")))</f>
      </c>
      <c r="K281" s="26">
        <f>IFERROR(IF(AND(N281=1,LEN(TRIM('DATOS'!N281&amp;""))&gt;0),'DATOS'!N281,""),"Hay una entrada con error. Corregimos el dato antes de cerrar la comprobación.")</f>
      </c>
      <c r="L281" s="26">
        <f>IFERROR(IF(N281=0,"",IF(O281&gt;0,"Completamos datos, claves o motivo. ","")&amp;IF(P281&gt;0,"Cotejamos precios e importe. ","")&amp;IF(Q281&gt;0,"Aclaramos el cero. ","")&amp;IF(R281&gt;0,"Comprobamos el texto. ","")&amp;IF(S281&gt;0,"Revisamos decimales visibles. ","")&amp;IF(T281&gt;0,"Confirmamos la unidad.","")),"Hay una entrada con error. Corregimos el dato antes de cerrar la comprobación.")</f>
      </c>
      <c r="N281" s="29" t="n">
        <f>IF(COUNTA('DATOS'!B281:O281)&gt;0,1,0)</f>
        <v>0</v>
      </c>
      <c r="O281" s="29">
        <f>IFERROR(IF(N281=0,"",IF(OR(NOT(AND(LEN(TRIM('DATOS'!B281&amp;""))&gt;0,TRIM('DATOS'!B281&amp;"")&lt;&gt;"Pendiente",TRIM('DATOS'!B281&amp;"")&lt;&gt;"Por confirmar",TRIM('DATOS'!B281&amp;"")&lt;&gt;"No consta",TRIM('DATOS'!B281&amp;"")&lt;&gt;"Desconocido",TRIM('DATOS'!B281&amp;"")&lt;&gt;"Sin confirmar",TRIM('DATOS'!B281&amp;"")&lt;&gt;"Por decidir",TRIM('DATOS'!B281&amp;"")&lt;&gt;"Por comprobar")),NOT(AND(LEN(TRIM('DATOS'!C281&amp;""))&gt;0,TRIM('DATOS'!C281&amp;"")&lt;&gt;"Pendiente",TRIM('DATOS'!C281&amp;"")&lt;&gt;"Por confirmar",TRIM('DATOS'!C281&amp;"")&lt;&gt;"No consta",TRIM('DATOS'!C281&amp;"")&lt;&gt;"Desconocido",TRIM('DATOS'!C281&amp;"")&lt;&gt;"Sin confirmar",TRIM('DATOS'!C281&amp;"")&lt;&gt;"Por decidir",TRIM('DATOS'!C281&amp;"")&lt;&gt;"Por comprobar")),NOT(AND(LEN(TRIM('DATOS'!D281&amp;""))&gt;0,TRIM('DATOS'!D281&amp;"")&lt;&gt;"Pendiente",TRIM('DATOS'!D281&amp;"")&lt;&gt;"Por confirmar",TRIM('DATOS'!D281&amp;"")&lt;&gt;"No consta",TRIM('DATOS'!D281&amp;"")&lt;&gt;"Desconocido",TRIM('DATOS'!D281&amp;"")&lt;&gt;"Sin confirmar",TRIM('DATOS'!D281&amp;"")&lt;&gt;"Por decidir",TRIM('DATOS'!D281&amp;"")&lt;&gt;"Por comprobar")),NOT(AND(LEN(TRIM('DATOS'!E281&amp;""))&gt;0,TRIM('DATOS'!E281&amp;"")&lt;&gt;"Pendiente",TRIM('DATOS'!E281&amp;"")&lt;&gt;"Por confirmar",TRIM('DATOS'!E281&amp;"")&lt;&gt;"No consta",TRIM('DATOS'!E281&amp;"")&lt;&gt;"Desconocido",TRIM('DATOS'!E281&amp;"")&lt;&gt;"Sin confirmar",TRIM('DATOS'!E281&amp;"")&lt;&gt;"Por decidir",TRIM('DATOS'!E281&amp;"")&lt;&gt;"Por comprobar")),NOT(AND(LEN(TRIM('DATOS'!F281&amp;""))&gt;0,TRIM('DATOS'!F281&amp;"")&lt;&gt;"Pendiente",TRIM('DATOS'!F281&amp;"")&lt;&gt;"Por confirmar",TRIM('DATOS'!F281&amp;"")&lt;&gt;"No consta",TRIM('DATOS'!F281&amp;"")&lt;&gt;"Desconocido",TRIM('DATOS'!F281&amp;"")&lt;&gt;"Sin confirmar",TRIM('DATOS'!F281&amp;"")&lt;&gt;"Por decidir",TRIM('DATOS'!F281&amp;"")&lt;&gt;"Por comprobar")),NOT(AND(LEN(TRIM('DATOS'!N281&amp;""))&gt;0,TRIM('DATOS'!N281&amp;"")&lt;&gt;"Pendiente",TRIM('DATOS'!N281&amp;"")&lt;&gt;"Por confirmar",TRIM('DATOS'!N281&amp;"")&lt;&gt;"No consta",TRIM('DATOS'!N281&amp;"")&lt;&gt;"Desconocido",TRIM('DATOS'!N281&amp;"")&lt;&gt;"Sin confirmar",TRIM('DATOS'!N281&amp;"")&lt;&gt;"Por decidir",TRIM('DATOS'!N281&amp;"")&lt;&gt;"Por comprobar")),NOT(Y281=1),W281&lt;&gt;1,X281&gt;1,NOT(OR(LEN(TRIM('DATOS'!K281&amp;""))=0,'DATOS'!K281="Sin valorar",'DATOS'!K281="Sin coste documentado",'DATOS'!K281="Incluido en otra partida",'DATOS'!K281="Por confirmar")),NOT(OR(LEN(TRIM('DATOS'!M281&amp;""))=0,'DATOS'!M281="Sí",'DATOS'!M281="No",'DATOS'!M281="Por confirmar")),NOT(OR(LEN(TRIM('DATOS'!O281&amp;""))=0,'DATOS'!O281="Comparamos",'DATOS'!O281="No existe",'DATOS'!O281="Por confirmar"))),2,IF(AND(OR('DATOS'!G281&lt;0,'DATOS'!H281&lt;0,'DATOS'!J281&lt;0),NOT(AND(LEN(TRIM('DATOS'!L281&amp;""))&gt;0,TRIM('DATOS'!L281&amp;"")&lt;&gt;"Pendiente",TRIM('DATOS'!L281&amp;"")&lt;&gt;"Por confirmar",TRIM('DATOS'!L281&amp;"")&lt;&gt;"No consta",TRIM('DATOS'!L281&amp;"")&lt;&gt;"Desconocido",TRIM('DATOS'!L281&amp;"")&lt;&gt;"Sin confirmar",TRIM('DATOS'!L281&amp;"")&lt;&gt;"Por decidir",TRIM('DATOS'!L281&amp;"")&lt;&gt;"Por comprobar"))),1,0))),2)</f>
      </c>
      <c r="P281" s="29">
        <f>IFERROR(IF(N281=0,"",IF(NOT(Y281=1),1,IF('REFERENCIAS'!$Q$8&lt;&gt;1,2,IF(ABS('DATOS'!J281-ROUND('DATOS'!G281*'DATOS'!H281,'REFERENCIAS'!$K$8))&gt;0.00000001,2,IF('DATOS'!O281="No existe",IF(LEN(TRIM('DATOS'!I281&amp;""))=0,0,2),IF('DATOS'!O281="Comparamos",IF(LEN(TRIM('DATOS'!I281&amp;""))=0,1,IF(ISNUMBER('DATOS'!I281),IF(ABS('DATOS'!H281-'DATOS'!I281)&gt;0.00000001,2,0),2)),1)))))),2)</f>
      </c>
      <c r="Q281" s="29">
        <f>IFERROR(IF(N281=0,"",IF(NOT(Y281=1),1,IF('DATOS'!K281="Sin valorar",2,IF('DATOS'!G281=0,1,IF(OR('DATOS'!H281=0,'DATOS'!J281=0),IF(AND(OR('DATOS'!K281="Sin coste documentado",'DATOS'!K281="Incluido en otra partida"),AND(LEN(TRIM('DATOS'!L281&amp;""))&gt;0,TRIM('DATOS'!L281&amp;"")&lt;&gt;"Pendiente",TRIM('DATOS'!L281&amp;"")&lt;&gt;"Por confirmar",TRIM('DATOS'!L281&amp;"")&lt;&gt;"No consta",TRIM('DATOS'!L281&amp;"")&lt;&gt;"Desconocido",TRIM('DATOS'!L281&amp;"")&lt;&gt;"Sin confirmar",TRIM('DATOS'!L281&amp;"")&lt;&gt;"Por decidir",TRIM('DATOS'!L281&amp;"")&lt;&gt;"Por comprobar")),0,1),0))))),2)</f>
      </c>
      <c r="R281" s="29">
        <f>IFERROR(IF(N281=0,"",IF(OR(NOT(AND(LEN(TRIM('DATOS'!D281&amp;""))&gt;0,TRIM('DATOS'!D281&amp;"")&lt;&gt;"Pendiente",TRIM('DATOS'!D281&amp;"")&lt;&gt;"Por confirmar",TRIM('DATOS'!D281&amp;"")&lt;&gt;"No consta",TRIM('DATOS'!D281&amp;"")&lt;&gt;"Desconocido",TRIM('DATOS'!D281&amp;"")&lt;&gt;"Sin confirmar",TRIM('DATOS'!D281&amp;"")&lt;&gt;"Por decidir",TRIM('DATOS'!D281&amp;"")&lt;&gt;"Por comprobar")),NOT(AND(LEN(TRIM('DATOS'!E281&amp;""))&gt;0,TRIM('DATOS'!E281&amp;"")&lt;&gt;"Pendiente",TRIM('DATOS'!E281&amp;"")&lt;&gt;"Por confirmar",TRIM('DATOS'!E281&amp;"")&lt;&gt;"No consta",TRIM('DATOS'!E281&amp;"")&lt;&gt;"Desconocido",TRIM('DATOS'!E281&amp;"")&lt;&gt;"Sin confirmar",TRIM('DATOS'!E281&amp;"")&lt;&gt;"Por decidir",TRIM('DATOS'!E281&amp;"")&lt;&gt;"Por comprobar"))),2,IF('DATOS'!M281="No",2,IF('DATOS'!M281="Sí",0,IF(OR('DATOS'!D281&lt;&gt;'DATOS'!E281,LEN('DATOS'!E281)&gt;300,RIGHT(TRIM('DATOS'!E281),3)="...",RIGHT(TRIM('DATOS'!E281),1)="…"),1,0))))),2)</f>
      </c>
      <c r="S281" s="29">
        <f>IFERROR(IF(N281=0,"",IF('REFERENCIAS'!$Q$8&lt;&gt;1,2,IF(NOT(Y281=1),1,IF(OR(ABS('DATOS'!G281-ROUND('DATOS'!G281,'REFERENCIAS'!$E$8))&gt;0.00000001,ABS('DATOS'!H281-ROUND('DATOS'!H281,'REFERENCIAS'!$H$8))&gt;0.00000001,ABS('DATOS'!J281-ROUND('DATOS'!J281,'REFERENCIAS'!$K$8))&gt;0.00000001,IF(ISNUMBER('DATOS'!I281),ABS('DATOS'!I281-ROUND('DATOS'!I281,'REFERENCIAS'!$H$8))&gt;0.00000001,FALSE)),1,0)))),2)</f>
      </c>
      <c r="T281" s="29">
        <f>IFERROR(IF(N281=0,"",IF(NOT(AND(LEN(TRIM('DATOS'!F281&amp;""))&gt;0,TRIM('DATOS'!F281&amp;"")&lt;&gt;"Pendiente",TRIM('DATOS'!F281&amp;"")&lt;&gt;"Por confirmar",TRIM('DATOS'!F281&amp;"")&lt;&gt;"No consta",TRIM('DATOS'!F281&amp;"")&lt;&gt;"Desconocido",TRIM('DATOS'!F281&amp;"")&lt;&gt;"Sin confirmar",TRIM('DATOS'!F281&amp;"")&lt;&gt;"Por decidir",TRIM('DATOS'!F281&amp;"")&lt;&gt;"Por comprobar")),2,IF(COUNTIFS('REFERENCIAS'!$T$15:$T$34,"ID:"&amp;SUBSTITUTE(SUBSTITUTE(SUBSTITUTE(SUBSTITUTE(UPPER(TRIM('DATOS'!F281&amp;"")),"!","!E"),"*","!A"),"?","!B"),"~","!C"),'REFERENCIAS'!$H$15:$H$34,"&lt;&gt;")&gt;0,0,1))),2)</f>
      </c>
      <c r="U281" s="29" t="str">
        <f>'DATOS'!R281</f>
        <v>ID:</v>
      </c>
      <c r="V281" s="29" t="str">
        <f>'DATOS'!S281</f>
        <v>ID:</v>
      </c>
      <c r="W281" s="29" t="n">
        <f>IF(N281=0,0,COUNTIFS('REFERENCIAS'!$R$15:$R$64,U281))</f>
        <v>0</v>
      </c>
      <c r="X281" s="29" t="n">
        <f>IF(N281=0,0,COUNTIFS('DATOS'!$R$10:$R$509,U281,'DATOS'!$S$10:$S$509,V281))</f>
        <v>0</v>
      </c>
      <c r="Y281" s="29" t="n">
        <f>IF(AND(ISNUMBER('DATOS'!G281),ISNUMBER('DATOS'!H281),ISNUMBER('DATOS'!J281)),1,0)</f>
        <v>0</v>
      </c>
    </row>
    <row r="282" ht="64" customHeight="1">
      <c r="B282" s="26">
        <f>IF(N282=1,273,"")</f>
      </c>
      <c r="C282" s="26">
        <f>IF(AND(N282=1,LEN(TRIM('DATOS'!B282&amp;""))&gt;0),'DATOS'!B282,"")</f>
      </c>
      <c r="D282" s="26">
        <f>IF(AND(N282=1,LEN(TRIM('DATOS'!C282&amp;""))&gt;0),'DATOS'!C282,"")</f>
      </c>
      <c r="E282" s="26">
        <f>IF(NOT(ISNUMBER(P282)),"",IF(P282=2,"ROJO",IF(P282=1,"ÁMBAR","VERDE")))</f>
      </c>
      <c r="F282" s="26">
        <f>IF(NOT(ISNUMBER(Q282)),"",IF(Q282=2,"ROJO",IF(Q282=1,"ÁMBAR","VERDE")))</f>
      </c>
      <c r="G282" s="26">
        <f>IF(NOT(ISNUMBER(R282)),"",IF(R282=2,"ROJO",IF(R282=1,"ÁMBAR","VERDE")))</f>
      </c>
      <c r="H282" s="26">
        <f>IF(NOT(ISNUMBER(S282)),"",IF(S282=2,"ROJO",IF(S282=1,"ÁMBAR","VERDE")))</f>
      </c>
      <c r="I282" s="26">
        <f>IF(NOT(ISNUMBER(T282)),"",IF(T282=2,"ROJO",IF(T282=1,"ÁMBAR","VERDE")))</f>
      </c>
      <c r="J282" s="26">
        <f>IF(NOT(ISNUMBER(O282)),"",IF(O282=2,"ROJO",IF(O282=1,"ÁMBAR","VERDE")))</f>
      </c>
      <c r="K282" s="26">
        <f>IFERROR(IF(AND(N282=1,LEN(TRIM('DATOS'!N282&amp;""))&gt;0),'DATOS'!N282,""),"Hay una entrada con error. Corregimos el dato antes de cerrar la comprobación.")</f>
      </c>
      <c r="L282" s="26">
        <f>IFERROR(IF(N282=0,"",IF(O282&gt;0,"Completamos datos, claves o motivo. ","")&amp;IF(P282&gt;0,"Cotejamos precios e importe. ","")&amp;IF(Q282&gt;0,"Aclaramos el cero. ","")&amp;IF(R282&gt;0,"Comprobamos el texto. ","")&amp;IF(S282&gt;0,"Revisamos decimales visibles. ","")&amp;IF(T282&gt;0,"Confirmamos la unidad.","")),"Hay una entrada con error. Corregimos el dato antes de cerrar la comprobación.")</f>
      </c>
      <c r="N282" s="29" t="n">
        <f>IF(COUNTA('DATOS'!B282:O282)&gt;0,1,0)</f>
        <v>0</v>
      </c>
      <c r="O282" s="29">
        <f>IFERROR(IF(N282=0,"",IF(OR(NOT(AND(LEN(TRIM('DATOS'!B282&amp;""))&gt;0,TRIM('DATOS'!B282&amp;"")&lt;&gt;"Pendiente",TRIM('DATOS'!B282&amp;"")&lt;&gt;"Por confirmar",TRIM('DATOS'!B282&amp;"")&lt;&gt;"No consta",TRIM('DATOS'!B282&amp;"")&lt;&gt;"Desconocido",TRIM('DATOS'!B282&amp;"")&lt;&gt;"Sin confirmar",TRIM('DATOS'!B282&amp;"")&lt;&gt;"Por decidir",TRIM('DATOS'!B282&amp;"")&lt;&gt;"Por comprobar")),NOT(AND(LEN(TRIM('DATOS'!C282&amp;""))&gt;0,TRIM('DATOS'!C282&amp;"")&lt;&gt;"Pendiente",TRIM('DATOS'!C282&amp;"")&lt;&gt;"Por confirmar",TRIM('DATOS'!C282&amp;"")&lt;&gt;"No consta",TRIM('DATOS'!C282&amp;"")&lt;&gt;"Desconocido",TRIM('DATOS'!C282&amp;"")&lt;&gt;"Sin confirmar",TRIM('DATOS'!C282&amp;"")&lt;&gt;"Por decidir",TRIM('DATOS'!C282&amp;"")&lt;&gt;"Por comprobar")),NOT(AND(LEN(TRIM('DATOS'!D282&amp;""))&gt;0,TRIM('DATOS'!D282&amp;"")&lt;&gt;"Pendiente",TRIM('DATOS'!D282&amp;"")&lt;&gt;"Por confirmar",TRIM('DATOS'!D282&amp;"")&lt;&gt;"No consta",TRIM('DATOS'!D282&amp;"")&lt;&gt;"Desconocido",TRIM('DATOS'!D282&amp;"")&lt;&gt;"Sin confirmar",TRIM('DATOS'!D282&amp;"")&lt;&gt;"Por decidir",TRIM('DATOS'!D282&amp;"")&lt;&gt;"Por comprobar")),NOT(AND(LEN(TRIM('DATOS'!E282&amp;""))&gt;0,TRIM('DATOS'!E282&amp;"")&lt;&gt;"Pendiente",TRIM('DATOS'!E282&amp;"")&lt;&gt;"Por confirmar",TRIM('DATOS'!E282&amp;"")&lt;&gt;"No consta",TRIM('DATOS'!E282&amp;"")&lt;&gt;"Desconocido",TRIM('DATOS'!E282&amp;"")&lt;&gt;"Sin confirmar",TRIM('DATOS'!E282&amp;"")&lt;&gt;"Por decidir",TRIM('DATOS'!E282&amp;"")&lt;&gt;"Por comprobar")),NOT(AND(LEN(TRIM('DATOS'!F282&amp;""))&gt;0,TRIM('DATOS'!F282&amp;"")&lt;&gt;"Pendiente",TRIM('DATOS'!F282&amp;"")&lt;&gt;"Por confirmar",TRIM('DATOS'!F282&amp;"")&lt;&gt;"No consta",TRIM('DATOS'!F282&amp;"")&lt;&gt;"Desconocido",TRIM('DATOS'!F282&amp;"")&lt;&gt;"Sin confirmar",TRIM('DATOS'!F282&amp;"")&lt;&gt;"Por decidir",TRIM('DATOS'!F282&amp;"")&lt;&gt;"Por comprobar")),NOT(AND(LEN(TRIM('DATOS'!N282&amp;""))&gt;0,TRIM('DATOS'!N282&amp;"")&lt;&gt;"Pendiente",TRIM('DATOS'!N282&amp;"")&lt;&gt;"Por confirmar",TRIM('DATOS'!N282&amp;"")&lt;&gt;"No consta",TRIM('DATOS'!N282&amp;"")&lt;&gt;"Desconocido",TRIM('DATOS'!N282&amp;"")&lt;&gt;"Sin confirmar",TRIM('DATOS'!N282&amp;"")&lt;&gt;"Por decidir",TRIM('DATOS'!N282&amp;"")&lt;&gt;"Por comprobar")),NOT(Y282=1),W282&lt;&gt;1,X282&gt;1,NOT(OR(LEN(TRIM('DATOS'!K282&amp;""))=0,'DATOS'!K282="Sin valorar",'DATOS'!K282="Sin coste documentado",'DATOS'!K282="Incluido en otra partida",'DATOS'!K282="Por confirmar")),NOT(OR(LEN(TRIM('DATOS'!M282&amp;""))=0,'DATOS'!M282="Sí",'DATOS'!M282="No",'DATOS'!M282="Por confirmar")),NOT(OR(LEN(TRIM('DATOS'!O282&amp;""))=0,'DATOS'!O282="Comparamos",'DATOS'!O282="No existe",'DATOS'!O282="Por confirmar"))),2,IF(AND(OR('DATOS'!G282&lt;0,'DATOS'!H282&lt;0,'DATOS'!J282&lt;0),NOT(AND(LEN(TRIM('DATOS'!L282&amp;""))&gt;0,TRIM('DATOS'!L282&amp;"")&lt;&gt;"Pendiente",TRIM('DATOS'!L282&amp;"")&lt;&gt;"Por confirmar",TRIM('DATOS'!L282&amp;"")&lt;&gt;"No consta",TRIM('DATOS'!L282&amp;"")&lt;&gt;"Desconocido",TRIM('DATOS'!L282&amp;"")&lt;&gt;"Sin confirmar",TRIM('DATOS'!L282&amp;"")&lt;&gt;"Por decidir",TRIM('DATOS'!L282&amp;"")&lt;&gt;"Por comprobar"))),1,0))),2)</f>
      </c>
      <c r="P282" s="29">
        <f>IFERROR(IF(N282=0,"",IF(NOT(Y282=1),1,IF('REFERENCIAS'!$Q$8&lt;&gt;1,2,IF(ABS('DATOS'!J282-ROUND('DATOS'!G282*'DATOS'!H282,'REFERENCIAS'!$K$8))&gt;0.00000001,2,IF('DATOS'!O282="No existe",IF(LEN(TRIM('DATOS'!I282&amp;""))=0,0,2),IF('DATOS'!O282="Comparamos",IF(LEN(TRIM('DATOS'!I282&amp;""))=0,1,IF(ISNUMBER('DATOS'!I282),IF(ABS('DATOS'!H282-'DATOS'!I282)&gt;0.00000001,2,0),2)),1)))))),2)</f>
      </c>
      <c r="Q282" s="29">
        <f>IFERROR(IF(N282=0,"",IF(NOT(Y282=1),1,IF('DATOS'!K282="Sin valorar",2,IF('DATOS'!G282=0,1,IF(OR('DATOS'!H282=0,'DATOS'!J282=0),IF(AND(OR('DATOS'!K282="Sin coste documentado",'DATOS'!K282="Incluido en otra partida"),AND(LEN(TRIM('DATOS'!L282&amp;""))&gt;0,TRIM('DATOS'!L282&amp;"")&lt;&gt;"Pendiente",TRIM('DATOS'!L282&amp;"")&lt;&gt;"Por confirmar",TRIM('DATOS'!L282&amp;"")&lt;&gt;"No consta",TRIM('DATOS'!L282&amp;"")&lt;&gt;"Desconocido",TRIM('DATOS'!L282&amp;"")&lt;&gt;"Sin confirmar",TRIM('DATOS'!L282&amp;"")&lt;&gt;"Por decidir",TRIM('DATOS'!L282&amp;"")&lt;&gt;"Por comprobar")),0,1),0))))),2)</f>
      </c>
      <c r="R282" s="29">
        <f>IFERROR(IF(N282=0,"",IF(OR(NOT(AND(LEN(TRIM('DATOS'!D282&amp;""))&gt;0,TRIM('DATOS'!D282&amp;"")&lt;&gt;"Pendiente",TRIM('DATOS'!D282&amp;"")&lt;&gt;"Por confirmar",TRIM('DATOS'!D282&amp;"")&lt;&gt;"No consta",TRIM('DATOS'!D282&amp;"")&lt;&gt;"Desconocido",TRIM('DATOS'!D282&amp;"")&lt;&gt;"Sin confirmar",TRIM('DATOS'!D282&amp;"")&lt;&gt;"Por decidir",TRIM('DATOS'!D282&amp;"")&lt;&gt;"Por comprobar")),NOT(AND(LEN(TRIM('DATOS'!E282&amp;""))&gt;0,TRIM('DATOS'!E282&amp;"")&lt;&gt;"Pendiente",TRIM('DATOS'!E282&amp;"")&lt;&gt;"Por confirmar",TRIM('DATOS'!E282&amp;"")&lt;&gt;"No consta",TRIM('DATOS'!E282&amp;"")&lt;&gt;"Desconocido",TRIM('DATOS'!E282&amp;"")&lt;&gt;"Sin confirmar",TRIM('DATOS'!E282&amp;"")&lt;&gt;"Por decidir",TRIM('DATOS'!E282&amp;"")&lt;&gt;"Por comprobar"))),2,IF('DATOS'!M282="No",2,IF('DATOS'!M282="Sí",0,IF(OR('DATOS'!D282&lt;&gt;'DATOS'!E282,LEN('DATOS'!E282)&gt;300,RIGHT(TRIM('DATOS'!E282),3)="...",RIGHT(TRIM('DATOS'!E282),1)="…"),1,0))))),2)</f>
      </c>
      <c r="S282" s="29">
        <f>IFERROR(IF(N282=0,"",IF('REFERENCIAS'!$Q$8&lt;&gt;1,2,IF(NOT(Y282=1),1,IF(OR(ABS('DATOS'!G282-ROUND('DATOS'!G282,'REFERENCIAS'!$E$8))&gt;0.00000001,ABS('DATOS'!H282-ROUND('DATOS'!H282,'REFERENCIAS'!$H$8))&gt;0.00000001,ABS('DATOS'!J282-ROUND('DATOS'!J282,'REFERENCIAS'!$K$8))&gt;0.00000001,IF(ISNUMBER('DATOS'!I282),ABS('DATOS'!I282-ROUND('DATOS'!I282,'REFERENCIAS'!$H$8))&gt;0.00000001,FALSE)),1,0)))),2)</f>
      </c>
      <c r="T282" s="29">
        <f>IFERROR(IF(N282=0,"",IF(NOT(AND(LEN(TRIM('DATOS'!F282&amp;""))&gt;0,TRIM('DATOS'!F282&amp;"")&lt;&gt;"Pendiente",TRIM('DATOS'!F282&amp;"")&lt;&gt;"Por confirmar",TRIM('DATOS'!F282&amp;"")&lt;&gt;"No consta",TRIM('DATOS'!F282&amp;"")&lt;&gt;"Desconocido",TRIM('DATOS'!F282&amp;"")&lt;&gt;"Sin confirmar",TRIM('DATOS'!F282&amp;"")&lt;&gt;"Por decidir",TRIM('DATOS'!F282&amp;"")&lt;&gt;"Por comprobar")),2,IF(COUNTIFS('REFERENCIAS'!$T$15:$T$34,"ID:"&amp;SUBSTITUTE(SUBSTITUTE(SUBSTITUTE(SUBSTITUTE(UPPER(TRIM('DATOS'!F282&amp;"")),"!","!E"),"*","!A"),"?","!B"),"~","!C"),'REFERENCIAS'!$H$15:$H$34,"&lt;&gt;")&gt;0,0,1))),2)</f>
      </c>
      <c r="U282" s="29" t="str">
        <f>'DATOS'!R282</f>
        <v>ID:</v>
      </c>
      <c r="V282" s="29" t="str">
        <f>'DATOS'!S282</f>
        <v>ID:</v>
      </c>
      <c r="W282" s="29" t="n">
        <f>IF(N282=0,0,COUNTIFS('REFERENCIAS'!$R$15:$R$64,U282))</f>
        <v>0</v>
      </c>
      <c r="X282" s="29" t="n">
        <f>IF(N282=0,0,COUNTIFS('DATOS'!$R$10:$R$509,U282,'DATOS'!$S$10:$S$509,V282))</f>
        <v>0</v>
      </c>
      <c r="Y282" s="29" t="n">
        <f>IF(AND(ISNUMBER('DATOS'!G282),ISNUMBER('DATOS'!H282),ISNUMBER('DATOS'!J282)),1,0)</f>
        <v>0</v>
      </c>
    </row>
    <row r="283" ht="64" customHeight="1">
      <c r="B283" s="26">
        <f>IF(N283=1,274,"")</f>
      </c>
      <c r="C283" s="26">
        <f>IF(AND(N283=1,LEN(TRIM('DATOS'!B283&amp;""))&gt;0),'DATOS'!B283,"")</f>
      </c>
      <c r="D283" s="26">
        <f>IF(AND(N283=1,LEN(TRIM('DATOS'!C283&amp;""))&gt;0),'DATOS'!C283,"")</f>
      </c>
      <c r="E283" s="26">
        <f>IF(NOT(ISNUMBER(P283)),"",IF(P283=2,"ROJO",IF(P283=1,"ÁMBAR","VERDE")))</f>
      </c>
      <c r="F283" s="26">
        <f>IF(NOT(ISNUMBER(Q283)),"",IF(Q283=2,"ROJO",IF(Q283=1,"ÁMBAR","VERDE")))</f>
      </c>
      <c r="G283" s="26">
        <f>IF(NOT(ISNUMBER(R283)),"",IF(R283=2,"ROJO",IF(R283=1,"ÁMBAR","VERDE")))</f>
      </c>
      <c r="H283" s="26">
        <f>IF(NOT(ISNUMBER(S283)),"",IF(S283=2,"ROJO",IF(S283=1,"ÁMBAR","VERDE")))</f>
      </c>
      <c r="I283" s="26">
        <f>IF(NOT(ISNUMBER(T283)),"",IF(T283=2,"ROJO",IF(T283=1,"ÁMBAR","VERDE")))</f>
      </c>
      <c r="J283" s="26">
        <f>IF(NOT(ISNUMBER(O283)),"",IF(O283=2,"ROJO",IF(O283=1,"ÁMBAR","VERDE")))</f>
      </c>
      <c r="K283" s="26">
        <f>IFERROR(IF(AND(N283=1,LEN(TRIM('DATOS'!N283&amp;""))&gt;0),'DATOS'!N283,""),"Hay una entrada con error. Corregimos el dato antes de cerrar la comprobación.")</f>
      </c>
      <c r="L283" s="26">
        <f>IFERROR(IF(N283=0,"",IF(O283&gt;0,"Completamos datos, claves o motivo. ","")&amp;IF(P283&gt;0,"Cotejamos precios e importe. ","")&amp;IF(Q283&gt;0,"Aclaramos el cero. ","")&amp;IF(R283&gt;0,"Comprobamos el texto. ","")&amp;IF(S283&gt;0,"Revisamos decimales visibles. ","")&amp;IF(T283&gt;0,"Confirmamos la unidad.","")),"Hay una entrada con error. Corregimos el dato antes de cerrar la comprobación.")</f>
      </c>
      <c r="N283" s="29" t="n">
        <f>IF(COUNTA('DATOS'!B283:O283)&gt;0,1,0)</f>
        <v>0</v>
      </c>
      <c r="O283" s="29">
        <f>IFERROR(IF(N283=0,"",IF(OR(NOT(AND(LEN(TRIM('DATOS'!B283&amp;""))&gt;0,TRIM('DATOS'!B283&amp;"")&lt;&gt;"Pendiente",TRIM('DATOS'!B283&amp;"")&lt;&gt;"Por confirmar",TRIM('DATOS'!B283&amp;"")&lt;&gt;"No consta",TRIM('DATOS'!B283&amp;"")&lt;&gt;"Desconocido",TRIM('DATOS'!B283&amp;"")&lt;&gt;"Sin confirmar",TRIM('DATOS'!B283&amp;"")&lt;&gt;"Por decidir",TRIM('DATOS'!B283&amp;"")&lt;&gt;"Por comprobar")),NOT(AND(LEN(TRIM('DATOS'!C283&amp;""))&gt;0,TRIM('DATOS'!C283&amp;"")&lt;&gt;"Pendiente",TRIM('DATOS'!C283&amp;"")&lt;&gt;"Por confirmar",TRIM('DATOS'!C283&amp;"")&lt;&gt;"No consta",TRIM('DATOS'!C283&amp;"")&lt;&gt;"Desconocido",TRIM('DATOS'!C283&amp;"")&lt;&gt;"Sin confirmar",TRIM('DATOS'!C283&amp;"")&lt;&gt;"Por decidir",TRIM('DATOS'!C283&amp;"")&lt;&gt;"Por comprobar")),NOT(AND(LEN(TRIM('DATOS'!D283&amp;""))&gt;0,TRIM('DATOS'!D283&amp;"")&lt;&gt;"Pendiente",TRIM('DATOS'!D283&amp;"")&lt;&gt;"Por confirmar",TRIM('DATOS'!D283&amp;"")&lt;&gt;"No consta",TRIM('DATOS'!D283&amp;"")&lt;&gt;"Desconocido",TRIM('DATOS'!D283&amp;"")&lt;&gt;"Sin confirmar",TRIM('DATOS'!D283&amp;"")&lt;&gt;"Por decidir",TRIM('DATOS'!D283&amp;"")&lt;&gt;"Por comprobar")),NOT(AND(LEN(TRIM('DATOS'!E283&amp;""))&gt;0,TRIM('DATOS'!E283&amp;"")&lt;&gt;"Pendiente",TRIM('DATOS'!E283&amp;"")&lt;&gt;"Por confirmar",TRIM('DATOS'!E283&amp;"")&lt;&gt;"No consta",TRIM('DATOS'!E283&amp;"")&lt;&gt;"Desconocido",TRIM('DATOS'!E283&amp;"")&lt;&gt;"Sin confirmar",TRIM('DATOS'!E283&amp;"")&lt;&gt;"Por decidir",TRIM('DATOS'!E283&amp;"")&lt;&gt;"Por comprobar")),NOT(AND(LEN(TRIM('DATOS'!F283&amp;""))&gt;0,TRIM('DATOS'!F283&amp;"")&lt;&gt;"Pendiente",TRIM('DATOS'!F283&amp;"")&lt;&gt;"Por confirmar",TRIM('DATOS'!F283&amp;"")&lt;&gt;"No consta",TRIM('DATOS'!F283&amp;"")&lt;&gt;"Desconocido",TRIM('DATOS'!F283&amp;"")&lt;&gt;"Sin confirmar",TRIM('DATOS'!F283&amp;"")&lt;&gt;"Por decidir",TRIM('DATOS'!F283&amp;"")&lt;&gt;"Por comprobar")),NOT(AND(LEN(TRIM('DATOS'!N283&amp;""))&gt;0,TRIM('DATOS'!N283&amp;"")&lt;&gt;"Pendiente",TRIM('DATOS'!N283&amp;"")&lt;&gt;"Por confirmar",TRIM('DATOS'!N283&amp;"")&lt;&gt;"No consta",TRIM('DATOS'!N283&amp;"")&lt;&gt;"Desconocido",TRIM('DATOS'!N283&amp;"")&lt;&gt;"Sin confirmar",TRIM('DATOS'!N283&amp;"")&lt;&gt;"Por decidir",TRIM('DATOS'!N283&amp;"")&lt;&gt;"Por comprobar")),NOT(Y283=1),W283&lt;&gt;1,X283&gt;1,NOT(OR(LEN(TRIM('DATOS'!K283&amp;""))=0,'DATOS'!K283="Sin valorar",'DATOS'!K283="Sin coste documentado",'DATOS'!K283="Incluido en otra partida",'DATOS'!K283="Por confirmar")),NOT(OR(LEN(TRIM('DATOS'!M283&amp;""))=0,'DATOS'!M283="Sí",'DATOS'!M283="No",'DATOS'!M283="Por confirmar")),NOT(OR(LEN(TRIM('DATOS'!O283&amp;""))=0,'DATOS'!O283="Comparamos",'DATOS'!O283="No existe",'DATOS'!O283="Por confirmar"))),2,IF(AND(OR('DATOS'!G283&lt;0,'DATOS'!H283&lt;0,'DATOS'!J283&lt;0),NOT(AND(LEN(TRIM('DATOS'!L283&amp;""))&gt;0,TRIM('DATOS'!L283&amp;"")&lt;&gt;"Pendiente",TRIM('DATOS'!L283&amp;"")&lt;&gt;"Por confirmar",TRIM('DATOS'!L283&amp;"")&lt;&gt;"No consta",TRIM('DATOS'!L283&amp;"")&lt;&gt;"Desconocido",TRIM('DATOS'!L283&amp;"")&lt;&gt;"Sin confirmar",TRIM('DATOS'!L283&amp;"")&lt;&gt;"Por decidir",TRIM('DATOS'!L283&amp;"")&lt;&gt;"Por comprobar"))),1,0))),2)</f>
      </c>
      <c r="P283" s="29">
        <f>IFERROR(IF(N283=0,"",IF(NOT(Y283=1),1,IF('REFERENCIAS'!$Q$8&lt;&gt;1,2,IF(ABS('DATOS'!J283-ROUND('DATOS'!G283*'DATOS'!H283,'REFERENCIAS'!$K$8))&gt;0.00000001,2,IF('DATOS'!O283="No existe",IF(LEN(TRIM('DATOS'!I283&amp;""))=0,0,2),IF('DATOS'!O283="Comparamos",IF(LEN(TRIM('DATOS'!I283&amp;""))=0,1,IF(ISNUMBER('DATOS'!I283),IF(ABS('DATOS'!H283-'DATOS'!I283)&gt;0.00000001,2,0),2)),1)))))),2)</f>
      </c>
      <c r="Q283" s="29">
        <f>IFERROR(IF(N283=0,"",IF(NOT(Y283=1),1,IF('DATOS'!K283="Sin valorar",2,IF('DATOS'!G283=0,1,IF(OR('DATOS'!H283=0,'DATOS'!J283=0),IF(AND(OR('DATOS'!K283="Sin coste documentado",'DATOS'!K283="Incluido en otra partida"),AND(LEN(TRIM('DATOS'!L283&amp;""))&gt;0,TRIM('DATOS'!L283&amp;"")&lt;&gt;"Pendiente",TRIM('DATOS'!L283&amp;"")&lt;&gt;"Por confirmar",TRIM('DATOS'!L283&amp;"")&lt;&gt;"No consta",TRIM('DATOS'!L283&amp;"")&lt;&gt;"Desconocido",TRIM('DATOS'!L283&amp;"")&lt;&gt;"Sin confirmar",TRIM('DATOS'!L283&amp;"")&lt;&gt;"Por decidir",TRIM('DATOS'!L283&amp;"")&lt;&gt;"Por comprobar")),0,1),0))))),2)</f>
      </c>
      <c r="R283" s="29">
        <f>IFERROR(IF(N283=0,"",IF(OR(NOT(AND(LEN(TRIM('DATOS'!D283&amp;""))&gt;0,TRIM('DATOS'!D283&amp;"")&lt;&gt;"Pendiente",TRIM('DATOS'!D283&amp;"")&lt;&gt;"Por confirmar",TRIM('DATOS'!D283&amp;"")&lt;&gt;"No consta",TRIM('DATOS'!D283&amp;"")&lt;&gt;"Desconocido",TRIM('DATOS'!D283&amp;"")&lt;&gt;"Sin confirmar",TRIM('DATOS'!D283&amp;"")&lt;&gt;"Por decidir",TRIM('DATOS'!D283&amp;"")&lt;&gt;"Por comprobar")),NOT(AND(LEN(TRIM('DATOS'!E283&amp;""))&gt;0,TRIM('DATOS'!E283&amp;"")&lt;&gt;"Pendiente",TRIM('DATOS'!E283&amp;"")&lt;&gt;"Por confirmar",TRIM('DATOS'!E283&amp;"")&lt;&gt;"No consta",TRIM('DATOS'!E283&amp;"")&lt;&gt;"Desconocido",TRIM('DATOS'!E283&amp;"")&lt;&gt;"Sin confirmar",TRIM('DATOS'!E283&amp;"")&lt;&gt;"Por decidir",TRIM('DATOS'!E283&amp;"")&lt;&gt;"Por comprobar"))),2,IF('DATOS'!M283="No",2,IF('DATOS'!M283="Sí",0,IF(OR('DATOS'!D283&lt;&gt;'DATOS'!E283,LEN('DATOS'!E283)&gt;300,RIGHT(TRIM('DATOS'!E283),3)="...",RIGHT(TRIM('DATOS'!E283),1)="…"),1,0))))),2)</f>
      </c>
      <c r="S283" s="29">
        <f>IFERROR(IF(N283=0,"",IF('REFERENCIAS'!$Q$8&lt;&gt;1,2,IF(NOT(Y283=1),1,IF(OR(ABS('DATOS'!G283-ROUND('DATOS'!G283,'REFERENCIAS'!$E$8))&gt;0.00000001,ABS('DATOS'!H283-ROUND('DATOS'!H283,'REFERENCIAS'!$H$8))&gt;0.00000001,ABS('DATOS'!J283-ROUND('DATOS'!J283,'REFERENCIAS'!$K$8))&gt;0.00000001,IF(ISNUMBER('DATOS'!I283),ABS('DATOS'!I283-ROUND('DATOS'!I283,'REFERENCIAS'!$H$8))&gt;0.00000001,FALSE)),1,0)))),2)</f>
      </c>
      <c r="T283" s="29">
        <f>IFERROR(IF(N283=0,"",IF(NOT(AND(LEN(TRIM('DATOS'!F283&amp;""))&gt;0,TRIM('DATOS'!F283&amp;"")&lt;&gt;"Pendiente",TRIM('DATOS'!F283&amp;"")&lt;&gt;"Por confirmar",TRIM('DATOS'!F283&amp;"")&lt;&gt;"No consta",TRIM('DATOS'!F283&amp;"")&lt;&gt;"Desconocido",TRIM('DATOS'!F283&amp;"")&lt;&gt;"Sin confirmar",TRIM('DATOS'!F283&amp;"")&lt;&gt;"Por decidir",TRIM('DATOS'!F283&amp;"")&lt;&gt;"Por comprobar")),2,IF(COUNTIFS('REFERENCIAS'!$T$15:$T$34,"ID:"&amp;SUBSTITUTE(SUBSTITUTE(SUBSTITUTE(SUBSTITUTE(UPPER(TRIM('DATOS'!F283&amp;"")),"!","!E"),"*","!A"),"?","!B"),"~","!C"),'REFERENCIAS'!$H$15:$H$34,"&lt;&gt;")&gt;0,0,1))),2)</f>
      </c>
      <c r="U283" s="29" t="str">
        <f>'DATOS'!R283</f>
        <v>ID:</v>
      </c>
      <c r="V283" s="29" t="str">
        <f>'DATOS'!S283</f>
        <v>ID:</v>
      </c>
      <c r="W283" s="29" t="n">
        <f>IF(N283=0,0,COUNTIFS('REFERENCIAS'!$R$15:$R$64,U283))</f>
        <v>0</v>
      </c>
      <c r="X283" s="29" t="n">
        <f>IF(N283=0,0,COUNTIFS('DATOS'!$R$10:$R$509,U283,'DATOS'!$S$10:$S$509,V283))</f>
        <v>0</v>
      </c>
      <c r="Y283" s="29" t="n">
        <f>IF(AND(ISNUMBER('DATOS'!G283),ISNUMBER('DATOS'!H283),ISNUMBER('DATOS'!J283)),1,0)</f>
        <v>0</v>
      </c>
    </row>
    <row r="284" ht="64" customHeight="1">
      <c r="B284" s="26">
        <f>IF(N284=1,275,"")</f>
      </c>
      <c r="C284" s="26">
        <f>IF(AND(N284=1,LEN(TRIM('DATOS'!B284&amp;""))&gt;0),'DATOS'!B284,"")</f>
      </c>
      <c r="D284" s="26">
        <f>IF(AND(N284=1,LEN(TRIM('DATOS'!C284&amp;""))&gt;0),'DATOS'!C284,"")</f>
      </c>
      <c r="E284" s="26">
        <f>IF(NOT(ISNUMBER(P284)),"",IF(P284=2,"ROJO",IF(P284=1,"ÁMBAR","VERDE")))</f>
      </c>
      <c r="F284" s="26">
        <f>IF(NOT(ISNUMBER(Q284)),"",IF(Q284=2,"ROJO",IF(Q284=1,"ÁMBAR","VERDE")))</f>
      </c>
      <c r="G284" s="26">
        <f>IF(NOT(ISNUMBER(R284)),"",IF(R284=2,"ROJO",IF(R284=1,"ÁMBAR","VERDE")))</f>
      </c>
      <c r="H284" s="26">
        <f>IF(NOT(ISNUMBER(S284)),"",IF(S284=2,"ROJO",IF(S284=1,"ÁMBAR","VERDE")))</f>
      </c>
      <c r="I284" s="26">
        <f>IF(NOT(ISNUMBER(T284)),"",IF(T284=2,"ROJO",IF(T284=1,"ÁMBAR","VERDE")))</f>
      </c>
      <c r="J284" s="26">
        <f>IF(NOT(ISNUMBER(O284)),"",IF(O284=2,"ROJO",IF(O284=1,"ÁMBAR","VERDE")))</f>
      </c>
      <c r="K284" s="26">
        <f>IFERROR(IF(AND(N284=1,LEN(TRIM('DATOS'!N284&amp;""))&gt;0),'DATOS'!N284,""),"Hay una entrada con error. Corregimos el dato antes de cerrar la comprobación.")</f>
      </c>
      <c r="L284" s="26">
        <f>IFERROR(IF(N284=0,"",IF(O284&gt;0,"Completamos datos, claves o motivo. ","")&amp;IF(P284&gt;0,"Cotejamos precios e importe. ","")&amp;IF(Q284&gt;0,"Aclaramos el cero. ","")&amp;IF(R284&gt;0,"Comprobamos el texto. ","")&amp;IF(S284&gt;0,"Revisamos decimales visibles. ","")&amp;IF(T284&gt;0,"Confirmamos la unidad.","")),"Hay una entrada con error. Corregimos el dato antes de cerrar la comprobación.")</f>
      </c>
      <c r="N284" s="29" t="n">
        <f>IF(COUNTA('DATOS'!B284:O284)&gt;0,1,0)</f>
        <v>0</v>
      </c>
      <c r="O284" s="29">
        <f>IFERROR(IF(N284=0,"",IF(OR(NOT(AND(LEN(TRIM('DATOS'!B284&amp;""))&gt;0,TRIM('DATOS'!B284&amp;"")&lt;&gt;"Pendiente",TRIM('DATOS'!B284&amp;"")&lt;&gt;"Por confirmar",TRIM('DATOS'!B284&amp;"")&lt;&gt;"No consta",TRIM('DATOS'!B284&amp;"")&lt;&gt;"Desconocido",TRIM('DATOS'!B284&amp;"")&lt;&gt;"Sin confirmar",TRIM('DATOS'!B284&amp;"")&lt;&gt;"Por decidir",TRIM('DATOS'!B284&amp;"")&lt;&gt;"Por comprobar")),NOT(AND(LEN(TRIM('DATOS'!C284&amp;""))&gt;0,TRIM('DATOS'!C284&amp;"")&lt;&gt;"Pendiente",TRIM('DATOS'!C284&amp;"")&lt;&gt;"Por confirmar",TRIM('DATOS'!C284&amp;"")&lt;&gt;"No consta",TRIM('DATOS'!C284&amp;"")&lt;&gt;"Desconocido",TRIM('DATOS'!C284&amp;"")&lt;&gt;"Sin confirmar",TRIM('DATOS'!C284&amp;"")&lt;&gt;"Por decidir",TRIM('DATOS'!C284&amp;"")&lt;&gt;"Por comprobar")),NOT(AND(LEN(TRIM('DATOS'!D284&amp;""))&gt;0,TRIM('DATOS'!D284&amp;"")&lt;&gt;"Pendiente",TRIM('DATOS'!D284&amp;"")&lt;&gt;"Por confirmar",TRIM('DATOS'!D284&amp;"")&lt;&gt;"No consta",TRIM('DATOS'!D284&amp;"")&lt;&gt;"Desconocido",TRIM('DATOS'!D284&amp;"")&lt;&gt;"Sin confirmar",TRIM('DATOS'!D284&amp;"")&lt;&gt;"Por decidir",TRIM('DATOS'!D284&amp;"")&lt;&gt;"Por comprobar")),NOT(AND(LEN(TRIM('DATOS'!E284&amp;""))&gt;0,TRIM('DATOS'!E284&amp;"")&lt;&gt;"Pendiente",TRIM('DATOS'!E284&amp;"")&lt;&gt;"Por confirmar",TRIM('DATOS'!E284&amp;"")&lt;&gt;"No consta",TRIM('DATOS'!E284&amp;"")&lt;&gt;"Desconocido",TRIM('DATOS'!E284&amp;"")&lt;&gt;"Sin confirmar",TRIM('DATOS'!E284&amp;"")&lt;&gt;"Por decidir",TRIM('DATOS'!E284&amp;"")&lt;&gt;"Por comprobar")),NOT(AND(LEN(TRIM('DATOS'!F284&amp;""))&gt;0,TRIM('DATOS'!F284&amp;"")&lt;&gt;"Pendiente",TRIM('DATOS'!F284&amp;"")&lt;&gt;"Por confirmar",TRIM('DATOS'!F284&amp;"")&lt;&gt;"No consta",TRIM('DATOS'!F284&amp;"")&lt;&gt;"Desconocido",TRIM('DATOS'!F284&amp;"")&lt;&gt;"Sin confirmar",TRIM('DATOS'!F284&amp;"")&lt;&gt;"Por decidir",TRIM('DATOS'!F284&amp;"")&lt;&gt;"Por comprobar")),NOT(AND(LEN(TRIM('DATOS'!N284&amp;""))&gt;0,TRIM('DATOS'!N284&amp;"")&lt;&gt;"Pendiente",TRIM('DATOS'!N284&amp;"")&lt;&gt;"Por confirmar",TRIM('DATOS'!N284&amp;"")&lt;&gt;"No consta",TRIM('DATOS'!N284&amp;"")&lt;&gt;"Desconocido",TRIM('DATOS'!N284&amp;"")&lt;&gt;"Sin confirmar",TRIM('DATOS'!N284&amp;"")&lt;&gt;"Por decidir",TRIM('DATOS'!N284&amp;"")&lt;&gt;"Por comprobar")),NOT(Y284=1),W284&lt;&gt;1,X284&gt;1,NOT(OR(LEN(TRIM('DATOS'!K284&amp;""))=0,'DATOS'!K284="Sin valorar",'DATOS'!K284="Sin coste documentado",'DATOS'!K284="Incluido en otra partida",'DATOS'!K284="Por confirmar")),NOT(OR(LEN(TRIM('DATOS'!M284&amp;""))=0,'DATOS'!M284="Sí",'DATOS'!M284="No",'DATOS'!M284="Por confirmar")),NOT(OR(LEN(TRIM('DATOS'!O284&amp;""))=0,'DATOS'!O284="Comparamos",'DATOS'!O284="No existe",'DATOS'!O284="Por confirmar"))),2,IF(AND(OR('DATOS'!G284&lt;0,'DATOS'!H284&lt;0,'DATOS'!J284&lt;0),NOT(AND(LEN(TRIM('DATOS'!L284&amp;""))&gt;0,TRIM('DATOS'!L284&amp;"")&lt;&gt;"Pendiente",TRIM('DATOS'!L284&amp;"")&lt;&gt;"Por confirmar",TRIM('DATOS'!L284&amp;"")&lt;&gt;"No consta",TRIM('DATOS'!L284&amp;"")&lt;&gt;"Desconocido",TRIM('DATOS'!L284&amp;"")&lt;&gt;"Sin confirmar",TRIM('DATOS'!L284&amp;"")&lt;&gt;"Por decidir",TRIM('DATOS'!L284&amp;"")&lt;&gt;"Por comprobar"))),1,0))),2)</f>
      </c>
      <c r="P284" s="29">
        <f>IFERROR(IF(N284=0,"",IF(NOT(Y284=1),1,IF('REFERENCIAS'!$Q$8&lt;&gt;1,2,IF(ABS('DATOS'!J284-ROUND('DATOS'!G284*'DATOS'!H284,'REFERENCIAS'!$K$8))&gt;0.00000001,2,IF('DATOS'!O284="No existe",IF(LEN(TRIM('DATOS'!I284&amp;""))=0,0,2),IF('DATOS'!O284="Comparamos",IF(LEN(TRIM('DATOS'!I284&amp;""))=0,1,IF(ISNUMBER('DATOS'!I284),IF(ABS('DATOS'!H284-'DATOS'!I284)&gt;0.00000001,2,0),2)),1)))))),2)</f>
      </c>
      <c r="Q284" s="29">
        <f>IFERROR(IF(N284=0,"",IF(NOT(Y284=1),1,IF('DATOS'!K284="Sin valorar",2,IF('DATOS'!G284=0,1,IF(OR('DATOS'!H284=0,'DATOS'!J284=0),IF(AND(OR('DATOS'!K284="Sin coste documentado",'DATOS'!K284="Incluido en otra partida"),AND(LEN(TRIM('DATOS'!L284&amp;""))&gt;0,TRIM('DATOS'!L284&amp;"")&lt;&gt;"Pendiente",TRIM('DATOS'!L284&amp;"")&lt;&gt;"Por confirmar",TRIM('DATOS'!L284&amp;"")&lt;&gt;"No consta",TRIM('DATOS'!L284&amp;"")&lt;&gt;"Desconocido",TRIM('DATOS'!L284&amp;"")&lt;&gt;"Sin confirmar",TRIM('DATOS'!L284&amp;"")&lt;&gt;"Por decidir",TRIM('DATOS'!L284&amp;"")&lt;&gt;"Por comprobar")),0,1),0))))),2)</f>
      </c>
      <c r="R284" s="29">
        <f>IFERROR(IF(N284=0,"",IF(OR(NOT(AND(LEN(TRIM('DATOS'!D284&amp;""))&gt;0,TRIM('DATOS'!D284&amp;"")&lt;&gt;"Pendiente",TRIM('DATOS'!D284&amp;"")&lt;&gt;"Por confirmar",TRIM('DATOS'!D284&amp;"")&lt;&gt;"No consta",TRIM('DATOS'!D284&amp;"")&lt;&gt;"Desconocido",TRIM('DATOS'!D284&amp;"")&lt;&gt;"Sin confirmar",TRIM('DATOS'!D284&amp;"")&lt;&gt;"Por decidir",TRIM('DATOS'!D284&amp;"")&lt;&gt;"Por comprobar")),NOT(AND(LEN(TRIM('DATOS'!E284&amp;""))&gt;0,TRIM('DATOS'!E284&amp;"")&lt;&gt;"Pendiente",TRIM('DATOS'!E284&amp;"")&lt;&gt;"Por confirmar",TRIM('DATOS'!E284&amp;"")&lt;&gt;"No consta",TRIM('DATOS'!E284&amp;"")&lt;&gt;"Desconocido",TRIM('DATOS'!E284&amp;"")&lt;&gt;"Sin confirmar",TRIM('DATOS'!E284&amp;"")&lt;&gt;"Por decidir",TRIM('DATOS'!E284&amp;"")&lt;&gt;"Por comprobar"))),2,IF('DATOS'!M284="No",2,IF('DATOS'!M284="Sí",0,IF(OR('DATOS'!D284&lt;&gt;'DATOS'!E284,LEN('DATOS'!E284)&gt;300,RIGHT(TRIM('DATOS'!E284),3)="...",RIGHT(TRIM('DATOS'!E284),1)="…"),1,0))))),2)</f>
      </c>
      <c r="S284" s="29">
        <f>IFERROR(IF(N284=0,"",IF('REFERENCIAS'!$Q$8&lt;&gt;1,2,IF(NOT(Y284=1),1,IF(OR(ABS('DATOS'!G284-ROUND('DATOS'!G284,'REFERENCIAS'!$E$8))&gt;0.00000001,ABS('DATOS'!H284-ROUND('DATOS'!H284,'REFERENCIAS'!$H$8))&gt;0.00000001,ABS('DATOS'!J284-ROUND('DATOS'!J284,'REFERENCIAS'!$K$8))&gt;0.00000001,IF(ISNUMBER('DATOS'!I284),ABS('DATOS'!I284-ROUND('DATOS'!I284,'REFERENCIAS'!$H$8))&gt;0.00000001,FALSE)),1,0)))),2)</f>
      </c>
      <c r="T284" s="29">
        <f>IFERROR(IF(N284=0,"",IF(NOT(AND(LEN(TRIM('DATOS'!F284&amp;""))&gt;0,TRIM('DATOS'!F284&amp;"")&lt;&gt;"Pendiente",TRIM('DATOS'!F284&amp;"")&lt;&gt;"Por confirmar",TRIM('DATOS'!F284&amp;"")&lt;&gt;"No consta",TRIM('DATOS'!F284&amp;"")&lt;&gt;"Desconocido",TRIM('DATOS'!F284&amp;"")&lt;&gt;"Sin confirmar",TRIM('DATOS'!F284&amp;"")&lt;&gt;"Por decidir",TRIM('DATOS'!F284&amp;"")&lt;&gt;"Por comprobar")),2,IF(COUNTIFS('REFERENCIAS'!$T$15:$T$34,"ID:"&amp;SUBSTITUTE(SUBSTITUTE(SUBSTITUTE(SUBSTITUTE(UPPER(TRIM('DATOS'!F284&amp;"")),"!","!E"),"*","!A"),"?","!B"),"~","!C"),'REFERENCIAS'!$H$15:$H$34,"&lt;&gt;")&gt;0,0,1))),2)</f>
      </c>
      <c r="U284" s="29" t="str">
        <f>'DATOS'!R284</f>
        <v>ID:</v>
      </c>
      <c r="V284" s="29" t="str">
        <f>'DATOS'!S284</f>
        <v>ID:</v>
      </c>
      <c r="W284" s="29" t="n">
        <f>IF(N284=0,0,COUNTIFS('REFERENCIAS'!$R$15:$R$64,U284))</f>
        <v>0</v>
      </c>
      <c r="X284" s="29" t="n">
        <f>IF(N284=0,0,COUNTIFS('DATOS'!$R$10:$R$509,U284,'DATOS'!$S$10:$S$509,V284))</f>
        <v>0</v>
      </c>
      <c r="Y284" s="29" t="n">
        <f>IF(AND(ISNUMBER('DATOS'!G284),ISNUMBER('DATOS'!H284),ISNUMBER('DATOS'!J284)),1,0)</f>
        <v>0</v>
      </c>
    </row>
    <row r="285" ht="64" customHeight="1">
      <c r="B285" s="26">
        <f>IF(N285=1,276,"")</f>
      </c>
      <c r="C285" s="26">
        <f>IF(AND(N285=1,LEN(TRIM('DATOS'!B285&amp;""))&gt;0),'DATOS'!B285,"")</f>
      </c>
      <c r="D285" s="26">
        <f>IF(AND(N285=1,LEN(TRIM('DATOS'!C285&amp;""))&gt;0),'DATOS'!C285,"")</f>
      </c>
      <c r="E285" s="26">
        <f>IF(NOT(ISNUMBER(P285)),"",IF(P285=2,"ROJO",IF(P285=1,"ÁMBAR","VERDE")))</f>
      </c>
      <c r="F285" s="26">
        <f>IF(NOT(ISNUMBER(Q285)),"",IF(Q285=2,"ROJO",IF(Q285=1,"ÁMBAR","VERDE")))</f>
      </c>
      <c r="G285" s="26">
        <f>IF(NOT(ISNUMBER(R285)),"",IF(R285=2,"ROJO",IF(R285=1,"ÁMBAR","VERDE")))</f>
      </c>
      <c r="H285" s="26">
        <f>IF(NOT(ISNUMBER(S285)),"",IF(S285=2,"ROJO",IF(S285=1,"ÁMBAR","VERDE")))</f>
      </c>
      <c r="I285" s="26">
        <f>IF(NOT(ISNUMBER(T285)),"",IF(T285=2,"ROJO",IF(T285=1,"ÁMBAR","VERDE")))</f>
      </c>
      <c r="J285" s="26">
        <f>IF(NOT(ISNUMBER(O285)),"",IF(O285=2,"ROJO",IF(O285=1,"ÁMBAR","VERDE")))</f>
      </c>
      <c r="K285" s="26">
        <f>IFERROR(IF(AND(N285=1,LEN(TRIM('DATOS'!N285&amp;""))&gt;0),'DATOS'!N285,""),"Hay una entrada con error. Corregimos el dato antes de cerrar la comprobación.")</f>
      </c>
      <c r="L285" s="26">
        <f>IFERROR(IF(N285=0,"",IF(O285&gt;0,"Completamos datos, claves o motivo. ","")&amp;IF(P285&gt;0,"Cotejamos precios e importe. ","")&amp;IF(Q285&gt;0,"Aclaramos el cero. ","")&amp;IF(R285&gt;0,"Comprobamos el texto. ","")&amp;IF(S285&gt;0,"Revisamos decimales visibles. ","")&amp;IF(T285&gt;0,"Confirmamos la unidad.","")),"Hay una entrada con error. Corregimos el dato antes de cerrar la comprobación.")</f>
      </c>
      <c r="N285" s="29" t="n">
        <f>IF(COUNTA('DATOS'!B285:O285)&gt;0,1,0)</f>
        <v>0</v>
      </c>
      <c r="O285" s="29">
        <f>IFERROR(IF(N285=0,"",IF(OR(NOT(AND(LEN(TRIM('DATOS'!B285&amp;""))&gt;0,TRIM('DATOS'!B285&amp;"")&lt;&gt;"Pendiente",TRIM('DATOS'!B285&amp;"")&lt;&gt;"Por confirmar",TRIM('DATOS'!B285&amp;"")&lt;&gt;"No consta",TRIM('DATOS'!B285&amp;"")&lt;&gt;"Desconocido",TRIM('DATOS'!B285&amp;"")&lt;&gt;"Sin confirmar",TRIM('DATOS'!B285&amp;"")&lt;&gt;"Por decidir",TRIM('DATOS'!B285&amp;"")&lt;&gt;"Por comprobar")),NOT(AND(LEN(TRIM('DATOS'!C285&amp;""))&gt;0,TRIM('DATOS'!C285&amp;"")&lt;&gt;"Pendiente",TRIM('DATOS'!C285&amp;"")&lt;&gt;"Por confirmar",TRIM('DATOS'!C285&amp;"")&lt;&gt;"No consta",TRIM('DATOS'!C285&amp;"")&lt;&gt;"Desconocido",TRIM('DATOS'!C285&amp;"")&lt;&gt;"Sin confirmar",TRIM('DATOS'!C285&amp;"")&lt;&gt;"Por decidir",TRIM('DATOS'!C285&amp;"")&lt;&gt;"Por comprobar")),NOT(AND(LEN(TRIM('DATOS'!D285&amp;""))&gt;0,TRIM('DATOS'!D285&amp;"")&lt;&gt;"Pendiente",TRIM('DATOS'!D285&amp;"")&lt;&gt;"Por confirmar",TRIM('DATOS'!D285&amp;"")&lt;&gt;"No consta",TRIM('DATOS'!D285&amp;"")&lt;&gt;"Desconocido",TRIM('DATOS'!D285&amp;"")&lt;&gt;"Sin confirmar",TRIM('DATOS'!D285&amp;"")&lt;&gt;"Por decidir",TRIM('DATOS'!D285&amp;"")&lt;&gt;"Por comprobar")),NOT(AND(LEN(TRIM('DATOS'!E285&amp;""))&gt;0,TRIM('DATOS'!E285&amp;"")&lt;&gt;"Pendiente",TRIM('DATOS'!E285&amp;"")&lt;&gt;"Por confirmar",TRIM('DATOS'!E285&amp;"")&lt;&gt;"No consta",TRIM('DATOS'!E285&amp;"")&lt;&gt;"Desconocido",TRIM('DATOS'!E285&amp;"")&lt;&gt;"Sin confirmar",TRIM('DATOS'!E285&amp;"")&lt;&gt;"Por decidir",TRIM('DATOS'!E285&amp;"")&lt;&gt;"Por comprobar")),NOT(AND(LEN(TRIM('DATOS'!F285&amp;""))&gt;0,TRIM('DATOS'!F285&amp;"")&lt;&gt;"Pendiente",TRIM('DATOS'!F285&amp;"")&lt;&gt;"Por confirmar",TRIM('DATOS'!F285&amp;"")&lt;&gt;"No consta",TRIM('DATOS'!F285&amp;"")&lt;&gt;"Desconocido",TRIM('DATOS'!F285&amp;"")&lt;&gt;"Sin confirmar",TRIM('DATOS'!F285&amp;"")&lt;&gt;"Por decidir",TRIM('DATOS'!F285&amp;"")&lt;&gt;"Por comprobar")),NOT(AND(LEN(TRIM('DATOS'!N285&amp;""))&gt;0,TRIM('DATOS'!N285&amp;"")&lt;&gt;"Pendiente",TRIM('DATOS'!N285&amp;"")&lt;&gt;"Por confirmar",TRIM('DATOS'!N285&amp;"")&lt;&gt;"No consta",TRIM('DATOS'!N285&amp;"")&lt;&gt;"Desconocido",TRIM('DATOS'!N285&amp;"")&lt;&gt;"Sin confirmar",TRIM('DATOS'!N285&amp;"")&lt;&gt;"Por decidir",TRIM('DATOS'!N285&amp;"")&lt;&gt;"Por comprobar")),NOT(Y285=1),W285&lt;&gt;1,X285&gt;1,NOT(OR(LEN(TRIM('DATOS'!K285&amp;""))=0,'DATOS'!K285="Sin valorar",'DATOS'!K285="Sin coste documentado",'DATOS'!K285="Incluido en otra partida",'DATOS'!K285="Por confirmar")),NOT(OR(LEN(TRIM('DATOS'!M285&amp;""))=0,'DATOS'!M285="Sí",'DATOS'!M285="No",'DATOS'!M285="Por confirmar")),NOT(OR(LEN(TRIM('DATOS'!O285&amp;""))=0,'DATOS'!O285="Comparamos",'DATOS'!O285="No existe",'DATOS'!O285="Por confirmar"))),2,IF(AND(OR('DATOS'!G285&lt;0,'DATOS'!H285&lt;0,'DATOS'!J285&lt;0),NOT(AND(LEN(TRIM('DATOS'!L285&amp;""))&gt;0,TRIM('DATOS'!L285&amp;"")&lt;&gt;"Pendiente",TRIM('DATOS'!L285&amp;"")&lt;&gt;"Por confirmar",TRIM('DATOS'!L285&amp;"")&lt;&gt;"No consta",TRIM('DATOS'!L285&amp;"")&lt;&gt;"Desconocido",TRIM('DATOS'!L285&amp;"")&lt;&gt;"Sin confirmar",TRIM('DATOS'!L285&amp;"")&lt;&gt;"Por decidir",TRIM('DATOS'!L285&amp;"")&lt;&gt;"Por comprobar"))),1,0))),2)</f>
      </c>
      <c r="P285" s="29">
        <f>IFERROR(IF(N285=0,"",IF(NOT(Y285=1),1,IF('REFERENCIAS'!$Q$8&lt;&gt;1,2,IF(ABS('DATOS'!J285-ROUND('DATOS'!G285*'DATOS'!H285,'REFERENCIAS'!$K$8))&gt;0.00000001,2,IF('DATOS'!O285="No existe",IF(LEN(TRIM('DATOS'!I285&amp;""))=0,0,2),IF('DATOS'!O285="Comparamos",IF(LEN(TRIM('DATOS'!I285&amp;""))=0,1,IF(ISNUMBER('DATOS'!I285),IF(ABS('DATOS'!H285-'DATOS'!I285)&gt;0.00000001,2,0),2)),1)))))),2)</f>
      </c>
      <c r="Q285" s="29">
        <f>IFERROR(IF(N285=0,"",IF(NOT(Y285=1),1,IF('DATOS'!K285="Sin valorar",2,IF('DATOS'!G285=0,1,IF(OR('DATOS'!H285=0,'DATOS'!J285=0),IF(AND(OR('DATOS'!K285="Sin coste documentado",'DATOS'!K285="Incluido en otra partida"),AND(LEN(TRIM('DATOS'!L285&amp;""))&gt;0,TRIM('DATOS'!L285&amp;"")&lt;&gt;"Pendiente",TRIM('DATOS'!L285&amp;"")&lt;&gt;"Por confirmar",TRIM('DATOS'!L285&amp;"")&lt;&gt;"No consta",TRIM('DATOS'!L285&amp;"")&lt;&gt;"Desconocido",TRIM('DATOS'!L285&amp;"")&lt;&gt;"Sin confirmar",TRIM('DATOS'!L285&amp;"")&lt;&gt;"Por decidir",TRIM('DATOS'!L285&amp;"")&lt;&gt;"Por comprobar")),0,1),0))))),2)</f>
      </c>
      <c r="R285" s="29">
        <f>IFERROR(IF(N285=0,"",IF(OR(NOT(AND(LEN(TRIM('DATOS'!D285&amp;""))&gt;0,TRIM('DATOS'!D285&amp;"")&lt;&gt;"Pendiente",TRIM('DATOS'!D285&amp;"")&lt;&gt;"Por confirmar",TRIM('DATOS'!D285&amp;"")&lt;&gt;"No consta",TRIM('DATOS'!D285&amp;"")&lt;&gt;"Desconocido",TRIM('DATOS'!D285&amp;"")&lt;&gt;"Sin confirmar",TRIM('DATOS'!D285&amp;"")&lt;&gt;"Por decidir",TRIM('DATOS'!D285&amp;"")&lt;&gt;"Por comprobar")),NOT(AND(LEN(TRIM('DATOS'!E285&amp;""))&gt;0,TRIM('DATOS'!E285&amp;"")&lt;&gt;"Pendiente",TRIM('DATOS'!E285&amp;"")&lt;&gt;"Por confirmar",TRIM('DATOS'!E285&amp;"")&lt;&gt;"No consta",TRIM('DATOS'!E285&amp;"")&lt;&gt;"Desconocido",TRIM('DATOS'!E285&amp;"")&lt;&gt;"Sin confirmar",TRIM('DATOS'!E285&amp;"")&lt;&gt;"Por decidir",TRIM('DATOS'!E285&amp;"")&lt;&gt;"Por comprobar"))),2,IF('DATOS'!M285="No",2,IF('DATOS'!M285="Sí",0,IF(OR('DATOS'!D285&lt;&gt;'DATOS'!E285,LEN('DATOS'!E285)&gt;300,RIGHT(TRIM('DATOS'!E285),3)="...",RIGHT(TRIM('DATOS'!E285),1)="…"),1,0))))),2)</f>
      </c>
      <c r="S285" s="29">
        <f>IFERROR(IF(N285=0,"",IF('REFERENCIAS'!$Q$8&lt;&gt;1,2,IF(NOT(Y285=1),1,IF(OR(ABS('DATOS'!G285-ROUND('DATOS'!G285,'REFERENCIAS'!$E$8))&gt;0.00000001,ABS('DATOS'!H285-ROUND('DATOS'!H285,'REFERENCIAS'!$H$8))&gt;0.00000001,ABS('DATOS'!J285-ROUND('DATOS'!J285,'REFERENCIAS'!$K$8))&gt;0.00000001,IF(ISNUMBER('DATOS'!I285),ABS('DATOS'!I285-ROUND('DATOS'!I285,'REFERENCIAS'!$H$8))&gt;0.00000001,FALSE)),1,0)))),2)</f>
      </c>
      <c r="T285" s="29">
        <f>IFERROR(IF(N285=0,"",IF(NOT(AND(LEN(TRIM('DATOS'!F285&amp;""))&gt;0,TRIM('DATOS'!F285&amp;"")&lt;&gt;"Pendiente",TRIM('DATOS'!F285&amp;"")&lt;&gt;"Por confirmar",TRIM('DATOS'!F285&amp;"")&lt;&gt;"No consta",TRIM('DATOS'!F285&amp;"")&lt;&gt;"Desconocido",TRIM('DATOS'!F285&amp;"")&lt;&gt;"Sin confirmar",TRIM('DATOS'!F285&amp;"")&lt;&gt;"Por decidir",TRIM('DATOS'!F285&amp;"")&lt;&gt;"Por comprobar")),2,IF(COUNTIFS('REFERENCIAS'!$T$15:$T$34,"ID:"&amp;SUBSTITUTE(SUBSTITUTE(SUBSTITUTE(SUBSTITUTE(UPPER(TRIM('DATOS'!F285&amp;"")),"!","!E"),"*","!A"),"?","!B"),"~","!C"),'REFERENCIAS'!$H$15:$H$34,"&lt;&gt;")&gt;0,0,1))),2)</f>
      </c>
      <c r="U285" s="29" t="str">
        <f>'DATOS'!R285</f>
        <v>ID:</v>
      </c>
      <c r="V285" s="29" t="str">
        <f>'DATOS'!S285</f>
        <v>ID:</v>
      </c>
      <c r="W285" s="29" t="n">
        <f>IF(N285=0,0,COUNTIFS('REFERENCIAS'!$R$15:$R$64,U285))</f>
        <v>0</v>
      </c>
      <c r="X285" s="29" t="n">
        <f>IF(N285=0,0,COUNTIFS('DATOS'!$R$10:$R$509,U285,'DATOS'!$S$10:$S$509,V285))</f>
        <v>0</v>
      </c>
      <c r="Y285" s="29" t="n">
        <f>IF(AND(ISNUMBER('DATOS'!G285),ISNUMBER('DATOS'!H285),ISNUMBER('DATOS'!J285)),1,0)</f>
        <v>0</v>
      </c>
    </row>
    <row r="286" ht="64" customHeight="1">
      <c r="B286" s="26">
        <f>IF(N286=1,277,"")</f>
      </c>
      <c r="C286" s="26">
        <f>IF(AND(N286=1,LEN(TRIM('DATOS'!B286&amp;""))&gt;0),'DATOS'!B286,"")</f>
      </c>
      <c r="D286" s="26">
        <f>IF(AND(N286=1,LEN(TRIM('DATOS'!C286&amp;""))&gt;0),'DATOS'!C286,"")</f>
      </c>
      <c r="E286" s="26">
        <f>IF(NOT(ISNUMBER(P286)),"",IF(P286=2,"ROJO",IF(P286=1,"ÁMBAR","VERDE")))</f>
      </c>
      <c r="F286" s="26">
        <f>IF(NOT(ISNUMBER(Q286)),"",IF(Q286=2,"ROJO",IF(Q286=1,"ÁMBAR","VERDE")))</f>
      </c>
      <c r="G286" s="26">
        <f>IF(NOT(ISNUMBER(R286)),"",IF(R286=2,"ROJO",IF(R286=1,"ÁMBAR","VERDE")))</f>
      </c>
      <c r="H286" s="26">
        <f>IF(NOT(ISNUMBER(S286)),"",IF(S286=2,"ROJO",IF(S286=1,"ÁMBAR","VERDE")))</f>
      </c>
      <c r="I286" s="26">
        <f>IF(NOT(ISNUMBER(T286)),"",IF(T286=2,"ROJO",IF(T286=1,"ÁMBAR","VERDE")))</f>
      </c>
      <c r="J286" s="26">
        <f>IF(NOT(ISNUMBER(O286)),"",IF(O286=2,"ROJO",IF(O286=1,"ÁMBAR","VERDE")))</f>
      </c>
      <c r="K286" s="26">
        <f>IFERROR(IF(AND(N286=1,LEN(TRIM('DATOS'!N286&amp;""))&gt;0),'DATOS'!N286,""),"Hay una entrada con error. Corregimos el dato antes de cerrar la comprobación.")</f>
      </c>
      <c r="L286" s="26">
        <f>IFERROR(IF(N286=0,"",IF(O286&gt;0,"Completamos datos, claves o motivo. ","")&amp;IF(P286&gt;0,"Cotejamos precios e importe. ","")&amp;IF(Q286&gt;0,"Aclaramos el cero. ","")&amp;IF(R286&gt;0,"Comprobamos el texto. ","")&amp;IF(S286&gt;0,"Revisamos decimales visibles. ","")&amp;IF(T286&gt;0,"Confirmamos la unidad.","")),"Hay una entrada con error. Corregimos el dato antes de cerrar la comprobación.")</f>
      </c>
      <c r="N286" s="29" t="n">
        <f>IF(COUNTA('DATOS'!B286:O286)&gt;0,1,0)</f>
        <v>0</v>
      </c>
      <c r="O286" s="29">
        <f>IFERROR(IF(N286=0,"",IF(OR(NOT(AND(LEN(TRIM('DATOS'!B286&amp;""))&gt;0,TRIM('DATOS'!B286&amp;"")&lt;&gt;"Pendiente",TRIM('DATOS'!B286&amp;"")&lt;&gt;"Por confirmar",TRIM('DATOS'!B286&amp;"")&lt;&gt;"No consta",TRIM('DATOS'!B286&amp;"")&lt;&gt;"Desconocido",TRIM('DATOS'!B286&amp;"")&lt;&gt;"Sin confirmar",TRIM('DATOS'!B286&amp;"")&lt;&gt;"Por decidir",TRIM('DATOS'!B286&amp;"")&lt;&gt;"Por comprobar")),NOT(AND(LEN(TRIM('DATOS'!C286&amp;""))&gt;0,TRIM('DATOS'!C286&amp;"")&lt;&gt;"Pendiente",TRIM('DATOS'!C286&amp;"")&lt;&gt;"Por confirmar",TRIM('DATOS'!C286&amp;"")&lt;&gt;"No consta",TRIM('DATOS'!C286&amp;"")&lt;&gt;"Desconocido",TRIM('DATOS'!C286&amp;"")&lt;&gt;"Sin confirmar",TRIM('DATOS'!C286&amp;"")&lt;&gt;"Por decidir",TRIM('DATOS'!C286&amp;"")&lt;&gt;"Por comprobar")),NOT(AND(LEN(TRIM('DATOS'!D286&amp;""))&gt;0,TRIM('DATOS'!D286&amp;"")&lt;&gt;"Pendiente",TRIM('DATOS'!D286&amp;"")&lt;&gt;"Por confirmar",TRIM('DATOS'!D286&amp;"")&lt;&gt;"No consta",TRIM('DATOS'!D286&amp;"")&lt;&gt;"Desconocido",TRIM('DATOS'!D286&amp;"")&lt;&gt;"Sin confirmar",TRIM('DATOS'!D286&amp;"")&lt;&gt;"Por decidir",TRIM('DATOS'!D286&amp;"")&lt;&gt;"Por comprobar")),NOT(AND(LEN(TRIM('DATOS'!E286&amp;""))&gt;0,TRIM('DATOS'!E286&amp;"")&lt;&gt;"Pendiente",TRIM('DATOS'!E286&amp;"")&lt;&gt;"Por confirmar",TRIM('DATOS'!E286&amp;"")&lt;&gt;"No consta",TRIM('DATOS'!E286&amp;"")&lt;&gt;"Desconocido",TRIM('DATOS'!E286&amp;"")&lt;&gt;"Sin confirmar",TRIM('DATOS'!E286&amp;"")&lt;&gt;"Por decidir",TRIM('DATOS'!E286&amp;"")&lt;&gt;"Por comprobar")),NOT(AND(LEN(TRIM('DATOS'!F286&amp;""))&gt;0,TRIM('DATOS'!F286&amp;"")&lt;&gt;"Pendiente",TRIM('DATOS'!F286&amp;"")&lt;&gt;"Por confirmar",TRIM('DATOS'!F286&amp;"")&lt;&gt;"No consta",TRIM('DATOS'!F286&amp;"")&lt;&gt;"Desconocido",TRIM('DATOS'!F286&amp;"")&lt;&gt;"Sin confirmar",TRIM('DATOS'!F286&amp;"")&lt;&gt;"Por decidir",TRIM('DATOS'!F286&amp;"")&lt;&gt;"Por comprobar")),NOT(AND(LEN(TRIM('DATOS'!N286&amp;""))&gt;0,TRIM('DATOS'!N286&amp;"")&lt;&gt;"Pendiente",TRIM('DATOS'!N286&amp;"")&lt;&gt;"Por confirmar",TRIM('DATOS'!N286&amp;"")&lt;&gt;"No consta",TRIM('DATOS'!N286&amp;"")&lt;&gt;"Desconocido",TRIM('DATOS'!N286&amp;"")&lt;&gt;"Sin confirmar",TRIM('DATOS'!N286&amp;"")&lt;&gt;"Por decidir",TRIM('DATOS'!N286&amp;"")&lt;&gt;"Por comprobar")),NOT(Y286=1),W286&lt;&gt;1,X286&gt;1,NOT(OR(LEN(TRIM('DATOS'!K286&amp;""))=0,'DATOS'!K286="Sin valorar",'DATOS'!K286="Sin coste documentado",'DATOS'!K286="Incluido en otra partida",'DATOS'!K286="Por confirmar")),NOT(OR(LEN(TRIM('DATOS'!M286&amp;""))=0,'DATOS'!M286="Sí",'DATOS'!M286="No",'DATOS'!M286="Por confirmar")),NOT(OR(LEN(TRIM('DATOS'!O286&amp;""))=0,'DATOS'!O286="Comparamos",'DATOS'!O286="No existe",'DATOS'!O286="Por confirmar"))),2,IF(AND(OR('DATOS'!G286&lt;0,'DATOS'!H286&lt;0,'DATOS'!J286&lt;0),NOT(AND(LEN(TRIM('DATOS'!L286&amp;""))&gt;0,TRIM('DATOS'!L286&amp;"")&lt;&gt;"Pendiente",TRIM('DATOS'!L286&amp;"")&lt;&gt;"Por confirmar",TRIM('DATOS'!L286&amp;"")&lt;&gt;"No consta",TRIM('DATOS'!L286&amp;"")&lt;&gt;"Desconocido",TRIM('DATOS'!L286&amp;"")&lt;&gt;"Sin confirmar",TRIM('DATOS'!L286&amp;"")&lt;&gt;"Por decidir",TRIM('DATOS'!L286&amp;"")&lt;&gt;"Por comprobar"))),1,0))),2)</f>
      </c>
      <c r="P286" s="29">
        <f>IFERROR(IF(N286=0,"",IF(NOT(Y286=1),1,IF('REFERENCIAS'!$Q$8&lt;&gt;1,2,IF(ABS('DATOS'!J286-ROUND('DATOS'!G286*'DATOS'!H286,'REFERENCIAS'!$K$8))&gt;0.00000001,2,IF('DATOS'!O286="No existe",IF(LEN(TRIM('DATOS'!I286&amp;""))=0,0,2),IF('DATOS'!O286="Comparamos",IF(LEN(TRIM('DATOS'!I286&amp;""))=0,1,IF(ISNUMBER('DATOS'!I286),IF(ABS('DATOS'!H286-'DATOS'!I286)&gt;0.00000001,2,0),2)),1)))))),2)</f>
      </c>
      <c r="Q286" s="29">
        <f>IFERROR(IF(N286=0,"",IF(NOT(Y286=1),1,IF('DATOS'!K286="Sin valorar",2,IF('DATOS'!G286=0,1,IF(OR('DATOS'!H286=0,'DATOS'!J286=0),IF(AND(OR('DATOS'!K286="Sin coste documentado",'DATOS'!K286="Incluido en otra partida"),AND(LEN(TRIM('DATOS'!L286&amp;""))&gt;0,TRIM('DATOS'!L286&amp;"")&lt;&gt;"Pendiente",TRIM('DATOS'!L286&amp;"")&lt;&gt;"Por confirmar",TRIM('DATOS'!L286&amp;"")&lt;&gt;"No consta",TRIM('DATOS'!L286&amp;"")&lt;&gt;"Desconocido",TRIM('DATOS'!L286&amp;"")&lt;&gt;"Sin confirmar",TRIM('DATOS'!L286&amp;"")&lt;&gt;"Por decidir",TRIM('DATOS'!L286&amp;"")&lt;&gt;"Por comprobar")),0,1),0))))),2)</f>
      </c>
      <c r="R286" s="29">
        <f>IFERROR(IF(N286=0,"",IF(OR(NOT(AND(LEN(TRIM('DATOS'!D286&amp;""))&gt;0,TRIM('DATOS'!D286&amp;"")&lt;&gt;"Pendiente",TRIM('DATOS'!D286&amp;"")&lt;&gt;"Por confirmar",TRIM('DATOS'!D286&amp;"")&lt;&gt;"No consta",TRIM('DATOS'!D286&amp;"")&lt;&gt;"Desconocido",TRIM('DATOS'!D286&amp;"")&lt;&gt;"Sin confirmar",TRIM('DATOS'!D286&amp;"")&lt;&gt;"Por decidir",TRIM('DATOS'!D286&amp;"")&lt;&gt;"Por comprobar")),NOT(AND(LEN(TRIM('DATOS'!E286&amp;""))&gt;0,TRIM('DATOS'!E286&amp;"")&lt;&gt;"Pendiente",TRIM('DATOS'!E286&amp;"")&lt;&gt;"Por confirmar",TRIM('DATOS'!E286&amp;"")&lt;&gt;"No consta",TRIM('DATOS'!E286&amp;"")&lt;&gt;"Desconocido",TRIM('DATOS'!E286&amp;"")&lt;&gt;"Sin confirmar",TRIM('DATOS'!E286&amp;"")&lt;&gt;"Por decidir",TRIM('DATOS'!E286&amp;"")&lt;&gt;"Por comprobar"))),2,IF('DATOS'!M286="No",2,IF('DATOS'!M286="Sí",0,IF(OR('DATOS'!D286&lt;&gt;'DATOS'!E286,LEN('DATOS'!E286)&gt;300,RIGHT(TRIM('DATOS'!E286),3)="...",RIGHT(TRIM('DATOS'!E286),1)="…"),1,0))))),2)</f>
      </c>
      <c r="S286" s="29">
        <f>IFERROR(IF(N286=0,"",IF('REFERENCIAS'!$Q$8&lt;&gt;1,2,IF(NOT(Y286=1),1,IF(OR(ABS('DATOS'!G286-ROUND('DATOS'!G286,'REFERENCIAS'!$E$8))&gt;0.00000001,ABS('DATOS'!H286-ROUND('DATOS'!H286,'REFERENCIAS'!$H$8))&gt;0.00000001,ABS('DATOS'!J286-ROUND('DATOS'!J286,'REFERENCIAS'!$K$8))&gt;0.00000001,IF(ISNUMBER('DATOS'!I286),ABS('DATOS'!I286-ROUND('DATOS'!I286,'REFERENCIAS'!$H$8))&gt;0.00000001,FALSE)),1,0)))),2)</f>
      </c>
      <c r="T286" s="29">
        <f>IFERROR(IF(N286=0,"",IF(NOT(AND(LEN(TRIM('DATOS'!F286&amp;""))&gt;0,TRIM('DATOS'!F286&amp;"")&lt;&gt;"Pendiente",TRIM('DATOS'!F286&amp;"")&lt;&gt;"Por confirmar",TRIM('DATOS'!F286&amp;"")&lt;&gt;"No consta",TRIM('DATOS'!F286&amp;"")&lt;&gt;"Desconocido",TRIM('DATOS'!F286&amp;"")&lt;&gt;"Sin confirmar",TRIM('DATOS'!F286&amp;"")&lt;&gt;"Por decidir",TRIM('DATOS'!F286&amp;"")&lt;&gt;"Por comprobar")),2,IF(COUNTIFS('REFERENCIAS'!$T$15:$T$34,"ID:"&amp;SUBSTITUTE(SUBSTITUTE(SUBSTITUTE(SUBSTITUTE(UPPER(TRIM('DATOS'!F286&amp;"")),"!","!E"),"*","!A"),"?","!B"),"~","!C"),'REFERENCIAS'!$H$15:$H$34,"&lt;&gt;")&gt;0,0,1))),2)</f>
      </c>
      <c r="U286" s="29" t="str">
        <f>'DATOS'!R286</f>
        <v>ID:</v>
      </c>
      <c r="V286" s="29" t="str">
        <f>'DATOS'!S286</f>
        <v>ID:</v>
      </c>
      <c r="W286" s="29" t="n">
        <f>IF(N286=0,0,COUNTIFS('REFERENCIAS'!$R$15:$R$64,U286))</f>
        <v>0</v>
      </c>
      <c r="X286" s="29" t="n">
        <f>IF(N286=0,0,COUNTIFS('DATOS'!$R$10:$R$509,U286,'DATOS'!$S$10:$S$509,V286))</f>
        <v>0</v>
      </c>
      <c r="Y286" s="29" t="n">
        <f>IF(AND(ISNUMBER('DATOS'!G286),ISNUMBER('DATOS'!H286),ISNUMBER('DATOS'!J286)),1,0)</f>
        <v>0</v>
      </c>
    </row>
    <row r="287" ht="64" customHeight="1">
      <c r="B287" s="26">
        <f>IF(N287=1,278,"")</f>
      </c>
      <c r="C287" s="26">
        <f>IF(AND(N287=1,LEN(TRIM('DATOS'!B287&amp;""))&gt;0),'DATOS'!B287,"")</f>
      </c>
      <c r="D287" s="26">
        <f>IF(AND(N287=1,LEN(TRIM('DATOS'!C287&amp;""))&gt;0),'DATOS'!C287,"")</f>
      </c>
      <c r="E287" s="26">
        <f>IF(NOT(ISNUMBER(P287)),"",IF(P287=2,"ROJO",IF(P287=1,"ÁMBAR","VERDE")))</f>
      </c>
      <c r="F287" s="26">
        <f>IF(NOT(ISNUMBER(Q287)),"",IF(Q287=2,"ROJO",IF(Q287=1,"ÁMBAR","VERDE")))</f>
      </c>
      <c r="G287" s="26">
        <f>IF(NOT(ISNUMBER(R287)),"",IF(R287=2,"ROJO",IF(R287=1,"ÁMBAR","VERDE")))</f>
      </c>
      <c r="H287" s="26">
        <f>IF(NOT(ISNUMBER(S287)),"",IF(S287=2,"ROJO",IF(S287=1,"ÁMBAR","VERDE")))</f>
      </c>
      <c r="I287" s="26">
        <f>IF(NOT(ISNUMBER(T287)),"",IF(T287=2,"ROJO",IF(T287=1,"ÁMBAR","VERDE")))</f>
      </c>
      <c r="J287" s="26">
        <f>IF(NOT(ISNUMBER(O287)),"",IF(O287=2,"ROJO",IF(O287=1,"ÁMBAR","VERDE")))</f>
      </c>
      <c r="K287" s="26">
        <f>IFERROR(IF(AND(N287=1,LEN(TRIM('DATOS'!N287&amp;""))&gt;0),'DATOS'!N287,""),"Hay una entrada con error. Corregimos el dato antes de cerrar la comprobación.")</f>
      </c>
      <c r="L287" s="26">
        <f>IFERROR(IF(N287=0,"",IF(O287&gt;0,"Completamos datos, claves o motivo. ","")&amp;IF(P287&gt;0,"Cotejamos precios e importe. ","")&amp;IF(Q287&gt;0,"Aclaramos el cero. ","")&amp;IF(R287&gt;0,"Comprobamos el texto. ","")&amp;IF(S287&gt;0,"Revisamos decimales visibles. ","")&amp;IF(T287&gt;0,"Confirmamos la unidad.","")),"Hay una entrada con error. Corregimos el dato antes de cerrar la comprobación.")</f>
      </c>
      <c r="N287" s="29" t="n">
        <f>IF(COUNTA('DATOS'!B287:O287)&gt;0,1,0)</f>
        <v>0</v>
      </c>
      <c r="O287" s="29">
        <f>IFERROR(IF(N287=0,"",IF(OR(NOT(AND(LEN(TRIM('DATOS'!B287&amp;""))&gt;0,TRIM('DATOS'!B287&amp;"")&lt;&gt;"Pendiente",TRIM('DATOS'!B287&amp;"")&lt;&gt;"Por confirmar",TRIM('DATOS'!B287&amp;"")&lt;&gt;"No consta",TRIM('DATOS'!B287&amp;"")&lt;&gt;"Desconocido",TRIM('DATOS'!B287&amp;"")&lt;&gt;"Sin confirmar",TRIM('DATOS'!B287&amp;"")&lt;&gt;"Por decidir",TRIM('DATOS'!B287&amp;"")&lt;&gt;"Por comprobar")),NOT(AND(LEN(TRIM('DATOS'!C287&amp;""))&gt;0,TRIM('DATOS'!C287&amp;"")&lt;&gt;"Pendiente",TRIM('DATOS'!C287&amp;"")&lt;&gt;"Por confirmar",TRIM('DATOS'!C287&amp;"")&lt;&gt;"No consta",TRIM('DATOS'!C287&amp;"")&lt;&gt;"Desconocido",TRIM('DATOS'!C287&amp;"")&lt;&gt;"Sin confirmar",TRIM('DATOS'!C287&amp;"")&lt;&gt;"Por decidir",TRIM('DATOS'!C287&amp;"")&lt;&gt;"Por comprobar")),NOT(AND(LEN(TRIM('DATOS'!D287&amp;""))&gt;0,TRIM('DATOS'!D287&amp;"")&lt;&gt;"Pendiente",TRIM('DATOS'!D287&amp;"")&lt;&gt;"Por confirmar",TRIM('DATOS'!D287&amp;"")&lt;&gt;"No consta",TRIM('DATOS'!D287&amp;"")&lt;&gt;"Desconocido",TRIM('DATOS'!D287&amp;"")&lt;&gt;"Sin confirmar",TRIM('DATOS'!D287&amp;"")&lt;&gt;"Por decidir",TRIM('DATOS'!D287&amp;"")&lt;&gt;"Por comprobar")),NOT(AND(LEN(TRIM('DATOS'!E287&amp;""))&gt;0,TRIM('DATOS'!E287&amp;"")&lt;&gt;"Pendiente",TRIM('DATOS'!E287&amp;"")&lt;&gt;"Por confirmar",TRIM('DATOS'!E287&amp;"")&lt;&gt;"No consta",TRIM('DATOS'!E287&amp;"")&lt;&gt;"Desconocido",TRIM('DATOS'!E287&amp;"")&lt;&gt;"Sin confirmar",TRIM('DATOS'!E287&amp;"")&lt;&gt;"Por decidir",TRIM('DATOS'!E287&amp;"")&lt;&gt;"Por comprobar")),NOT(AND(LEN(TRIM('DATOS'!F287&amp;""))&gt;0,TRIM('DATOS'!F287&amp;"")&lt;&gt;"Pendiente",TRIM('DATOS'!F287&amp;"")&lt;&gt;"Por confirmar",TRIM('DATOS'!F287&amp;"")&lt;&gt;"No consta",TRIM('DATOS'!F287&amp;"")&lt;&gt;"Desconocido",TRIM('DATOS'!F287&amp;"")&lt;&gt;"Sin confirmar",TRIM('DATOS'!F287&amp;"")&lt;&gt;"Por decidir",TRIM('DATOS'!F287&amp;"")&lt;&gt;"Por comprobar")),NOT(AND(LEN(TRIM('DATOS'!N287&amp;""))&gt;0,TRIM('DATOS'!N287&amp;"")&lt;&gt;"Pendiente",TRIM('DATOS'!N287&amp;"")&lt;&gt;"Por confirmar",TRIM('DATOS'!N287&amp;"")&lt;&gt;"No consta",TRIM('DATOS'!N287&amp;"")&lt;&gt;"Desconocido",TRIM('DATOS'!N287&amp;"")&lt;&gt;"Sin confirmar",TRIM('DATOS'!N287&amp;"")&lt;&gt;"Por decidir",TRIM('DATOS'!N287&amp;"")&lt;&gt;"Por comprobar")),NOT(Y287=1),W287&lt;&gt;1,X287&gt;1,NOT(OR(LEN(TRIM('DATOS'!K287&amp;""))=0,'DATOS'!K287="Sin valorar",'DATOS'!K287="Sin coste documentado",'DATOS'!K287="Incluido en otra partida",'DATOS'!K287="Por confirmar")),NOT(OR(LEN(TRIM('DATOS'!M287&amp;""))=0,'DATOS'!M287="Sí",'DATOS'!M287="No",'DATOS'!M287="Por confirmar")),NOT(OR(LEN(TRIM('DATOS'!O287&amp;""))=0,'DATOS'!O287="Comparamos",'DATOS'!O287="No existe",'DATOS'!O287="Por confirmar"))),2,IF(AND(OR('DATOS'!G287&lt;0,'DATOS'!H287&lt;0,'DATOS'!J287&lt;0),NOT(AND(LEN(TRIM('DATOS'!L287&amp;""))&gt;0,TRIM('DATOS'!L287&amp;"")&lt;&gt;"Pendiente",TRIM('DATOS'!L287&amp;"")&lt;&gt;"Por confirmar",TRIM('DATOS'!L287&amp;"")&lt;&gt;"No consta",TRIM('DATOS'!L287&amp;"")&lt;&gt;"Desconocido",TRIM('DATOS'!L287&amp;"")&lt;&gt;"Sin confirmar",TRIM('DATOS'!L287&amp;"")&lt;&gt;"Por decidir",TRIM('DATOS'!L287&amp;"")&lt;&gt;"Por comprobar"))),1,0))),2)</f>
      </c>
      <c r="P287" s="29">
        <f>IFERROR(IF(N287=0,"",IF(NOT(Y287=1),1,IF('REFERENCIAS'!$Q$8&lt;&gt;1,2,IF(ABS('DATOS'!J287-ROUND('DATOS'!G287*'DATOS'!H287,'REFERENCIAS'!$K$8))&gt;0.00000001,2,IF('DATOS'!O287="No existe",IF(LEN(TRIM('DATOS'!I287&amp;""))=0,0,2),IF('DATOS'!O287="Comparamos",IF(LEN(TRIM('DATOS'!I287&amp;""))=0,1,IF(ISNUMBER('DATOS'!I287),IF(ABS('DATOS'!H287-'DATOS'!I287)&gt;0.00000001,2,0),2)),1)))))),2)</f>
      </c>
      <c r="Q287" s="29">
        <f>IFERROR(IF(N287=0,"",IF(NOT(Y287=1),1,IF('DATOS'!K287="Sin valorar",2,IF('DATOS'!G287=0,1,IF(OR('DATOS'!H287=0,'DATOS'!J287=0),IF(AND(OR('DATOS'!K287="Sin coste documentado",'DATOS'!K287="Incluido en otra partida"),AND(LEN(TRIM('DATOS'!L287&amp;""))&gt;0,TRIM('DATOS'!L287&amp;"")&lt;&gt;"Pendiente",TRIM('DATOS'!L287&amp;"")&lt;&gt;"Por confirmar",TRIM('DATOS'!L287&amp;"")&lt;&gt;"No consta",TRIM('DATOS'!L287&amp;"")&lt;&gt;"Desconocido",TRIM('DATOS'!L287&amp;"")&lt;&gt;"Sin confirmar",TRIM('DATOS'!L287&amp;"")&lt;&gt;"Por decidir",TRIM('DATOS'!L287&amp;"")&lt;&gt;"Por comprobar")),0,1),0))))),2)</f>
      </c>
      <c r="R287" s="29">
        <f>IFERROR(IF(N287=0,"",IF(OR(NOT(AND(LEN(TRIM('DATOS'!D287&amp;""))&gt;0,TRIM('DATOS'!D287&amp;"")&lt;&gt;"Pendiente",TRIM('DATOS'!D287&amp;"")&lt;&gt;"Por confirmar",TRIM('DATOS'!D287&amp;"")&lt;&gt;"No consta",TRIM('DATOS'!D287&amp;"")&lt;&gt;"Desconocido",TRIM('DATOS'!D287&amp;"")&lt;&gt;"Sin confirmar",TRIM('DATOS'!D287&amp;"")&lt;&gt;"Por decidir",TRIM('DATOS'!D287&amp;"")&lt;&gt;"Por comprobar")),NOT(AND(LEN(TRIM('DATOS'!E287&amp;""))&gt;0,TRIM('DATOS'!E287&amp;"")&lt;&gt;"Pendiente",TRIM('DATOS'!E287&amp;"")&lt;&gt;"Por confirmar",TRIM('DATOS'!E287&amp;"")&lt;&gt;"No consta",TRIM('DATOS'!E287&amp;"")&lt;&gt;"Desconocido",TRIM('DATOS'!E287&amp;"")&lt;&gt;"Sin confirmar",TRIM('DATOS'!E287&amp;"")&lt;&gt;"Por decidir",TRIM('DATOS'!E287&amp;"")&lt;&gt;"Por comprobar"))),2,IF('DATOS'!M287="No",2,IF('DATOS'!M287="Sí",0,IF(OR('DATOS'!D287&lt;&gt;'DATOS'!E287,LEN('DATOS'!E287)&gt;300,RIGHT(TRIM('DATOS'!E287),3)="...",RIGHT(TRIM('DATOS'!E287),1)="…"),1,0))))),2)</f>
      </c>
      <c r="S287" s="29">
        <f>IFERROR(IF(N287=0,"",IF('REFERENCIAS'!$Q$8&lt;&gt;1,2,IF(NOT(Y287=1),1,IF(OR(ABS('DATOS'!G287-ROUND('DATOS'!G287,'REFERENCIAS'!$E$8))&gt;0.00000001,ABS('DATOS'!H287-ROUND('DATOS'!H287,'REFERENCIAS'!$H$8))&gt;0.00000001,ABS('DATOS'!J287-ROUND('DATOS'!J287,'REFERENCIAS'!$K$8))&gt;0.00000001,IF(ISNUMBER('DATOS'!I287),ABS('DATOS'!I287-ROUND('DATOS'!I287,'REFERENCIAS'!$H$8))&gt;0.00000001,FALSE)),1,0)))),2)</f>
      </c>
      <c r="T287" s="29">
        <f>IFERROR(IF(N287=0,"",IF(NOT(AND(LEN(TRIM('DATOS'!F287&amp;""))&gt;0,TRIM('DATOS'!F287&amp;"")&lt;&gt;"Pendiente",TRIM('DATOS'!F287&amp;"")&lt;&gt;"Por confirmar",TRIM('DATOS'!F287&amp;"")&lt;&gt;"No consta",TRIM('DATOS'!F287&amp;"")&lt;&gt;"Desconocido",TRIM('DATOS'!F287&amp;"")&lt;&gt;"Sin confirmar",TRIM('DATOS'!F287&amp;"")&lt;&gt;"Por decidir",TRIM('DATOS'!F287&amp;"")&lt;&gt;"Por comprobar")),2,IF(COUNTIFS('REFERENCIAS'!$T$15:$T$34,"ID:"&amp;SUBSTITUTE(SUBSTITUTE(SUBSTITUTE(SUBSTITUTE(UPPER(TRIM('DATOS'!F287&amp;"")),"!","!E"),"*","!A"),"?","!B"),"~","!C"),'REFERENCIAS'!$H$15:$H$34,"&lt;&gt;")&gt;0,0,1))),2)</f>
      </c>
      <c r="U287" s="29" t="str">
        <f>'DATOS'!R287</f>
        <v>ID:</v>
      </c>
      <c r="V287" s="29" t="str">
        <f>'DATOS'!S287</f>
        <v>ID:</v>
      </c>
      <c r="W287" s="29" t="n">
        <f>IF(N287=0,0,COUNTIFS('REFERENCIAS'!$R$15:$R$64,U287))</f>
        <v>0</v>
      </c>
      <c r="X287" s="29" t="n">
        <f>IF(N287=0,0,COUNTIFS('DATOS'!$R$10:$R$509,U287,'DATOS'!$S$10:$S$509,V287))</f>
        <v>0</v>
      </c>
      <c r="Y287" s="29" t="n">
        <f>IF(AND(ISNUMBER('DATOS'!G287),ISNUMBER('DATOS'!H287),ISNUMBER('DATOS'!J287)),1,0)</f>
        <v>0</v>
      </c>
    </row>
    <row r="288" ht="64" customHeight="1">
      <c r="B288" s="26">
        <f>IF(N288=1,279,"")</f>
      </c>
      <c r="C288" s="26">
        <f>IF(AND(N288=1,LEN(TRIM('DATOS'!B288&amp;""))&gt;0),'DATOS'!B288,"")</f>
      </c>
      <c r="D288" s="26">
        <f>IF(AND(N288=1,LEN(TRIM('DATOS'!C288&amp;""))&gt;0),'DATOS'!C288,"")</f>
      </c>
      <c r="E288" s="26">
        <f>IF(NOT(ISNUMBER(P288)),"",IF(P288=2,"ROJO",IF(P288=1,"ÁMBAR","VERDE")))</f>
      </c>
      <c r="F288" s="26">
        <f>IF(NOT(ISNUMBER(Q288)),"",IF(Q288=2,"ROJO",IF(Q288=1,"ÁMBAR","VERDE")))</f>
      </c>
      <c r="G288" s="26">
        <f>IF(NOT(ISNUMBER(R288)),"",IF(R288=2,"ROJO",IF(R288=1,"ÁMBAR","VERDE")))</f>
      </c>
      <c r="H288" s="26">
        <f>IF(NOT(ISNUMBER(S288)),"",IF(S288=2,"ROJO",IF(S288=1,"ÁMBAR","VERDE")))</f>
      </c>
      <c r="I288" s="26">
        <f>IF(NOT(ISNUMBER(T288)),"",IF(T288=2,"ROJO",IF(T288=1,"ÁMBAR","VERDE")))</f>
      </c>
      <c r="J288" s="26">
        <f>IF(NOT(ISNUMBER(O288)),"",IF(O288=2,"ROJO",IF(O288=1,"ÁMBAR","VERDE")))</f>
      </c>
      <c r="K288" s="26">
        <f>IFERROR(IF(AND(N288=1,LEN(TRIM('DATOS'!N288&amp;""))&gt;0),'DATOS'!N288,""),"Hay una entrada con error. Corregimos el dato antes de cerrar la comprobación.")</f>
      </c>
      <c r="L288" s="26">
        <f>IFERROR(IF(N288=0,"",IF(O288&gt;0,"Completamos datos, claves o motivo. ","")&amp;IF(P288&gt;0,"Cotejamos precios e importe. ","")&amp;IF(Q288&gt;0,"Aclaramos el cero. ","")&amp;IF(R288&gt;0,"Comprobamos el texto. ","")&amp;IF(S288&gt;0,"Revisamos decimales visibles. ","")&amp;IF(T288&gt;0,"Confirmamos la unidad.","")),"Hay una entrada con error. Corregimos el dato antes de cerrar la comprobación.")</f>
      </c>
      <c r="N288" s="29" t="n">
        <f>IF(COUNTA('DATOS'!B288:O288)&gt;0,1,0)</f>
        <v>0</v>
      </c>
      <c r="O288" s="29">
        <f>IFERROR(IF(N288=0,"",IF(OR(NOT(AND(LEN(TRIM('DATOS'!B288&amp;""))&gt;0,TRIM('DATOS'!B288&amp;"")&lt;&gt;"Pendiente",TRIM('DATOS'!B288&amp;"")&lt;&gt;"Por confirmar",TRIM('DATOS'!B288&amp;"")&lt;&gt;"No consta",TRIM('DATOS'!B288&amp;"")&lt;&gt;"Desconocido",TRIM('DATOS'!B288&amp;"")&lt;&gt;"Sin confirmar",TRIM('DATOS'!B288&amp;"")&lt;&gt;"Por decidir",TRIM('DATOS'!B288&amp;"")&lt;&gt;"Por comprobar")),NOT(AND(LEN(TRIM('DATOS'!C288&amp;""))&gt;0,TRIM('DATOS'!C288&amp;"")&lt;&gt;"Pendiente",TRIM('DATOS'!C288&amp;"")&lt;&gt;"Por confirmar",TRIM('DATOS'!C288&amp;"")&lt;&gt;"No consta",TRIM('DATOS'!C288&amp;"")&lt;&gt;"Desconocido",TRIM('DATOS'!C288&amp;"")&lt;&gt;"Sin confirmar",TRIM('DATOS'!C288&amp;"")&lt;&gt;"Por decidir",TRIM('DATOS'!C288&amp;"")&lt;&gt;"Por comprobar")),NOT(AND(LEN(TRIM('DATOS'!D288&amp;""))&gt;0,TRIM('DATOS'!D288&amp;"")&lt;&gt;"Pendiente",TRIM('DATOS'!D288&amp;"")&lt;&gt;"Por confirmar",TRIM('DATOS'!D288&amp;"")&lt;&gt;"No consta",TRIM('DATOS'!D288&amp;"")&lt;&gt;"Desconocido",TRIM('DATOS'!D288&amp;"")&lt;&gt;"Sin confirmar",TRIM('DATOS'!D288&amp;"")&lt;&gt;"Por decidir",TRIM('DATOS'!D288&amp;"")&lt;&gt;"Por comprobar")),NOT(AND(LEN(TRIM('DATOS'!E288&amp;""))&gt;0,TRIM('DATOS'!E288&amp;"")&lt;&gt;"Pendiente",TRIM('DATOS'!E288&amp;"")&lt;&gt;"Por confirmar",TRIM('DATOS'!E288&amp;"")&lt;&gt;"No consta",TRIM('DATOS'!E288&amp;"")&lt;&gt;"Desconocido",TRIM('DATOS'!E288&amp;"")&lt;&gt;"Sin confirmar",TRIM('DATOS'!E288&amp;"")&lt;&gt;"Por decidir",TRIM('DATOS'!E288&amp;"")&lt;&gt;"Por comprobar")),NOT(AND(LEN(TRIM('DATOS'!F288&amp;""))&gt;0,TRIM('DATOS'!F288&amp;"")&lt;&gt;"Pendiente",TRIM('DATOS'!F288&amp;"")&lt;&gt;"Por confirmar",TRIM('DATOS'!F288&amp;"")&lt;&gt;"No consta",TRIM('DATOS'!F288&amp;"")&lt;&gt;"Desconocido",TRIM('DATOS'!F288&amp;"")&lt;&gt;"Sin confirmar",TRIM('DATOS'!F288&amp;"")&lt;&gt;"Por decidir",TRIM('DATOS'!F288&amp;"")&lt;&gt;"Por comprobar")),NOT(AND(LEN(TRIM('DATOS'!N288&amp;""))&gt;0,TRIM('DATOS'!N288&amp;"")&lt;&gt;"Pendiente",TRIM('DATOS'!N288&amp;"")&lt;&gt;"Por confirmar",TRIM('DATOS'!N288&amp;"")&lt;&gt;"No consta",TRIM('DATOS'!N288&amp;"")&lt;&gt;"Desconocido",TRIM('DATOS'!N288&amp;"")&lt;&gt;"Sin confirmar",TRIM('DATOS'!N288&amp;"")&lt;&gt;"Por decidir",TRIM('DATOS'!N288&amp;"")&lt;&gt;"Por comprobar")),NOT(Y288=1),W288&lt;&gt;1,X288&gt;1,NOT(OR(LEN(TRIM('DATOS'!K288&amp;""))=0,'DATOS'!K288="Sin valorar",'DATOS'!K288="Sin coste documentado",'DATOS'!K288="Incluido en otra partida",'DATOS'!K288="Por confirmar")),NOT(OR(LEN(TRIM('DATOS'!M288&amp;""))=0,'DATOS'!M288="Sí",'DATOS'!M288="No",'DATOS'!M288="Por confirmar")),NOT(OR(LEN(TRIM('DATOS'!O288&amp;""))=0,'DATOS'!O288="Comparamos",'DATOS'!O288="No existe",'DATOS'!O288="Por confirmar"))),2,IF(AND(OR('DATOS'!G288&lt;0,'DATOS'!H288&lt;0,'DATOS'!J288&lt;0),NOT(AND(LEN(TRIM('DATOS'!L288&amp;""))&gt;0,TRIM('DATOS'!L288&amp;"")&lt;&gt;"Pendiente",TRIM('DATOS'!L288&amp;"")&lt;&gt;"Por confirmar",TRIM('DATOS'!L288&amp;"")&lt;&gt;"No consta",TRIM('DATOS'!L288&amp;"")&lt;&gt;"Desconocido",TRIM('DATOS'!L288&amp;"")&lt;&gt;"Sin confirmar",TRIM('DATOS'!L288&amp;"")&lt;&gt;"Por decidir",TRIM('DATOS'!L288&amp;"")&lt;&gt;"Por comprobar"))),1,0))),2)</f>
      </c>
      <c r="P288" s="29">
        <f>IFERROR(IF(N288=0,"",IF(NOT(Y288=1),1,IF('REFERENCIAS'!$Q$8&lt;&gt;1,2,IF(ABS('DATOS'!J288-ROUND('DATOS'!G288*'DATOS'!H288,'REFERENCIAS'!$K$8))&gt;0.00000001,2,IF('DATOS'!O288="No existe",IF(LEN(TRIM('DATOS'!I288&amp;""))=0,0,2),IF('DATOS'!O288="Comparamos",IF(LEN(TRIM('DATOS'!I288&amp;""))=0,1,IF(ISNUMBER('DATOS'!I288),IF(ABS('DATOS'!H288-'DATOS'!I288)&gt;0.00000001,2,0),2)),1)))))),2)</f>
      </c>
      <c r="Q288" s="29">
        <f>IFERROR(IF(N288=0,"",IF(NOT(Y288=1),1,IF('DATOS'!K288="Sin valorar",2,IF('DATOS'!G288=0,1,IF(OR('DATOS'!H288=0,'DATOS'!J288=0),IF(AND(OR('DATOS'!K288="Sin coste documentado",'DATOS'!K288="Incluido en otra partida"),AND(LEN(TRIM('DATOS'!L288&amp;""))&gt;0,TRIM('DATOS'!L288&amp;"")&lt;&gt;"Pendiente",TRIM('DATOS'!L288&amp;"")&lt;&gt;"Por confirmar",TRIM('DATOS'!L288&amp;"")&lt;&gt;"No consta",TRIM('DATOS'!L288&amp;"")&lt;&gt;"Desconocido",TRIM('DATOS'!L288&amp;"")&lt;&gt;"Sin confirmar",TRIM('DATOS'!L288&amp;"")&lt;&gt;"Por decidir",TRIM('DATOS'!L288&amp;"")&lt;&gt;"Por comprobar")),0,1),0))))),2)</f>
      </c>
      <c r="R288" s="29">
        <f>IFERROR(IF(N288=0,"",IF(OR(NOT(AND(LEN(TRIM('DATOS'!D288&amp;""))&gt;0,TRIM('DATOS'!D288&amp;"")&lt;&gt;"Pendiente",TRIM('DATOS'!D288&amp;"")&lt;&gt;"Por confirmar",TRIM('DATOS'!D288&amp;"")&lt;&gt;"No consta",TRIM('DATOS'!D288&amp;"")&lt;&gt;"Desconocido",TRIM('DATOS'!D288&amp;"")&lt;&gt;"Sin confirmar",TRIM('DATOS'!D288&amp;"")&lt;&gt;"Por decidir",TRIM('DATOS'!D288&amp;"")&lt;&gt;"Por comprobar")),NOT(AND(LEN(TRIM('DATOS'!E288&amp;""))&gt;0,TRIM('DATOS'!E288&amp;"")&lt;&gt;"Pendiente",TRIM('DATOS'!E288&amp;"")&lt;&gt;"Por confirmar",TRIM('DATOS'!E288&amp;"")&lt;&gt;"No consta",TRIM('DATOS'!E288&amp;"")&lt;&gt;"Desconocido",TRIM('DATOS'!E288&amp;"")&lt;&gt;"Sin confirmar",TRIM('DATOS'!E288&amp;"")&lt;&gt;"Por decidir",TRIM('DATOS'!E288&amp;"")&lt;&gt;"Por comprobar"))),2,IF('DATOS'!M288="No",2,IF('DATOS'!M288="Sí",0,IF(OR('DATOS'!D288&lt;&gt;'DATOS'!E288,LEN('DATOS'!E288)&gt;300,RIGHT(TRIM('DATOS'!E288),3)="...",RIGHT(TRIM('DATOS'!E288),1)="…"),1,0))))),2)</f>
      </c>
      <c r="S288" s="29">
        <f>IFERROR(IF(N288=0,"",IF('REFERENCIAS'!$Q$8&lt;&gt;1,2,IF(NOT(Y288=1),1,IF(OR(ABS('DATOS'!G288-ROUND('DATOS'!G288,'REFERENCIAS'!$E$8))&gt;0.00000001,ABS('DATOS'!H288-ROUND('DATOS'!H288,'REFERENCIAS'!$H$8))&gt;0.00000001,ABS('DATOS'!J288-ROUND('DATOS'!J288,'REFERENCIAS'!$K$8))&gt;0.00000001,IF(ISNUMBER('DATOS'!I288),ABS('DATOS'!I288-ROUND('DATOS'!I288,'REFERENCIAS'!$H$8))&gt;0.00000001,FALSE)),1,0)))),2)</f>
      </c>
      <c r="T288" s="29">
        <f>IFERROR(IF(N288=0,"",IF(NOT(AND(LEN(TRIM('DATOS'!F288&amp;""))&gt;0,TRIM('DATOS'!F288&amp;"")&lt;&gt;"Pendiente",TRIM('DATOS'!F288&amp;"")&lt;&gt;"Por confirmar",TRIM('DATOS'!F288&amp;"")&lt;&gt;"No consta",TRIM('DATOS'!F288&amp;"")&lt;&gt;"Desconocido",TRIM('DATOS'!F288&amp;"")&lt;&gt;"Sin confirmar",TRIM('DATOS'!F288&amp;"")&lt;&gt;"Por decidir",TRIM('DATOS'!F288&amp;"")&lt;&gt;"Por comprobar")),2,IF(COUNTIFS('REFERENCIAS'!$T$15:$T$34,"ID:"&amp;SUBSTITUTE(SUBSTITUTE(SUBSTITUTE(SUBSTITUTE(UPPER(TRIM('DATOS'!F288&amp;"")),"!","!E"),"*","!A"),"?","!B"),"~","!C"),'REFERENCIAS'!$H$15:$H$34,"&lt;&gt;")&gt;0,0,1))),2)</f>
      </c>
      <c r="U288" s="29" t="str">
        <f>'DATOS'!R288</f>
        <v>ID:</v>
      </c>
      <c r="V288" s="29" t="str">
        <f>'DATOS'!S288</f>
        <v>ID:</v>
      </c>
      <c r="W288" s="29" t="n">
        <f>IF(N288=0,0,COUNTIFS('REFERENCIAS'!$R$15:$R$64,U288))</f>
        <v>0</v>
      </c>
      <c r="X288" s="29" t="n">
        <f>IF(N288=0,0,COUNTIFS('DATOS'!$R$10:$R$509,U288,'DATOS'!$S$10:$S$509,V288))</f>
        <v>0</v>
      </c>
      <c r="Y288" s="29" t="n">
        <f>IF(AND(ISNUMBER('DATOS'!G288),ISNUMBER('DATOS'!H288),ISNUMBER('DATOS'!J288)),1,0)</f>
        <v>0</v>
      </c>
    </row>
    <row r="289" ht="64" customHeight="1">
      <c r="B289" s="26">
        <f>IF(N289=1,280,"")</f>
      </c>
      <c r="C289" s="26">
        <f>IF(AND(N289=1,LEN(TRIM('DATOS'!B289&amp;""))&gt;0),'DATOS'!B289,"")</f>
      </c>
      <c r="D289" s="26">
        <f>IF(AND(N289=1,LEN(TRIM('DATOS'!C289&amp;""))&gt;0),'DATOS'!C289,"")</f>
      </c>
      <c r="E289" s="26">
        <f>IF(NOT(ISNUMBER(P289)),"",IF(P289=2,"ROJO",IF(P289=1,"ÁMBAR","VERDE")))</f>
      </c>
      <c r="F289" s="26">
        <f>IF(NOT(ISNUMBER(Q289)),"",IF(Q289=2,"ROJO",IF(Q289=1,"ÁMBAR","VERDE")))</f>
      </c>
      <c r="G289" s="26">
        <f>IF(NOT(ISNUMBER(R289)),"",IF(R289=2,"ROJO",IF(R289=1,"ÁMBAR","VERDE")))</f>
      </c>
      <c r="H289" s="26">
        <f>IF(NOT(ISNUMBER(S289)),"",IF(S289=2,"ROJO",IF(S289=1,"ÁMBAR","VERDE")))</f>
      </c>
      <c r="I289" s="26">
        <f>IF(NOT(ISNUMBER(T289)),"",IF(T289=2,"ROJO",IF(T289=1,"ÁMBAR","VERDE")))</f>
      </c>
      <c r="J289" s="26">
        <f>IF(NOT(ISNUMBER(O289)),"",IF(O289=2,"ROJO",IF(O289=1,"ÁMBAR","VERDE")))</f>
      </c>
      <c r="K289" s="26">
        <f>IFERROR(IF(AND(N289=1,LEN(TRIM('DATOS'!N289&amp;""))&gt;0),'DATOS'!N289,""),"Hay una entrada con error. Corregimos el dato antes de cerrar la comprobación.")</f>
      </c>
      <c r="L289" s="26">
        <f>IFERROR(IF(N289=0,"",IF(O289&gt;0,"Completamos datos, claves o motivo. ","")&amp;IF(P289&gt;0,"Cotejamos precios e importe. ","")&amp;IF(Q289&gt;0,"Aclaramos el cero. ","")&amp;IF(R289&gt;0,"Comprobamos el texto. ","")&amp;IF(S289&gt;0,"Revisamos decimales visibles. ","")&amp;IF(T289&gt;0,"Confirmamos la unidad.","")),"Hay una entrada con error. Corregimos el dato antes de cerrar la comprobación.")</f>
      </c>
      <c r="N289" s="29" t="n">
        <f>IF(COUNTA('DATOS'!B289:O289)&gt;0,1,0)</f>
        <v>0</v>
      </c>
      <c r="O289" s="29">
        <f>IFERROR(IF(N289=0,"",IF(OR(NOT(AND(LEN(TRIM('DATOS'!B289&amp;""))&gt;0,TRIM('DATOS'!B289&amp;"")&lt;&gt;"Pendiente",TRIM('DATOS'!B289&amp;"")&lt;&gt;"Por confirmar",TRIM('DATOS'!B289&amp;"")&lt;&gt;"No consta",TRIM('DATOS'!B289&amp;"")&lt;&gt;"Desconocido",TRIM('DATOS'!B289&amp;"")&lt;&gt;"Sin confirmar",TRIM('DATOS'!B289&amp;"")&lt;&gt;"Por decidir",TRIM('DATOS'!B289&amp;"")&lt;&gt;"Por comprobar")),NOT(AND(LEN(TRIM('DATOS'!C289&amp;""))&gt;0,TRIM('DATOS'!C289&amp;"")&lt;&gt;"Pendiente",TRIM('DATOS'!C289&amp;"")&lt;&gt;"Por confirmar",TRIM('DATOS'!C289&amp;"")&lt;&gt;"No consta",TRIM('DATOS'!C289&amp;"")&lt;&gt;"Desconocido",TRIM('DATOS'!C289&amp;"")&lt;&gt;"Sin confirmar",TRIM('DATOS'!C289&amp;"")&lt;&gt;"Por decidir",TRIM('DATOS'!C289&amp;"")&lt;&gt;"Por comprobar")),NOT(AND(LEN(TRIM('DATOS'!D289&amp;""))&gt;0,TRIM('DATOS'!D289&amp;"")&lt;&gt;"Pendiente",TRIM('DATOS'!D289&amp;"")&lt;&gt;"Por confirmar",TRIM('DATOS'!D289&amp;"")&lt;&gt;"No consta",TRIM('DATOS'!D289&amp;"")&lt;&gt;"Desconocido",TRIM('DATOS'!D289&amp;"")&lt;&gt;"Sin confirmar",TRIM('DATOS'!D289&amp;"")&lt;&gt;"Por decidir",TRIM('DATOS'!D289&amp;"")&lt;&gt;"Por comprobar")),NOT(AND(LEN(TRIM('DATOS'!E289&amp;""))&gt;0,TRIM('DATOS'!E289&amp;"")&lt;&gt;"Pendiente",TRIM('DATOS'!E289&amp;"")&lt;&gt;"Por confirmar",TRIM('DATOS'!E289&amp;"")&lt;&gt;"No consta",TRIM('DATOS'!E289&amp;"")&lt;&gt;"Desconocido",TRIM('DATOS'!E289&amp;"")&lt;&gt;"Sin confirmar",TRIM('DATOS'!E289&amp;"")&lt;&gt;"Por decidir",TRIM('DATOS'!E289&amp;"")&lt;&gt;"Por comprobar")),NOT(AND(LEN(TRIM('DATOS'!F289&amp;""))&gt;0,TRIM('DATOS'!F289&amp;"")&lt;&gt;"Pendiente",TRIM('DATOS'!F289&amp;"")&lt;&gt;"Por confirmar",TRIM('DATOS'!F289&amp;"")&lt;&gt;"No consta",TRIM('DATOS'!F289&amp;"")&lt;&gt;"Desconocido",TRIM('DATOS'!F289&amp;"")&lt;&gt;"Sin confirmar",TRIM('DATOS'!F289&amp;"")&lt;&gt;"Por decidir",TRIM('DATOS'!F289&amp;"")&lt;&gt;"Por comprobar")),NOT(AND(LEN(TRIM('DATOS'!N289&amp;""))&gt;0,TRIM('DATOS'!N289&amp;"")&lt;&gt;"Pendiente",TRIM('DATOS'!N289&amp;"")&lt;&gt;"Por confirmar",TRIM('DATOS'!N289&amp;"")&lt;&gt;"No consta",TRIM('DATOS'!N289&amp;"")&lt;&gt;"Desconocido",TRIM('DATOS'!N289&amp;"")&lt;&gt;"Sin confirmar",TRIM('DATOS'!N289&amp;"")&lt;&gt;"Por decidir",TRIM('DATOS'!N289&amp;"")&lt;&gt;"Por comprobar")),NOT(Y289=1),W289&lt;&gt;1,X289&gt;1,NOT(OR(LEN(TRIM('DATOS'!K289&amp;""))=0,'DATOS'!K289="Sin valorar",'DATOS'!K289="Sin coste documentado",'DATOS'!K289="Incluido en otra partida",'DATOS'!K289="Por confirmar")),NOT(OR(LEN(TRIM('DATOS'!M289&amp;""))=0,'DATOS'!M289="Sí",'DATOS'!M289="No",'DATOS'!M289="Por confirmar")),NOT(OR(LEN(TRIM('DATOS'!O289&amp;""))=0,'DATOS'!O289="Comparamos",'DATOS'!O289="No existe",'DATOS'!O289="Por confirmar"))),2,IF(AND(OR('DATOS'!G289&lt;0,'DATOS'!H289&lt;0,'DATOS'!J289&lt;0),NOT(AND(LEN(TRIM('DATOS'!L289&amp;""))&gt;0,TRIM('DATOS'!L289&amp;"")&lt;&gt;"Pendiente",TRIM('DATOS'!L289&amp;"")&lt;&gt;"Por confirmar",TRIM('DATOS'!L289&amp;"")&lt;&gt;"No consta",TRIM('DATOS'!L289&amp;"")&lt;&gt;"Desconocido",TRIM('DATOS'!L289&amp;"")&lt;&gt;"Sin confirmar",TRIM('DATOS'!L289&amp;"")&lt;&gt;"Por decidir",TRIM('DATOS'!L289&amp;"")&lt;&gt;"Por comprobar"))),1,0))),2)</f>
      </c>
      <c r="P289" s="29">
        <f>IFERROR(IF(N289=0,"",IF(NOT(Y289=1),1,IF('REFERENCIAS'!$Q$8&lt;&gt;1,2,IF(ABS('DATOS'!J289-ROUND('DATOS'!G289*'DATOS'!H289,'REFERENCIAS'!$K$8))&gt;0.00000001,2,IF('DATOS'!O289="No existe",IF(LEN(TRIM('DATOS'!I289&amp;""))=0,0,2),IF('DATOS'!O289="Comparamos",IF(LEN(TRIM('DATOS'!I289&amp;""))=0,1,IF(ISNUMBER('DATOS'!I289),IF(ABS('DATOS'!H289-'DATOS'!I289)&gt;0.00000001,2,0),2)),1)))))),2)</f>
      </c>
      <c r="Q289" s="29">
        <f>IFERROR(IF(N289=0,"",IF(NOT(Y289=1),1,IF('DATOS'!K289="Sin valorar",2,IF('DATOS'!G289=0,1,IF(OR('DATOS'!H289=0,'DATOS'!J289=0),IF(AND(OR('DATOS'!K289="Sin coste documentado",'DATOS'!K289="Incluido en otra partida"),AND(LEN(TRIM('DATOS'!L289&amp;""))&gt;0,TRIM('DATOS'!L289&amp;"")&lt;&gt;"Pendiente",TRIM('DATOS'!L289&amp;"")&lt;&gt;"Por confirmar",TRIM('DATOS'!L289&amp;"")&lt;&gt;"No consta",TRIM('DATOS'!L289&amp;"")&lt;&gt;"Desconocido",TRIM('DATOS'!L289&amp;"")&lt;&gt;"Sin confirmar",TRIM('DATOS'!L289&amp;"")&lt;&gt;"Por decidir",TRIM('DATOS'!L289&amp;"")&lt;&gt;"Por comprobar")),0,1),0))))),2)</f>
      </c>
      <c r="R289" s="29">
        <f>IFERROR(IF(N289=0,"",IF(OR(NOT(AND(LEN(TRIM('DATOS'!D289&amp;""))&gt;0,TRIM('DATOS'!D289&amp;"")&lt;&gt;"Pendiente",TRIM('DATOS'!D289&amp;"")&lt;&gt;"Por confirmar",TRIM('DATOS'!D289&amp;"")&lt;&gt;"No consta",TRIM('DATOS'!D289&amp;"")&lt;&gt;"Desconocido",TRIM('DATOS'!D289&amp;"")&lt;&gt;"Sin confirmar",TRIM('DATOS'!D289&amp;"")&lt;&gt;"Por decidir",TRIM('DATOS'!D289&amp;"")&lt;&gt;"Por comprobar")),NOT(AND(LEN(TRIM('DATOS'!E289&amp;""))&gt;0,TRIM('DATOS'!E289&amp;"")&lt;&gt;"Pendiente",TRIM('DATOS'!E289&amp;"")&lt;&gt;"Por confirmar",TRIM('DATOS'!E289&amp;"")&lt;&gt;"No consta",TRIM('DATOS'!E289&amp;"")&lt;&gt;"Desconocido",TRIM('DATOS'!E289&amp;"")&lt;&gt;"Sin confirmar",TRIM('DATOS'!E289&amp;"")&lt;&gt;"Por decidir",TRIM('DATOS'!E289&amp;"")&lt;&gt;"Por comprobar"))),2,IF('DATOS'!M289="No",2,IF('DATOS'!M289="Sí",0,IF(OR('DATOS'!D289&lt;&gt;'DATOS'!E289,LEN('DATOS'!E289)&gt;300,RIGHT(TRIM('DATOS'!E289),3)="...",RIGHT(TRIM('DATOS'!E289),1)="…"),1,0))))),2)</f>
      </c>
      <c r="S289" s="29">
        <f>IFERROR(IF(N289=0,"",IF('REFERENCIAS'!$Q$8&lt;&gt;1,2,IF(NOT(Y289=1),1,IF(OR(ABS('DATOS'!G289-ROUND('DATOS'!G289,'REFERENCIAS'!$E$8))&gt;0.00000001,ABS('DATOS'!H289-ROUND('DATOS'!H289,'REFERENCIAS'!$H$8))&gt;0.00000001,ABS('DATOS'!J289-ROUND('DATOS'!J289,'REFERENCIAS'!$K$8))&gt;0.00000001,IF(ISNUMBER('DATOS'!I289),ABS('DATOS'!I289-ROUND('DATOS'!I289,'REFERENCIAS'!$H$8))&gt;0.00000001,FALSE)),1,0)))),2)</f>
      </c>
      <c r="T289" s="29">
        <f>IFERROR(IF(N289=0,"",IF(NOT(AND(LEN(TRIM('DATOS'!F289&amp;""))&gt;0,TRIM('DATOS'!F289&amp;"")&lt;&gt;"Pendiente",TRIM('DATOS'!F289&amp;"")&lt;&gt;"Por confirmar",TRIM('DATOS'!F289&amp;"")&lt;&gt;"No consta",TRIM('DATOS'!F289&amp;"")&lt;&gt;"Desconocido",TRIM('DATOS'!F289&amp;"")&lt;&gt;"Sin confirmar",TRIM('DATOS'!F289&amp;"")&lt;&gt;"Por decidir",TRIM('DATOS'!F289&amp;"")&lt;&gt;"Por comprobar")),2,IF(COUNTIFS('REFERENCIAS'!$T$15:$T$34,"ID:"&amp;SUBSTITUTE(SUBSTITUTE(SUBSTITUTE(SUBSTITUTE(UPPER(TRIM('DATOS'!F289&amp;"")),"!","!E"),"*","!A"),"?","!B"),"~","!C"),'REFERENCIAS'!$H$15:$H$34,"&lt;&gt;")&gt;0,0,1))),2)</f>
      </c>
      <c r="U289" s="29" t="str">
        <f>'DATOS'!R289</f>
        <v>ID:</v>
      </c>
      <c r="V289" s="29" t="str">
        <f>'DATOS'!S289</f>
        <v>ID:</v>
      </c>
      <c r="W289" s="29" t="n">
        <f>IF(N289=0,0,COUNTIFS('REFERENCIAS'!$R$15:$R$64,U289))</f>
        <v>0</v>
      </c>
      <c r="X289" s="29" t="n">
        <f>IF(N289=0,0,COUNTIFS('DATOS'!$R$10:$R$509,U289,'DATOS'!$S$10:$S$509,V289))</f>
        <v>0</v>
      </c>
      <c r="Y289" s="29" t="n">
        <f>IF(AND(ISNUMBER('DATOS'!G289),ISNUMBER('DATOS'!H289),ISNUMBER('DATOS'!J289)),1,0)</f>
        <v>0</v>
      </c>
    </row>
    <row r="290" ht="64" customHeight="1">
      <c r="B290" s="26">
        <f>IF(N290=1,281,"")</f>
      </c>
      <c r="C290" s="26">
        <f>IF(AND(N290=1,LEN(TRIM('DATOS'!B290&amp;""))&gt;0),'DATOS'!B290,"")</f>
      </c>
      <c r="D290" s="26">
        <f>IF(AND(N290=1,LEN(TRIM('DATOS'!C290&amp;""))&gt;0),'DATOS'!C290,"")</f>
      </c>
      <c r="E290" s="26">
        <f>IF(NOT(ISNUMBER(P290)),"",IF(P290=2,"ROJO",IF(P290=1,"ÁMBAR","VERDE")))</f>
      </c>
      <c r="F290" s="26">
        <f>IF(NOT(ISNUMBER(Q290)),"",IF(Q290=2,"ROJO",IF(Q290=1,"ÁMBAR","VERDE")))</f>
      </c>
      <c r="G290" s="26">
        <f>IF(NOT(ISNUMBER(R290)),"",IF(R290=2,"ROJO",IF(R290=1,"ÁMBAR","VERDE")))</f>
      </c>
      <c r="H290" s="26">
        <f>IF(NOT(ISNUMBER(S290)),"",IF(S290=2,"ROJO",IF(S290=1,"ÁMBAR","VERDE")))</f>
      </c>
      <c r="I290" s="26">
        <f>IF(NOT(ISNUMBER(T290)),"",IF(T290=2,"ROJO",IF(T290=1,"ÁMBAR","VERDE")))</f>
      </c>
      <c r="J290" s="26">
        <f>IF(NOT(ISNUMBER(O290)),"",IF(O290=2,"ROJO",IF(O290=1,"ÁMBAR","VERDE")))</f>
      </c>
      <c r="K290" s="26">
        <f>IFERROR(IF(AND(N290=1,LEN(TRIM('DATOS'!N290&amp;""))&gt;0),'DATOS'!N290,""),"Hay una entrada con error. Corregimos el dato antes de cerrar la comprobación.")</f>
      </c>
      <c r="L290" s="26">
        <f>IFERROR(IF(N290=0,"",IF(O290&gt;0,"Completamos datos, claves o motivo. ","")&amp;IF(P290&gt;0,"Cotejamos precios e importe. ","")&amp;IF(Q290&gt;0,"Aclaramos el cero. ","")&amp;IF(R290&gt;0,"Comprobamos el texto. ","")&amp;IF(S290&gt;0,"Revisamos decimales visibles. ","")&amp;IF(T290&gt;0,"Confirmamos la unidad.","")),"Hay una entrada con error. Corregimos el dato antes de cerrar la comprobación.")</f>
      </c>
      <c r="N290" s="29" t="n">
        <f>IF(COUNTA('DATOS'!B290:O290)&gt;0,1,0)</f>
        <v>0</v>
      </c>
      <c r="O290" s="29">
        <f>IFERROR(IF(N290=0,"",IF(OR(NOT(AND(LEN(TRIM('DATOS'!B290&amp;""))&gt;0,TRIM('DATOS'!B290&amp;"")&lt;&gt;"Pendiente",TRIM('DATOS'!B290&amp;"")&lt;&gt;"Por confirmar",TRIM('DATOS'!B290&amp;"")&lt;&gt;"No consta",TRIM('DATOS'!B290&amp;"")&lt;&gt;"Desconocido",TRIM('DATOS'!B290&amp;"")&lt;&gt;"Sin confirmar",TRIM('DATOS'!B290&amp;"")&lt;&gt;"Por decidir",TRIM('DATOS'!B290&amp;"")&lt;&gt;"Por comprobar")),NOT(AND(LEN(TRIM('DATOS'!C290&amp;""))&gt;0,TRIM('DATOS'!C290&amp;"")&lt;&gt;"Pendiente",TRIM('DATOS'!C290&amp;"")&lt;&gt;"Por confirmar",TRIM('DATOS'!C290&amp;"")&lt;&gt;"No consta",TRIM('DATOS'!C290&amp;"")&lt;&gt;"Desconocido",TRIM('DATOS'!C290&amp;"")&lt;&gt;"Sin confirmar",TRIM('DATOS'!C290&amp;"")&lt;&gt;"Por decidir",TRIM('DATOS'!C290&amp;"")&lt;&gt;"Por comprobar")),NOT(AND(LEN(TRIM('DATOS'!D290&amp;""))&gt;0,TRIM('DATOS'!D290&amp;"")&lt;&gt;"Pendiente",TRIM('DATOS'!D290&amp;"")&lt;&gt;"Por confirmar",TRIM('DATOS'!D290&amp;"")&lt;&gt;"No consta",TRIM('DATOS'!D290&amp;"")&lt;&gt;"Desconocido",TRIM('DATOS'!D290&amp;"")&lt;&gt;"Sin confirmar",TRIM('DATOS'!D290&amp;"")&lt;&gt;"Por decidir",TRIM('DATOS'!D290&amp;"")&lt;&gt;"Por comprobar")),NOT(AND(LEN(TRIM('DATOS'!E290&amp;""))&gt;0,TRIM('DATOS'!E290&amp;"")&lt;&gt;"Pendiente",TRIM('DATOS'!E290&amp;"")&lt;&gt;"Por confirmar",TRIM('DATOS'!E290&amp;"")&lt;&gt;"No consta",TRIM('DATOS'!E290&amp;"")&lt;&gt;"Desconocido",TRIM('DATOS'!E290&amp;"")&lt;&gt;"Sin confirmar",TRIM('DATOS'!E290&amp;"")&lt;&gt;"Por decidir",TRIM('DATOS'!E290&amp;"")&lt;&gt;"Por comprobar")),NOT(AND(LEN(TRIM('DATOS'!F290&amp;""))&gt;0,TRIM('DATOS'!F290&amp;"")&lt;&gt;"Pendiente",TRIM('DATOS'!F290&amp;"")&lt;&gt;"Por confirmar",TRIM('DATOS'!F290&amp;"")&lt;&gt;"No consta",TRIM('DATOS'!F290&amp;"")&lt;&gt;"Desconocido",TRIM('DATOS'!F290&amp;"")&lt;&gt;"Sin confirmar",TRIM('DATOS'!F290&amp;"")&lt;&gt;"Por decidir",TRIM('DATOS'!F290&amp;"")&lt;&gt;"Por comprobar")),NOT(AND(LEN(TRIM('DATOS'!N290&amp;""))&gt;0,TRIM('DATOS'!N290&amp;"")&lt;&gt;"Pendiente",TRIM('DATOS'!N290&amp;"")&lt;&gt;"Por confirmar",TRIM('DATOS'!N290&amp;"")&lt;&gt;"No consta",TRIM('DATOS'!N290&amp;"")&lt;&gt;"Desconocido",TRIM('DATOS'!N290&amp;"")&lt;&gt;"Sin confirmar",TRIM('DATOS'!N290&amp;"")&lt;&gt;"Por decidir",TRIM('DATOS'!N290&amp;"")&lt;&gt;"Por comprobar")),NOT(Y290=1),W290&lt;&gt;1,X290&gt;1,NOT(OR(LEN(TRIM('DATOS'!K290&amp;""))=0,'DATOS'!K290="Sin valorar",'DATOS'!K290="Sin coste documentado",'DATOS'!K290="Incluido en otra partida",'DATOS'!K290="Por confirmar")),NOT(OR(LEN(TRIM('DATOS'!M290&amp;""))=0,'DATOS'!M290="Sí",'DATOS'!M290="No",'DATOS'!M290="Por confirmar")),NOT(OR(LEN(TRIM('DATOS'!O290&amp;""))=0,'DATOS'!O290="Comparamos",'DATOS'!O290="No existe",'DATOS'!O290="Por confirmar"))),2,IF(AND(OR('DATOS'!G290&lt;0,'DATOS'!H290&lt;0,'DATOS'!J290&lt;0),NOT(AND(LEN(TRIM('DATOS'!L290&amp;""))&gt;0,TRIM('DATOS'!L290&amp;"")&lt;&gt;"Pendiente",TRIM('DATOS'!L290&amp;"")&lt;&gt;"Por confirmar",TRIM('DATOS'!L290&amp;"")&lt;&gt;"No consta",TRIM('DATOS'!L290&amp;"")&lt;&gt;"Desconocido",TRIM('DATOS'!L290&amp;"")&lt;&gt;"Sin confirmar",TRIM('DATOS'!L290&amp;"")&lt;&gt;"Por decidir",TRIM('DATOS'!L290&amp;"")&lt;&gt;"Por comprobar"))),1,0))),2)</f>
      </c>
      <c r="P290" s="29">
        <f>IFERROR(IF(N290=0,"",IF(NOT(Y290=1),1,IF('REFERENCIAS'!$Q$8&lt;&gt;1,2,IF(ABS('DATOS'!J290-ROUND('DATOS'!G290*'DATOS'!H290,'REFERENCIAS'!$K$8))&gt;0.00000001,2,IF('DATOS'!O290="No existe",IF(LEN(TRIM('DATOS'!I290&amp;""))=0,0,2),IF('DATOS'!O290="Comparamos",IF(LEN(TRIM('DATOS'!I290&amp;""))=0,1,IF(ISNUMBER('DATOS'!I290),IF(ABS('DATOS'!H290-'DATOS'!I290)&gt;0.00000001,2,0),2)),1)))))),2)</f>
      </c>
      <c r="Q290" s="29">
        <f>IFERROR(IF(N290=0,"",IF(NOT(Y290=1),1,IF('DATOS'!K290="Sin valorar",2,IF('DATOS'!G290=0,1,IF(OR('DATOS'!H290=0,'DATOS'!J290=0),IF(AND(OR('DATOS'!K290="Sin coste documentado",'DATOS'!K290="Incluido en otra partida"),AND(LEN(TRIM('DATOS'!L290&amp;""))&gt;0,TRIM('DATOS'!L290&amp;"")&lt;&gt;"Pendiente",TRIM('DATOS'!L290&amp;"")&lt;&gt;"Por confirmar",TRIM('DATOS'!L290&amp;"")&lt;&gt;"No consta",TRIM('DATOS'!L290&amp;"")&lt;&gt;"Desconocido",TRIM('DATOS'!L290&amp;"")&lt;&gt;"Sin confirmar",TRIM('DATOS'!L290&amp;"")&lt;&gt;"Por decidir",TRIM('DATOS'!L290&amp;"")&lt;&gt;"Por comprobar")),0,1),0))))),2)</f>
      </c>
      <c r="R290" s="29">
        <f>IFERROR(IF(N290=0,"",IF(OR(NOT(AND(LEN(TRIM('DATOS'!D290&amp;""))&gt;0,TRIM('DATOS'!D290&amp;"")&lt;&gt;"Pendiente",TRIM('DATOS'!D290&amp;"")&lt;&gt;"Por confirmar",TRIM('DATOS'!D290&amp;"")&lt;&gt;"No consta",TRIM('DATOS'!D290&amp;"")&lt;&gt;"Desconocido",TRIM('DATOS'!D290&amp;"")&lt;&gt;"Sin confirmar",TRIM('DATOS'!D290&amp;"")&lt;&gt;"Por decidir",TRIM('DATOS'!D290&amp;"")&lt;&gt;"Por comprobar")),NOT(AND(LEN(TRIM('DATOS'!E290&amp;""))&gt;0,TRIM('DATOS'!E290&amp;"")&lt;&gt;"Pendiente",TRIM('DATOS'!E290&amp;"")&lt;&gt;"Por confirmar",TRIM('DATOS'!E290&amp;"")&lt;&gt;"No consta",TRIM('DATOS'!E290&amp;"")&lt;&gt;"Desconocido",TRIM('DATOS'!E290&amp;"")&lt;&gt;"Sin confirmar",TRIM('DATOS'!E290&amp;"")&lt;&gt;"Por decidir",TRIM('DATOS'!E290&amp;"")&lt;&gt;"Por comprobar"))),2,IF('DATOS'!M290="No",2,IF('DATOS'!M290="Sí",0,IF(OR('DATOS'!D290&lt;&gt;'DATOS'!E290,LEN('DATOS'!E290)&gt;300,RIGHT(TRIM('DATOS'!E290),3)="...",RIGHT(TRIM('DATOS'!E290),1)="…"),1,0))))),2)</f>
      </c>
      <c r="S290" s="29">
        <f>IFERROR(IF(N290=0,"",IF('REFERENCIAS'!$Q$8&lt;&gt;1,2,IF(NOT(Y290=1),1,IF(OR(ABS('DATOS'!G290-ROUND('DATOS'!G290,'REFERENCIAS'!$E$8))&gt;0.00000001,ABS('DATOS'!H290-ROUND('DATOS'!H290,'REFERENCIAS'!$H$8))&gt;0.00000001,ABS('DATOS'!J290-ROUND('DATOS'!J290,'REFERENCIAS'!$K$8))&gt;0.00000001,IF(ISNUMBER('DATOS'!I290),ABS('DATOS'!I290-ROUND('DATOS'!I290,'REFERENCIAS'!$H$8))&gt;0.00000001,FALSE)),1,0)))),2)</f>
      </c>
      <c r="T290" s="29">
        <f>IFERROR(IF(N290=0,"",IF(NOT(AND(LEN(TRIM('DATOS'!F290&amp;""))&gt;0,TRIM('DATOS'!F290&amp;"")&lt;&gt;"Pendiente",TRIM('DATOS'!F290&amp;"")&lt;&gt;"Por confirmar",TRIM('DATOS'!F290&amp;"")&lt;&gt;"No consta",TRIM('DATOS'!F290&amp;"")&lt;&gt;"Desconocido",TRIM('DATOS'!F290&amp;"")&lt;&gt;"Sin confirmar",TRIM('DATOS'!F290&amp;"")&lt;&gt;"Por decidir",TRIM('DATOS'!F290&amp;"")&lt;&gt;"Por comprobar")),2,IF(COUNTIFS('REFERENCIAS'!$T$15:$T$34,"ID:"&amp;SUBSTITUTE(SUBSTITUTE(SUBSTITUTE(SUBSTITUTE(UPPER(TRIM('DATOS'!F290&amp;"")),"!","!E"),"*","!A"),"?","!B"),"~","!C"),'REFERENCIAS'!$H$15:$H$34,"&lt;&gt;")&gt;0,0,1))),2)</f>
      </c>
      <c r="U290" s="29" t="str">
        <f>'DATOS'!R290</f>
        <v>ID:</v>
      </c>
      <c r="V290" s="29" t="str">
        <f>'DATOS'!S290</f>
        <v>ID:</v>
      </c>
      <c r="W290" s="29" t="n">
        <f>IF(N290=0,0,COUNTIFS('REFERENCIAS'!$R$15:$R$64,U290))</f>
        <v>0</v>
      </c>
      <c r="X290" s="29" t="n">
        <f>IF(N290=0,0,COUNTIFS('DATOS'!$R$10:$R$509,U290,'DATOS'!$S$10:$S$509,V290))</f>
        <v>0</v>
      </c>
      <c r="Y290" s="29" t="n">
        <f>IF(AND(ISNUMBER('DATOS'!G290),ISNUMBER('DATOS'!H290),ISNUMBER('DATOS'!J290)),1,0)</f>
        <v>0</v>
      </c>
    </row>
    <row r="291" ht="64" customHeight="1">
      <c r="B291" s="26">
        <f>IF(N291=1,282,"")</f>
      </c>
      <c r="C291" s="26">
        <f>IF(AND(N291=1,LEN(TRIM('DATOS'!B291&amp;""))&gt;0),'DATOS'!B291,"")</f>
      </c>
      <c r="D291" s="26">
        <f>IF(AND(N291=1,LEN(TRIM('DATOS'!C291&amp;""))&gt;0),'DATOS'!C291,"")</f>
      </c>
      <c r="E291" s="26">
        <f>IF(NOT(ISNUMBER(P291)),"",IF(P291=2,"ROJO",IF(P291=1,"ÁMBAR","VERDE")))</f>
      </c>
      <c r="F291" s="26">
        <f>IF(NOT(ISNUMBER(Q291)),"",IF(Q291=2,"ROJO",IF(Q291=1,"ÁMBAR","VERDE")))</f>
      </c>
      <c r="G291" s="26">
        <f>IF(NOT(ISNUMBER(R291)),"",IF(R291=2,"ROJO",IF(R291=1,"ÁMBAR","VERDE")))</f>
      </c>
      <c r="H291" s="26">
        <f>IF(NOT(ISNUMBER(S291)),"",IF(S291=2,"ROJO",IF(S291=1,"ÁMBAR","VERDE")))</f>
      </c>
      <c r="I291" s="26">
        <f>IF(NOT(ISNUMBER(T291)),"",IF(T291=2,"ROJO",IF(T291=1,"ÁMBAR","VERDE")))</f>
      </c>
      <c r="J291" s="26">
        <f>IF(NOT(ISNUMBER(O291)),"",IF(O291=2,"ROJO",IF(O291=1,"ÁMBAR","VERDE")))</f>
      </c>
      <c r="K291" s="26">
        <f>IFERROR(IF(AND(N291=1,LEN(TRIM('DATOS'!N291&amp;""))&gt;0),'DATOS'!N291,""),"Hay una entrada con error. Corregimos el dato antes de cerrar la comprobación.")</f>
      </c>
      <c r="L291" s="26">
        <f>IFERROR(IF(N291=0,"",IF(O291&gt;0,"Completamos datos, claves o motivo. ","")&amp;IF(P291&gt;0,"Cotejamos precios e importe. ","")&amp;IF(Q291&gt;0,"Aclaramos el cero. ","")&amp;IF(R291&gt;0,"Comprobamos el texto. ","")&amp;IF(S291&gt;0,"Revisamos decimales visibles. ","")&amp;IF(T291&gt;0,"Confirmamos la unidad.","")),"Hay una entrada con error. Corregimos el dato antes de cerrar la comprobación.")</f>
      </c>
      <c r="N291" s="29" t="n">
        <f>IF(COUNTA('DATOS'!B291:O291)&gt;0,1,0)</f>
        <v>0</v>
      </c>
      <c r="O291" s="29">
        <f>IFERROR(IF(N291=0,"",IF(OR(NOT(AND(LEN(TRIM('DATOS'!B291&amp;""))&gt;0,TRIM('DATOS'!B291&amp;"")&lt;&gt;"Pendiente",TRIM('DATOS'!B291&amp;"")&lt;&gt;"Por confirmar",TRIM('DATOS'!B291&amp;"")&lt;&gt;"No consta",TRIM('DATOS'!B291&amp;"")&lt;&gt;"Desconocido",TRIM('DATOS'!B291&amp;"")&lt;&gt;"Sin confirmar",TRIM('DATOS'!B291&amp;"")&lt;&gt;"Por decidir",TRIM('DATOS'!B291&amp;"")&lt;&gt;"Por comprobar")),NOT(AND(LEN(TRIM('DATOS'!C291&amp;""))&gt;0,TRIM('DATOS'!C291&amp;"")&lt;&gt;"Pendiente",TRIM('DATOS'!C291&amp;"")&lt;&gt;"Por confirmar",TRIM('DATOS'!C291&amp;"")&lt;&gt;"No consta",TRIM('DATOS'!C291&amp;"")&lt;&gt;"Desconocido",TRIM('DATOS'!C291&amp;"")&lt;&gt;"Sin confirmar",TRIM('DATOS'!C291&amp;"")&lt;&gt;"Por decidir",TRIM('DATOS'!C291&amp;"")&lt;&gt;"Por comprobar")),NOT(AND(LEN(TRIM('DATOS'!D291&amp;""))&gt;0,TRIM('DATOS'!D291&amp;"")&lt;&gt;"Pendiente",TRIM('DATOS'!D291&amp;"")&lt;&gt;"Por confirmar",TRIM('DATOS'!D291&amp;"")&lt;&gt;"No consta",TRIM('DATOS'!D291&amp;"")&lt;&gt;"Desconocido",TRIM('DATOS'!D291&amp;"")&lt;&gt;"Sin confirmar",TRIM('DATOS'!D291&amp;"")&lt;&gt;"Por decidir",TRIM('DATOS'!D291&amp;"")&lt;&gt;"Por comprobar")),NOT(AND(LEN(TRIM('DATOS'!E291&amp;""))&gt;0,TRIM('DATOS'!E291&amp;"")&lt;&gt;"Pendiente",TRIM('DATOS'!E291&amp;"")&lt;&gt;"Por confirmar",TRIM('DATOS'!E291&amp;"")&lt;&gt;"No consta",TRIM('DATOS'!E291&amp;"")&lt;&gt;"Desconocido",TRIM('DATOS'!E291&amp;"")&lt;&gt;"Sin confirmar",TRIM('DATOS'!E291&amp;"")&lt;&gt;"Por decidir",TRIM('DATOS'!E291&amp;"")&lt;&gt;"Por comprobar")),NOT(AND(LEN(TRIM('DATOS'!F291&amp;""))&gt;0,TRIM('DATOS'!F291&amp;"")&lt;&gt;"Pendiente",TRIM('DATOS'!F291&amp;"")&lt;&gt;"Por confirmar",TRIM('DATOS'!F291&amp;"")&lt;&gt;"No consta",TRIM('DATOS'!F291&amp;"")&lt;&gt;"Desconocido",TRIM('DATOS'!F291&amp;"")&lt;&gt;"Sin confirmar",TRIM('DATOS'!F291&amp;"")&lt;&gt;"Por decidir",TRIM('DATOS'!F291&amp;"")&lt;&gt;"Por comprobar")),NOT(AND(LEN(TRIM('DATOS'!N291&amp;""))&gt;0,TRIM('DATOS'!N291&amp;"")&lt;&gt;"Pendiente",TRIM('DATOS'!N291&amp;"")&lt;&gt;"Por confirmar",TRIM('DATOS'!N291&amp;"")&lt;&gt;"No consta",TRIM('DATOS'!N291&amp;"")&lt;&gt;"Desconocido",TRIM('DATOS'!N291&amp;"")&lt;&gt;"Sin confirmar",TRIM('DATOS'!N291&amp;"")&lt;&gt;"Por decidir",TRIM('DATOS'!N291&amp;"")&lt;&gt;"Por comprobar")),NOT(Y291=1),W291&lt;&gt;1,X291&gt;1,NOT(OR(LEN(TRIM('DATOS'!K291&amp;""))=0,'DATOS'!K291="Sin valorar",'DATOS'!K291="Sin coste documentado",'DATOS'!K291="Incluido en otra partida",'DATOS'!K291="Por confirmar")),NOT(OR(LEN(TRIM('DATOS'!M291&amp;""))=0,'DATOS'!M291="Sí",'DATOS'!M291="No",'DATOS'!M291="Por confirmar")),NOT(OR(LEN(TRIM('DATOS'!O291&amp;""))=0,'DATOS'!O291="Comparamos",'DATOS'!O291="No existe",'DATOS'!O291="Por confirmar"))),2,IF(AND(OR('DATOS'!G291&lt;0,'DATOS'!H291&lt;0,'DATOS'!J291&lt;0),NOT(AND(LEN(TRIM('DATOS'!L291&amp;""))&gt;0,TRIM('DATOS'!L291&amp;"")&lt;&gt;"Pendiente",TRIM('DATOS'!L291&amp;"")&lt;&gt;"Por confirmar",TRIM('DATOS'!L291&amp;"")&lt;&gt;"No consta",TRIM('DATOS'!L291&amp;"")&lt;&gt;"Desconocido",TRIM('DATOS'!L291&amp;"")&lt;&gt;"Sin confirmar",TRIM('DATOS'!L291&amp;"")&lt;&gt;"Por decidir",TRIM('DATOS'!L291&amp;"")&lt;&gt;"Por comprobar"))),1,0))),2)</f>
      </c>
      <c r="P291" s="29">
        <f>IFERROR(IF(N291=0,"",IF(NOT(Y291=1),1,IF('REFERENCIAS'!$Q$8&lt;&gt;1,2,IF(ABS('DATOS'!J291-ROUND('DATOS'!G291*'DATOS'!H291,'REFERENCIAS'!$K$8))&gt;0.00000001,2,IF('DATOS'!O291="No existe",IF(LEN(TRIM('DATOS'!I291&amp;""))=0,0,2),IF('DATOS'!O291="Comparamos",IF(LEN(TRIM('DATOS'!I291&amp;""))=0,1,IF(ISNUMBER('DATOS'!I291),IF(ABS('DATOS'!H291-'DATOS'!I291)&gt;0.00000001,2,0),2)),1)))))),2)</f>
      </c>
      <c r="Q291" s="29">
        <f>IFERROR(IF(N291=0,"",IF(NOT(Y291=1),1,IF('DATOS'!K291="Sin valorar",2,IF('DATOS'!G291=0,1,IF(OR('DATOS'!H291=0,'DATOS'!J291=0),IF(AND(OR('DATOS'!K291="Sin coste documentado",'DATOS'!K291="Incluido en otra partida"),AND(LEN(TRIM('DATOS'!L291&amp;""))&gt;0,TRIM('DATOS'!L291&amp;"")&lt;&gt;"Pendiente",TRIM('DATOS'!L291&amp;"")&lt;&gt;"Por confirmar",TRIM('DATOS'!L291&amp;"")&lt;&gt;"No consta",TRIM('DATOS'!L291&amp;"")&lt;&gt;"Desconocido",TRIM('DATOS'!L291&amp;"")&lt;&gt;"Sin confirmar",TRIM('DATOS'!L291&amp;"")&lt;&gt;"Por decidir",TRIM('DATOS'!L291&amp;"")&lt;&gt;"Por comprobar")),0,1),0))))),2)</f>
      </c>
      <c r="R291" s="29">
        <f>IFERROR(IF(N291=0,"",IF(OR(NOT(AND(LEN(TRIM('DATOS'!D291&amp;""))&gt;0,TRIM('DATOS'!D291&amp;"")&lt;&gt;"Pendiente",TRIM('DATOS'!D291&amp;"")&lt;&gt;"Por confirmar",TRIM('DATOS'!D291&amp;"")&lt;&gt;"No consta",TRIM('DATOS'!D291&amp;"")&lt;&gt;"Desconocido",TRIM('DATOS'!D291&amp;"")&lt;&gt;"Sin confirmar",TRIM('DATOS'!D291&amp;"")&lt;&gt;"Por decidir",TRIM('DATOS'!D291&amp;"")&lt;&gt;"Por comprobar")),NOT(AND(LEN(TRIM('DATOS'!E291&amp;""))&gt;0,TRIM('DATOS'!E291&amp;"")&lt;&gt;"Pendiente",TRIM('DATOS'!E291&amp;"")&lt;&gt;"Por confirmar",TRIM('DATOS'!E291&amp;"")&lt;&gt;"No consta",TRIM('DATOS'!E291&amp;"")&lt;&gt;"Desconocido",TRIM('DATOS'!E291&amp;"")&lt;&gt;"Sin confirmar",TRIM('DATOS'!E291&amp;"")&lt;&gt;"Por decidir",TRIM('DATOS'!E291&amp;"")&lt;&gt;"Por comprobar"))),2,IF('DATOS'!M291="No",2,IF('DATOS'!M291="Sí",0,IF(OR('DATOS'!D291&lt;&gt;'DATOS'!E291,LEN('DATOS'!E291)&gt;300,RIGHT(TRIM('DATOS'!E291),3)="...",RIGHT(TRIM('DATOS'!E291),1)="…"),1,0))))),2)</f>
      </c>
      <c r="S291" s="29">
        <f>IFERROR(IF(N291=0,"",IF('REFERENCIAS'!$Q$8&lt;&gt;1,2,IF(NOT(Y291=1),1,IF(OR(ABS('DATOS'!G291-ROUND('DATOS'!G291,'REFERENCIAS'!$E$8))&gt;0.00000001,ABS('DATOS'!H291-ROUND('DATOS'!H291,'REFERENCIAS'!$H$8))&gt;0.00000001,ABS('DATOS'!J291-ROUND('DATOS'!J291,'REFERENCIAS'!$K$8))&gt;0.00000001,IF(ISNUMBER('DATOS'!I291),ABS('DATOS'!I291-ROUND('DATOS'!I291,'REFERENCIAS'!$H$8))&gt;0.00000001,FALSE)),1,0)))),2)</f>
      </c>
      <c r="T291" s="29">
        <f>IFERROR(IF(N291=0,"",IF(NOT(AND(LEN(TRIM('DATOS'!F291&amp;""))&gt;0,TRIM('DATOS'!F291&amp;"")&lt;&gt;"Pendiente",TRIM('DATOS'!F291&amp;"")&lt;&gt;"Por confirmar",TRIM('DATOS'!F291&amp;"")&lt;&gt;"No consta",TRIM('DATOS'!F291&amp;"")&lt;&gt;"Desconocido",TRIM('DATOS'!F291&amp;"")&lt;&gt;"Sin confirmar",TRIM('DATOS'!F291&amp;"")&lt;&gt;"Por decidir",TRIM('DATOS'!F291&amp;"")&lt;&gt;"Por comprobar")),2,IF(COUNTIFS('REFERENCIAS'!$T$15:$T$34,"ID:"&amp;SUBSTITUTE(SUBSTITUTE(SUBSTITUTE(SUBSTITUTE(UPPER(TRIM('DATOS'!F291&amp;"")),"!","!E"),"*","!A"),"?","!B"),"~","!C"),'REFERENCIAS'!$H$15:$H$34,"&lt;&gt;")&gt;0,0,1))),2)</f>
      </c>
      <c r="U291" s="29" t="str">
        <f>'DATOS'!R291</f>
        <v>ID:</v>
      </c>
      <c r="V291" s="29" t="str">
        <f>'DATOS'!S291</f>
        <v>ID:</v>
      </c>
      <c r="W291" s="29" t="n">
        <f>IF(N291=0,0,COUNTIFS('REFERENCIAS'!$R$15:$R$64,U291))</f>
        <v>0</v>
      </c>
      <c r="X291" s="29" t="n">
        <f>IF(N291=0,0,COUNTIFS('DATOS'!$R$10:$R$509,U291,'DATOS'!$S$10:$S$509,V291))</f>
        <v>0</v>
      </c>
      <c r="Y291" s="29" t="n">
        <f>IF(AND(ISNUMBER('DATOS'!G291),ISNUMBER('DATOS'!H291),ISNUMBER('DATOS'!J291)),1,0)</f>
        <v>0</v>
      </c>
    </row>
    <row r="292" ht="64" customHeight="1">
      <c r="B292" s="26">
        <f>IF(N292=1,283,"")</f>
      </c>
      <c r="C292" s="26">
        <f>IF(AND(N292=1,LEN(TRIM('DATOS'!B292&amp;""))&gt;0),'DATOS'!B292,"")</f>
      </c>
      <c r="D292" s="26">
        <f>IF(AND(N292=1,LEN(TRIM('DATOS'!C292&amp;""))&gt;0),'DATOS'!C292,"")</f>
      </c>
      <c r="E292" s="26">
        <f>IF(NOT(ISNUMBER(P292)),"",IF(P292=2,"ROJO",IF(P292=1,"ÁMBAR","VERDE")))</f>
      </c>
      <c r="F292" s="26">
        <f>IF(NOT(ISNUMBER(Q292)),"",IF(Q292=2,"ROJO",IF(Q292=1,"ÁMBAR","VERDE")))</f>
      </c>
      <c r="G292" s="26">
        <f>IF(NOT(ISNUMBER(R292)),"",IF(R292=2,"ROJO",IF(R292=1,"ÁMBAR","VERDE")))</f>
      </c>
      <c r="H292" s="26">
        <f>IF(NOT(ISNUMBER(S292)),"",IF(S292=2,"ROJO",IF(S292=1,"ÁMBAR","VERDE")))</f>
      </c>
      <c r="I292" s="26">
        <f>IF(NOT(ISNUMBER(T292)),"",IF(T292=2,"ROJO",IF(T292=1,"ÁMBAR","VERDE")))</f>
      </c>
      <c r="J292" s="26">
        <f>IF(NOT(ISNUMBER(O292)),"",IF(O292=2,"ROJO",IF(O292=1,"ÁMBAR","VERDE")))</f>
      </c>
      <c r="K292" s="26">
        <f>IFERROR(IF(AND(N292=1,LEN(TRIM('DATOS'!N292&amp;""))&gt;0),'DATOS'!N292,""),"Hay una entrada con error. Corregimos el dato antes de cerrar la comprobación.")</f>
      </c>
      <c r="L292" s="26">
        <f>IFERROR(IF(N292=0,"",IF(O292&gt;0,"Completamos datos, claves o motivo. ","")&amp;IF(P292&gt;0,"Cotejamos precios e importe. ","")&amp;IF(Q292&gt;0,"Aclaramos el cero. ","")&amp;IF(R292&gt;0,"Comprobamos el texto. ","")&amp;IF(S292&gt;0,"Revisamos decimales visibles. ","")&amp;IF(T292&gt;0,"Confirmamos la unidad.","")),"Hay una entrada con error. Corregimos el dato antes de cerrar la comprobación.")</f>
      </c>
      <c r="N292" s="29" t="n">
        <f>IF(COUNTA('DATOS'!B292:O292)&gt;0,1,0)</f>
        <v>0</v>
      </c>
      <c r="O292" s="29">
        <f>IFERROR(IF(N292=0,"",IF(OR(NOT(AND(LEN(TRIM('DATOS'!B292&amp;""))&gt;0,TRIM('DATOS'!B292&amp;"")&lt;&gt;"Pendiente",TRIM('DATOS'!B292&amp;"")&lt;&gt;"Por confirmar",TRIM('DATOS'!B292&amp;"")&lt;&gt;"No consta",TRIM('DATOS'!B292&amp;"")&lt;&gt;"Desconocido",TRIM('DATOS'!B292&amp;"")&lt;&gt;"Sin confirmar",TRIM('DATOS'!B292&amp;"")&lt;&gt;"Por decidir",TRIM('DATOS'!B292&amp;"")&lt;&gt;"Por comprobar")),NOT(AND(LEN(TRIM('DATOS'!C292&amp;""))&gt;0,TRIM('DATOS'!C292&amp;"")&lt;&gt;"Pendiente",TRIM('DATOS'!C292&amp;"")&lt;&gt;"Por confirmar",TRIM('DATOS'!C292&amp;"")&lt;&gt;"No consta",TRIM('DATOS'!C292&amp;"")&lt;&gt;"Desconocido",TRIM('DATOS'!C292&amp;"")&lt;&gt;"Sin confirmar",TRIM('DATOS'!C292&amp;"")&lt;&gt;"Por decidir",TRIM('DATOS'!C292&amp;"")&lt;&gt;"Por comprobar")),NOT(AND(LEN(TRIM('DATOS'!D292&amp;""))&gt;0,TRIM('DATOS'!D292&amp;"")&lt;&gt;"Pendiente",TRIM('DATOS'!D292&amp;"")&lt;&gt;"Por confirmar",TRIM('DATOS'!D292&amp;"")&lt;&gt;"No consta",TRIM('DATOS'!D292&amp;"")&lt;&gt;"Desconocido",TRIM('DATOS'!D292&amp;"")&lt;&gt;"Sin confirmar",TRIM('DATOS'!D292&amp;"")&lt;&gt;"Por decidir",TRIM('DATOS'!D292&amp;"")&lt;&gt;"Por comprobar")),NOT(AND(LEN(TRIM('DATOS'!E292&amp;""))&gt;0,TRIM('DATOS'!E292&amp;"")&lt;&gt;"Pendiente",TRIM('DATOS'!E292&amp;"")&lt;&gt;"Por confirmar",TRIM('DATOS'!E292&amp;"")&lt;&gt;"No consta",TRIM('DATOS'!E292&amp;"")&lt;&gt;"Desconocido",TRIM('DATOS'!E292&amp;"")&lt;&gt;"Sin confirmar",TRIM('DATOS'!E292&amp;"")&lt;&gt;"Por decidir",TRIM('DATOS'!E292&amp;"")&lt;&gt;"Por comprobar")),NOT(AND(LEN(TRIM('DATOS'!F292&amp;""))&gt;0,TRIM('DATOS'!F292&amp;"")&lt;&gt;"Pendiente",TRIM('DATOS'!F292&amp;"")&lt;&gt;"Por confirmar",TRIM('DATOS'!F292&amp;"")&lt;&gt;"No consta",TRIM('DATOS'!F292&amp;"")&lt;&gt;"Desconocido",TRIM('DATOS'!F292&amp;"")&lt;&gt;"Sin confirmar",TRIM('DATOS'!F292&amp;"")&lt;&gt;"Por decidir",TRIM('DATOS'!F292&amp;"")&lt;&gt;"Por comprobar")),NOT(AND(LEN(TRIM('DATOS'!N292&amp;""))&gt;0,TRIM('DATOS'!N292&amp;"")&lt;&gt;"Pendiente",TRIM('DATOS'!N292&amp;"")&lt;&gt;"Por confirmar",TRIM('DATOS'!N292&amp;"")&lt;&gt;"No consta",TRIM('DATOS'!N292&amp;"")&lt;&gt;"Desconocido",TRIM('DATOS'!N292&amp;"")&lt;&gt;"Sin confirmar",TRIM('DATOS'!N292&amp;"")&lt;&gt;"Por decidir",TRIM('DATOS'!N292&amp;"")&lt;&gt;"Por comprobar")),NOT(Y292=1),W292&lt;&gt;1,X292&gt;1,NOT(OR(LEN(TRIM('DATOS'!K292&amp;""))=0,'DATOS'!K292="Sin valorar",'DATOS'!K292="Sin coste documentado",'DATOS'!K292="Incluido en otra partida",'DATOS'!K292="Por confirmar")),NOT(OR(LEN(TRIM('DATOS'!M292&amp;""))=0,'DATOS'!M292="Sí",'DATOS'!M292="No",'DATOS'!M292="Por confirmar")),NOT(OR(LEN(TRIM('DATOS'!O292&amp;""))=0,'DATOS'!O292="Comparamos",'DATOS'!O292="No existe",'DATOS'!O292="Por confirmar"))),2,IF(AND(OR('DATOS'!G292&lt;0,'DATOS'!H292&lt;0,'DATOS'!J292&lt;0),NOT(AND(LEN(TRIM('DATOS'!L292&amp;""))&gt;0,TRIM('DATOS'!L292&amp;"")&lt;&gt;"Pendiente",TRIM('DATOS'!L292&amp;"")&lt;&gt;"Por confirmar",TRIM('DATOS'!L292&amp;"")&lt;&gt;"No consta",TRIM('DATOS'!L292&amp;"")&lt;&gt;"Desconocido",TRIM('DATOS'!L292&amp;"")&lt;&gt;"Sin confirmar",TRIM('DATOS'!L292&amp;"")&lt;&gt;"Por decidir",TRIM('DATOS'!L292&amp;"")&lt;&gt;"Por comprobar"))),1,0))),2)</f>
      </c>
      <c r="P292" s="29">
        <f>IFERROR(IF(N292=0,"",IF(NOT(Y292=1),1,IF('REFERENCIAS'!$Q$8&lt;&gt;1,2,IF(ABS('DATOS'!J292-ROUND('DATOS'!G292*'DATOS'!H292,'REFERENCIAS'!$K$8))&gt;0.00000001,2,IF('DATOS'!O292="No existe",IF(LEN(TRIM('DATOS'!I292&amp;""))=0,0,2),IF('DATOS'!O292="Comparamos",IF(LEN(TRIM('DATOS'!I292&amp;""))=0,1,IF(ISNUMBER('DATOS'!I292),IF(ABS('DATOS'!H292-'DATOS'!I292)&gt;0.00000001,2,0),2)),1)))))),2)</f>
      </c>
      <c r="Q292" s="29">
        <f>IFERROR(IF(N292=0,"",IF(NOT(Y292=1),1,IF('DATOS'!K292="Sin valorar",2,IF('DATOS'!G292=0,1,IF(OR('DATOS'!H292=0,'DATOS'!J292=0),IF(AND(OR('DATOS'!K292="Sin coste documentado",'DATOS'!K292="Incluido en otra partida"),AND(LEN(TRIM('DATOS'!L292&amp;""))&gt;0,TRIM('DATOS'!L292&amp;"")&lt;&gt;"Pendiente",TRIM('DATOS'!L292&amp;"")&lt;&gt;"Por confirmar",TRIM('DATOS'!L292&amp;"")&lt;&gt;"No consta",TRIM('DATOS'!L292&amp;"")&lt;&gt;"Desconocido",TRIM('DATOS'!L292&amp;"")&lt;&gt;"Sin confirmar",TRIM('DATOS'!L292&amp;"")&lt;&gt;"Por decidir",TRIM('DATOS'!L292&amp;"")&lt;&gt;"Por comprobar")),0,1),0))))),2)</f>
      </c>
      <c r="R292" s="29">
        <f>IFERROR(IF(N292=0,"",IF(OR(NOT(AND(LEN(TRIM('DATOS'!D292&amp;""))&gt;0,TRIM('DATOS'!D292&amp;"")&lt;&gt;"Pendiente",TRIM('DATOS'!D292&amp;"")&lt;&gt;"Por confirmar",TRIM('DATOS'!D292&amp;"")&lt;&gt;"No consta",TRIM('DATOS'!D292&amp;"")&lt;&gt;"Desconocido",TRIM('DATOS'!D292&amp;"")&lt;&gt;"Sin confirmar",TRIM('DATOS'!D292&amp;"")&lt;&gt;"Por decidir",TRIM('DATOS'!D292&amp;"")&lt;&gt;"Por comprobar")),NOT(AND(LEN(TRIM('DATOS'!E292&amp;""))&gt;0,TRIM('DATOS'!E292&amp;"")&lt;&gt;"Pendiente",TRIM('DATOS'!E292&amp;"")&lt;&gt;"Por confirmar",TRIM('DATOS'!E292&amp;"")&lt;&gt;"No consta",TRIM('DATOS'!E292&amp;"")&lt;&gt;"Desconocido",TRIM('DATOS'!E292&amp;"")&lt;&gt;"Sin confirmar",TRIM('DATOS'!E292&amp;"")&lt;&gt;"Por decidir",TRIM('DATOS'!E292&amp;"")&lt;&gt;"Por comprobar"))),2,IF('DATOS'!M292="No",2,IF('DATOS'!M292="Sí",0,IF(OR('DATOS'!D292&lt;&gt;'DATOS'!E292,LEN('DATOS'!E292)&gt;300,RIGHT(TRIM('DATOS'!E292),3)="...",RIGHT(TRIM('DATOS'!E292),1)="…"),1,0))))),2)</f>
      </c>
      <c r="S292" s="29">
        <f>IFERROR(IF(N292=0,"",IF('REFERENCIAS'!$Q$8&lt;&gt;1,2,IF(NOT(Y292=1),1,IF(OR(ABS('DATOS'!G292-ROUND('DATOS'!G292,'REFERENCIAS'!$E$8))&gt;0.00000001,ABS('DATOS'!H292-ROUND('DATOS'!H292,'REFERENCIAS'!$H$8))&gt;0.00000001,ABS('DATOS'!J292-ROUND('DATOS'!J292,'REFERENCIAS'!$K$8))&gt;0.00000001,IF(ISNUMBER('DATOS'!I292),ABS('DATOS'!I292-ROUND('DATOS'!I292,'REFERENCIAS'!$H$8))&gt;0.00000001,FALSE)),1,0)))),2)</f>
      </c>
      <c r="T292" s="29">
        <f>IFERROR(IF(N292=0,"",IF(NOT(AND(LEN(TRIM('DATOS'!F292&amp;""))&gt;0,TRIM('DATOS'!F292&amp;"")&lt;&gt;"Pendiente",TRIM('DATOS'!F292&amp;"")&lt;&gt;"Por confirmar",TRIM('DATOS'!F292&amp;"")&lt;&gt;"No consta",TRIM('DATOS'!F292&amp;"")&lt;&gt;"Desconocido",TRIM('DATOS'!F292&amp;"")&lt;&gt;"Sin confirmar",TRIM('DATOS'!F292&amp;"")&lt;&gt;"Por decidir",TRIM('DATOS'!F292&amp;"")&lt;&gt;"Por comprobar")),2,IF(COUNTIFS('REFERENCIAS'!$T$15:$T$34,"ID:"&amp;SUBSTITUTE(SUBSTITUTE(SUBSTITUTE(SUBSTITUTE(UPPER(TRIM('DATOS'!F292&amp;"")),"!","!E"),"*","!A"),"?","!B"),"~","!C"),'REFERENCIAS'!$H$15:$H$34,"&lt;&gt;")&gt;0,0,1))),2)</f>
      </c>
      <c r="U292" s="29" t="str">
        <f>'DATOS'!R292</f>
        <v>ID:</v>
      </c>
      <c r="V292" s="29" t="str">
        <f>'DATOS'!S292</f>
        <v>ID:</v>
      </c>
      <c r="W292" s="29" t="n">
        <f>IF(N292=0,0,COUNTIFS('REFERENCIAS'!$R$15:$R$64,U292))</f>
        <v>0</v>
      </c>
      <c r="X292" s="29" t="n">
        <f>IF(N292=0,0,COUNTIFS('DATOS'!$R$10:$R$509,U292,'DATOS'!$S$10:$S$509,V292))</f>
        <v>0</v>
      </c>
      <c r="Y292" s="29" t="n">
        <f>IF(AND(ISNUMBER('DATOS'!G292),ISNUMBER('DATOS'!H292),ISNUMBER('DATOS'!J292)),1,0)</f>
        <v>0</v>
      </c>
    </row>
    <row r="293" ht="64" customHeight="1">
      <c r="B293" s="26">
        <f>IF(N293=1,284,"")</f>
      </c>
      <c r="C293" s="26">
        <f>IF(AND(N293=1,LEN(TRIM('DATOS'!B293&amp;""))&gt;0),'DATOS'!B293,"")</f>
      </c>
      <c r="D293" s="26">
        <f>IF(AND(N293=1,LEN(TRIM('DATOS'!C293&amp;""))&gt;0),'DATOS'!C293,"")</f>
      </c>
      <c r="E293" s="26">
        <f>IF(NOT(ISNUMBER(P293)),"",IF(P293=2,"ROJO",IF(P293=1,"ÁMBAR","VERDE")))</f>
      </c>
      <c r="F293" s="26">
        <f>IF(NOT(ISNUMBER(Q293)),"",IF(Q293=2,"ROJO",IF(Q293=1,"ÁMBAR","VERDE")))</f>
      </c>
      <c r="G293" s="26">
        <f>IF(NOT(ISNUMBER(R293)),"",IF(R293=2,"ROJO",IF(R293=1,"ÁMBAR","VERDE")))</f>
      </c>
      <c r="H293" s="26">
        <f>IF(NOT(ISNUMBER(S293)),"",IF(S293=2,"ROJO",IF(S293=1,"ÁMBAR","VERDE")))</f>
      </c>
      <c r="I293" s="26">
        <f>IF(NOT(ISNUMBER(T293)),"",IF(T293=2,"ROJO",IF(T293=1,"ÁMBAR","VERDE")))</f>
      </c>
      <c r="J293" s="26">
        <f>IF(NOT(ISNUMBER(O293)),"",IF(O293=2,"ROJO",IF(O293=1,"ÁMBAR","VERDE")))</f>
      </c>
      <c r="K293" s="26">
        <f>IFERROR(IF(AND(N293=1,LEN(TRIM('DATOS'!N293&amp;""))&gt;0),'DATOS'!N293,""),"Hay una entrada con error. Corregimos el dato antes de cerrar la comprobación.")</f>
      </c>
      <c r="L293" s="26">
        <f>IFERROR(IF(N293=0,"",IF(O293&gt;0,"Completamos datos, claves o motivo. ","")&amp;IF(P293&gt;0,"Cotejamos precios e importe. ","")&amp;IF(Q293&gt;0,"Aclaramos el cero. ","")&amp;IF(R293&gt;0,"Comprobamos el texto. ","")&amp;IF(S293&gt;0,"Revisamos decimales visibles. ","")&amp;IF(T293&gt;0,"Confirmamos la unidad.","")),"Hay una entrada con error. Corregimos el dato antes de cerrar la comprobación.")</f>
      </c>
      <c r="N293" s="29" t="n">
        <f>IF(COUNTA('DATOS'!B293:O293)&gt;0,1,0)</f>
        <v>0</v>
      </c>
      <c r="O293" s="29">
        <f>IFERROR(IF(N293=0,"",IF(OR(NOT(AND(LEN(TRIM('DATOS'!B293&amp;""))&gt;0,TRIM('DATOS'!B293&amp;"")&lt;&gt;"Pendiente",TRIM('DATOS'!B293&amp;"")&lt;&gt;"Por confirmar",TRIM('DATOS'!B293&amp;"")&lt;&gt;"No consta",TRIM('DATOS'!B293&amp;"")&lt;&gt;"Desconocido",TRIM('DATOS'!B293&amp;"")&lt;&gt;"Sin confirmar",TRIM('DATOS'!B293&amp;"")&lt;&gt;"Por decidir",TRIM('DATOS'!B293&amp;"")&lt;&gt;"Por comprobar")),NOT(AND(LEN(TRIM('DATOS'!C293&amp;""))&gt;0,TRIM('DATOS'!C293&amp;"")&lt;&gt;"Pendiente",TRIM('DATOS'!C293&amp;"")&lt;&gt;"Por confirmar",TRIM('DATOS'!C293&amp;"")&lt;&gt;"No consta",TRIM('DATOS'!C293&amp;"")&lt;&gt;"Desconocido",TRIM('DATOS'!C293&amp;"")&lt;&gt;"Sin confirmar",TRIM('DATOS'!C293&amp;"")&lt;&gt;"Por decidir",TRIM('DATOS'!C293&amp;"")&lt;&gt;"Por comprobar")),NOT(AND(LEN(TRIM('DATOS'!D293&amp;""))&gt;0,TRIM('DATOS'!D293&amp;"")&lt;&gt;"Pendiente",TRIM('DATOS'!D293&amp;"")&lt;&gt;"Por confirmar",TRIM('DATOS'!D293&amp;"")&lt;&gt;"No consta",TRIM('DATOS'!D293&amp;"")&lt;&gt;"Desconocido",TRIM('DATOS'!D293&amp;"")&lt;&gt;"Sin confirmar",TRIM('DATOS'!D293&amp;"")&lt;&gt;"Por decidir",TRIM('DATOS'!D293&amp;"")&lt;&gt;"Por comprobar")),NOT(AND(LEN(TRIM('DATOS'!E293&amp;""))&gt;0,TRIM('DATOS'!E293&amp;"")&lt;&gt;"Pendiente",TRIM('DATOS'!E293&amp;"")&lt;&gt;"Por confirmar",TRIM('DATOS'!E293&amp;"")&lt;&gt;"No consta",TRIM('DATOS'!E293&amp;"")&lt;&gt;"Desconocido",TRIM('DATOS'!E293&amp;"")&lt;&gt;"Sin confirmar",TRIM('DATOS'!E293&amp;"")&lt;&gt;"Por decidir",TRIM('DATOS'!E293&amp;"")&lt;&gt;"Por comprobar")),NOT(AND(LEN(TRIM('DATOS'!F293&amp;""))&gt;0,TRIM('DATOS'!F293&amp;"")&lt;&gt;"Pendiente",TRIM('DATOS'!F293&amp;"")&lt;&gt;"Por confirmar",TRIM('DATOS'!F293&amp;"")&lt;&gt;"No consta",TRIM('DATOS'!F293&amp;"")&lt;&gt;"Desconocido",TRIM('DATOS'!F293&amp;"")&lt;&gt;"Sin confirmar",TRIM('DATOS'!F293&amp;"")&lt;&gt;"Por decidir",TRIM('DATOS'!F293&amp;"")&lt;&gt;"Por comprobar")),NOT(AND(LEN(TRIM('DATOS'!N293&amp;""))&gt;0,TRIM('DATOS'!N293&amp;"")&lt;&gt;"Pendiente",TRIM('DATOS'!N293&amp;"")&lt;&gt;"Por confirmar",TRIM('DATOS'!N293&amp;"")&lt;&gt;"No consta",TRIM('DATOS'!N293&amp;"")&lt;&gt;"Desconocido",TRIM('DATOS'!N293&amp;"")&lt;&gt;"Sin confirmar",TRIM('DATOS'!N293&amp;"")&lt;&gt;"Por decidir",TRIM('DATOS'!N293&amp;"")&lt;&gt;"Por comprobar")),NOT(Y293=1),W293&lt;&gt;1,X293&gt;1,NOT(OR(LEN(TRIM('DATOS'!K293&amp;""))=0,'DATOS'!K293="Sin valorar",'DATOS'!K293="Sin coste documentado",'DATOS'!K293="Incluido en otra partida",'DATOS'!K293="Por confirmar")),NOT(OR(LEN(TRIM('DATOS'!M293&amp;""))=0,'DATOS'!M293="Sí",'DATOS'!M293="No",'DATOS'!M293="Por confirmar")),NOT(OR(LEN(TRIM('DATOS'!O293&amp;""))=0,'DATOS'!O293="Comparamos",'DATOS'!O293="No existe",'DATOS'!O293="Por confirmar"))),2,IF(AND(OR('DATOS'!G293&lt;0,'DATOS'!H293&lt;0,'DATOS'!J293&lt;0),NOT(AND(LEN(TRIM('DATOS'!L293&amp;""))&gt;0,TRIM('DATOS'!L293&amp;"")&lt;&gt;"Pendiente",TRIM('DATOS'!L293&amp;"")&lt;&gt;"Por confirmar",TRIM('DATOS'!L293&amp;"")&lt;&gt;"No consta",TRIM('DATOS'!L293&amp;"")&lt;&gt;"Desconocido",TRIM('DATOS'!L293&amp;"")&lt;&gt;"Sin confirmar",TRIM('DATOS'!L293&amp;"")&lt;&gt;"Por decidir",TRIM('DATOS'!L293&amp;"")&lt;&gt;"Por comprobar"))),1,0))),2)</f>
      </c>
      <c r="P293" s="29">
        <f>IFERROR(IF(N293=0,"",IF(NOT(Y293=1),1,IF('REFERENCIAS'!$Q$8&lt;&gt;1,2,IF(ABS('DATOS'!J293-ROUND('DATOS'!G293*'DATOS'!H293,'REFERENCIAS'!$K$8))&gt;0.00000001,2,IF('DATOS'!O293="No existe",IF(LEN(TRIM('DATOS'!I293&amp;""))=0,0,2),IF('DATOS'!O293="Comparamos",IF(LEN(TRIM('DATOS'!I293&amp;""))=0,1,IF(ISNUMBER('DATOS'!I293),IF(ABS('DATOS'!H293-'DATOS'!I293)&gt;0.00000001,2,0),2)),1)))))),2)</f>
      </c>
      <c r="Q293" s="29">
        <f>IFERROR(IF(N293=0,"",IF(NOT(Y293=1),1,IF('DATOS'!K293="Sin valorar",2,IF('DATOS'!G293=0,1,IF(OR('DATOS'!H293=0,'DATOS'!J293=0),IF(AND(OR('DATOS'!K293="Sin coste documentado",'DATOS'!K293="Incluido en otra partida"),AND(LEN(TRIM('DATOS'!L293&amp;""))&gt;0,TRIM('DATOS'!L293&amp;"")&lt;&gt;"Pendiente",TRIM('DATOS'!L293&amp;"")&lt;&gt;"Por confirmar",TRIM('DATOS'!L293&amp;"")&lt;&gt;"No consta",TRIM('DATOS'!L293&amp;"")&lt;&gt;"Desconocido",TRIM('DATOS'!L293&amp;"")&lt;&gt;"Sin confirmar",TRIM('DATOS'!L293&amp;"")&lt;&gt;"Por decidir",TRIM('DATOS'!L293&amp;"")&lt;&gt;"Por comprobar")),0,1),0))))),2)</f>
      </c>
      <c r="R293" s="29">
        <f>IFERROR(IF(N293=0,"",IF(OR(NOT(AND(LEN(TRIM('DATOS'!D293&amp;""))&gt;0,TRIM('DATOS'!D293&amp;"")&lt;&gt;"Pendiente",TRIM('DATOS'!D293&amp;"")&lt;&gt;"Por confirmar",TRIM('DATOS'!D293&amp;"")&lt;&gt;"No consta",TRIM('DATOS'!D293&amp;"")&lt;&gt;"Desconocido",TRIM('DATOS'!D293&amp;"")&lt;&gt;"Sin confirmar",TRIM('DATOS'!D293&amp;"")&lt;&gt;"Por decidir",TRIM('DATOS'!D293&amp;"")&lt;&gt;"Por comprobar")),NOT(AND(LEN(TRIM('DATOS'!E293&amp;""))&gt;0,TRIM('DATOS'!E293&amp;"")&lt;&gt;"Pendiente",TRIM('DATOS'!E293&amp;"")&lt;&gt;"Por confirmar",TRIM('DATOS'!E293&amp;"")&lt;&gt;"No consta",TRIM('DATOS'!E293&amp;"")&lt;&gt;"Desconocido",TRIM('DATOS'!E293&amp;"")&lt;&gt;"Sin confirmar",TRIM('DATOS'!E293&amp;"")&lt;&gt;"Por decidir",TRIM('DATOS'!E293&amp;"")&lt;&gt;"Por comprobar"))),2,IF('DATOS'!M293="No",2,IF('DATOS'!M293="Sí",0,IF(OR('DATOS'!D293&lt;&gt;'DATOS'!E293,LEN('DATOS'!E293)&gt;300,RIGHT(TRIM('DATOS'!E293),3)="...",RIGHT(TRIM('DATOS'!E293),1)="…"),1,0))))),2)</f>
      </c>
      <c r="S293" s="29">
        <f>IFERROR(IF(N293=0,"",IF('REFERENCIAS'!$Q$8&lt;&gt;1,2,IF(NOT(Y293=1),1,IF(OR(ABS('DATOS'!G293-ROUND('DATOS'!G293,'REFERENCIAS'!$E$8))&gt;0.00000001,ABS('DATOS'!H293-ROUND('DATOS'!H293,'REFERENCIAS'!$H$8))&gt;0.00000001,ABS('DATOS'!J293-ROUND('DATOS'!J293,'REFERENCIAS'!$K$8))&gt;0.00000001,IF(ISNUMBER('DATOS'!I293),ABS('DATOS'!I293-ROUND('DATOS'!I293,'REFERENCIAS'!$H$8))&gt;0.00000001,FALSE)),1,0)))),2)</f>
      </c>
      <c r="T293" s="29">
        <f>IFERROR(IF(N293=0,"",IF(NOT(AND(LEN(TRIM('DATOS'!F293&amp;""))&gt;0,TRIM('DATOS'!F293&amp;"")&lt;&gt;"Pendiente",TRIM('DATOS'!F293&amp;"")&lt;&gt;"Por confirmar",TRIM('DATOS'!F293&amp;"")&lt;&gt;"No consta",TRIM('DATOS'!F293&amp;"")&lt;&gt;"Desconocido",TRIM('DATOS'!F293&amp;"")&lt;&gt;"Sin confirmar",TRIM('DATOS'!F293&amp;"")&lt;&gt;"Por decidir",TRIM('DATOS'!F293&amp;"")&lt;&gt;"Por comprobar")),2,IF(COUNTIFS('REFERENCIAS'!$T$15:$T$34,"ID:"&amp;SUBSTITUTE(SUBSTITUTE(SUBSTITUTE(SUBSTITUTE(UPPER(TRIM('DATOS'!F293&amp;"")),"!","!E"),"*","!A"),"?","!B"),"~","!C"),'REFERENCIAS'!$H$15:$H$34,"&lt;&gt;")&gt;0,0,1))),2)</f>
      </c>
      <c r="U293" s="29" t="str">
        <f>'DATOS'!R293</f>
        <v>ID:</v>
      </c>
      <c r="V293" s="29" t="str">
        <f>'DATOS'!S293</f>
        <v>ID:</v>
      </c>
      <c r="W293" s="29" t="n">
        <f>IF(N293=0,0,COUNTIFS('REFERENCIAS'!$R$15:$R$64,U293))</f>
        <v>0</v>
      </c>
      <c r="X293" s="29" t="n">
        <f>IF(N293=0,0,COUNTIFS('DATOS'!$R$10:$R$509,U293,'DATOS'!$S$10:$S$509,V293))</f>
        <v>0</v>
      </c>
      <c r="Y293" s="29" t="n">
        <f>IF(AND(ISNUMBER('DATOS'!G293),ISNUMBER('DATOS'!H293),ISNUMBER('DATOS'!J293)),1,0)</f>
        <v>0</v>
      </c>
    </row>
    <row r="294" ht="64" customHeight="1">
      <c r="B294" s="26">
        <f>IF(N294=1,285,"")</f>
      </c>
      <c r="C294" s="26">
        <f>IF(AND(N294=1,LEN(TRIM('DATOS'!B294&amp;""))&gt;0),'DATOS'!B294,"")</f>
      </c>
      <c r="D294" s="26">
        <f>IF(AND(N294=1,LEN(TRIM('DATOS'!C294&amp;""))&gt;0),'DATOS'!C294,"")</f>
      </c>
      <c r="E294" s="26">
        <f>IF(NOT(ISNUMBER(P294)),"",IF(P294=2,"ROJO",IF(P294=1,"ÁMBAR","VERDE")))</f>
      </c>
      <c r="F294" s="26">
        <f>IF(NOT(ISNUMBER(Q294)),"",IF(Q294=2,"ROJO",IF(Q294=1,"ÁMBAR","VERDE")))</f>
      </c>
      <c r="G294" s="26">
        <f>IF(NOT(ISNUMBER(R294)),"",IF(R294=2,"ROJO",IF(R294=1,"ÁMBAR","VERDE")))</f>
      </c>
      <c r="H294" s="26">
        <f>IF(NOT(ISNUMBER(S294)),"",IF(S294=2,"ROJO",IF(S294=1,"ÁMBAR","VERDE")))</f>
      </c>
      <c r="I294" s="26">
        <f>IF(NOT(ISNUMBER(T294)),"",IF(T294=2,"ROJO",IF(T294=1,"ÁMBAR","VERDE")))</f>
      </c>
      <c r="J294" s="26">
        <f>IF(NOT(ISNUMBER(O294)),"",IF(O294=2,"ROJO",IF(O294=1,"ÁMBAR","VERDE")))</f>
      </c>
      <c r="K294" s="26">
        <f>IFERROR(IF(AND(N294=1,LEN(TRIM('DATOS'!N294&amp;""))&gt;0),'DATOS'!N294,""),"Hay una entrada con error. Corregimos el dato antes de cerrar la comprobación.")</f>
      </c>
      <c r="L294" s="26">
        <f>IFERROR(IF(N294=0,"",IF(O294&gt;0,"Completamos datos, claves o motivo. ","")&amp;IF(P294&gt;0,"Cotejamos precios e importe. ","")&amp;IF(Q294&gt;0,"Aclaramos el cero. ","")&amp;IF(R294&gt;0,"Comprobamos el texto. ","")&amp;IF(S294&gt;0,"Revisamos decimales visibles. ","")&amp;IF(T294&gt;0,"Confirmamos la unidad.","")),"Hay una entrada con error. Corregimos el dato antes de cerrar la comprobación.")</f>
      </c>
      <c r="N294" s="29" t="n">
        <f>IF(COUNTA('DATOS'!B294:O294)&gt;0,1,0)</f>
        <v>0</v>
      </c>
      <c r="O294" s="29">
        <f>IFERROR(IF(N294=0,"",IF(OR(NOT(AND(LEN(TRIM('DATOS'!B294&amp;""))&gt;0,TRIM('DATOS'!B294&amp;"")&lt;&gt;"Pendiente",TRIM('DATOS'!B294&amp;"")&lt;&gt;"Por confirmar",TRIM('DATOS'!B294&amp;"")&lt;&gt;"No consta",TRIM('DATOS'!B294&amp;"")&lt;&gt;"Desconocido",TRIM('DATOS'!B294&amp;"")&lt;&gt;"Sin confirmar",TRIM('DATOS'!B294&amp;"")&lt;&gt;"Por decidir",TRIM('DATOS'!B294&amp;"")&lt;&gt;"Por comprobar")),NOT(AND(LEN(TRIM('DATOS'!C294&amp;""))&gt;0,TRIM('DATOS'!C294&amp;"")&lt;&gt;"Pendiente",TRIM('DATOS'!C294&amp;"")&lt;&gt;"Por confirmar",TRIM('DATOS'!C294&amp;"")&lt;&gt;"No consta",TRIM('DATOS'!C294&amp;"")&lt;&gt;"Desconocido",TRIM('DATOS'!C294&amp;"")&lt;&gt;"Sin confirmar",TRIM('DATOS'!C294&amp;"")&lt;&gt;"Por decidir",TRIM('DATOS'!C294&amp;"")&lt;&gt;"Por comprobar")),NOT(AND(LEN(TRIM('DATOS'!D294&amp;""))&gt;0,TRIM('DATOS'!D294&amp;"")&lt;&gt;"Pendiente",TRIM('DATOS'!D294&amp;"")&lt;&gt;"Por confirmar",TRIM('DATOS'!D294&amp;"")&lt;&gt;"No consta",TRIM('DATOS'!D294&amp;"")&lt;&gt;"Desconocido",TRIM('DATOS'!D294&amp;"")&lt;&gt;"Sin confirmar",TRIM('DATOS'!D294&amp;"")&lt;&gt;"Por decidir",TRIM('DATOS'!D294&amp;"")&lt;&gt;"Por comprobar")),NOT(AND(LEN(TRIM('DATOS'!E294&amp;""))&gt;0,TRIM('DATOS'!E294&amp;"")&lt;&gt;"Pendiente",TRIM('DATOS'!E294&amp;"")&lt;&gt;"Por confirmar",TRIM('DATOS'!E294&amp;"")&lt;&gt;"No consta",TRIM('DATOS'!E294&amp;"")&lt;&gt;"Desconocido",TRIM('DATOS'!E294&amp;"")&lt;&gt;"Sin confirmar",TRIM('DATOS'!E294&amp;"")&lt;&gt;"Por decidir",TRIM('DATOS'!E294&amp;"")&lt;&gt;"Por comprobar")),NOT(AND(LEN(TRIM('DATOS'!F294&amp;""))&gt;0,TRIM('DATOS'!F294&amp;"")&lt;&gt;"Pendiente",TRIM('DATOS'!F294&amp;"")&lt;&gt;"Por confirmar",TRIM('DATOS'!F294&amp;"")&lt;&gt;"No consta",TRIM('DATOS'!F294&amp;"")&lt;&gt;"Desconocido",TRIM('DATOS'!F294&amp;"")&lt;&gt;"Sin confirmar",TRIM('DATOS'!F294&amp;"")&lt;&gt;"Por decidir",TRIM('DATOS'!F294&amp;"")&lt;&gt;"Por comprobar")),NOT(AND(LEN(TRIM('DATOS'!N294&amp;""))&gt;0,TRIM('DATOS'!N294&amp;"")&lt;&gt;"Pendiente",TRIM('DATOS'!N294&amp;"")&lt;&gt;"Por confirmar",TRIM('DATOS'!N294&amp;"")&lt;&gt;"No consta",TRIM('DATOS'!N294&amp;"")&lt;&gt;"Desconocido",TRIM('DATOS'!N294&amp;"")&lt;&gt;"Sin confirmar",TRIM('DATOS'!N294&amp;"")&lt;&gt;"Por decidir",TRIM('DATOS'!N294&amp;"")&lt;&gt;"Por comprobar")),NOT(Y294=1),W294&lt;&gt;1,X294&gt;1,NOT(OR(LEN(TRIM('DATOS'!K294&amp;""))=0,'DATOS'!K294="Sin valorar",'DATOS'!K294="Sin coste documentado",'DATOS'!K294="Incluido en otra partida",'DATOS'!K294="Por confirmar")),NOT(OR(LEN(TRIM('DATOS'!M294&amp;""))=0,'DATOS'!M294="Sí",'DATOS'!M294="No",'DATOS'!M294="Por confirmar")),NOT(OR(LEN(TRIM('DATOS'!O294&amp;""))=0,'DATOS'!O294="Comparamos",'DATOS'!O294="No existe",'DATOS'!O294="Por confirmar"))),2,IF(AND(OR('DATOS'!G294&lt;0,'DATOS'!H294&lt;0,'DATOS'!J294&lt;0),NOT(AND(LEN(TRIM('DATOS'!L294&amp;""))&gt;0,TRIM('DATOS'!L294&amp;"")&lt;&gt;"Pendiente",TRIM('DATOS'!L294&amp;"")&lt;&gt;"Por confirmar",TRIM('DATOS'!L294&amp;"")&lt;&gt;"No consta",TRIM('DATOS'!L294&amp;"")&lt;&gt;"Desconocido",TRIM('DATOS'!L294&amp;"")&lt;&gt;"Sin confirmar",TRIM('DATOS'!L294&amp;"")&lt;&gt;"Por decidir",TRIM('DATOS'!L294&amp;"")&lt;&gt;"Por comprobar"))),1,0))),2)</f>
      </c>
      <c r="P294" s="29">
        <f>IFERROR(IF(N294=0,"",IF(NOT(Y294=1),1,IF('REFERENCIAS'!$Q$8&lt;&gt;1,2,IF(ABS('DATOS'!J294-ROUND('DATOS'!G294*'DATOS'!H294,'REFERENCIAS'!$K$8))&gt;0.00000001,2,IF('DATOS'!O294="No existe",IF(LEN(TRIM('DATOS'!I294&amp;""))=0,0,2),IF('DATOS'!O294="Comparamos",IF(LEN(TRIM('DATOS'!I294&amp;""))=0,1,IF(ISNUMBER('DATOS'!I294),IF(ABS('DATOS'!H294-'DATOS'!I294)&gt;0.00000001,2,0),2)),1)))))),2)</f>
      </c>
      <c r="Q294" s="29">
        <f>IFERROR(IF(N294=0,"",IF(NOT(Y294=1),1,IF('DATOS'!K294="Sin valorar",2,IF('DATOS'!G294=0,1,IF(OR('DATOS'!H294=0,'DATOS'!J294=0),IF(AND(OR('DATOS'!K294="Sin coste documentado",'DATOS'!K294="Incluido en otra partida"),AND(LEN(TRIM('DATOS'!L294&amp;""))&gt;0,TRIM('DATOS'!L294&amp;"")&lt;&gt;"Pendiente",TRIM('DATOS'!L294&amp;"")&lt;&gt;"Por confirmar",TRIM('DATOS'!L294&amp;"")&lt;&gt;"No consta",TRIM('DATOS'!L294&amp;"")&lt;&gt;"Desconocido",TRIM('DATOS'!L294&amp;"")&lt;&gt;"Sin confirmar",TRIM('DATOS'!L294&amp;"")&lt;&gt;"Por decidir",TRIM('DATOS'!L294&amp;"")&lt;&gt;"Por comprobar")),0,1),0))))),2)</f>
      </c>
      <c r="R294" s="29">
        <f>IFERROR(IF(N294=0,"",IF(OR(NOT(AND(LEN(TRIM('DATOS'!D294&amp;""))&gt;0,TRIM('DATOS'!D294&amp;"")&lt;&gt;"Pendiente",TRIM('DATOS'!D294&amp;"")&lt;&gt;"Por confirmar",TRIM('DATOS'!D294&amp;"")&lt;&gt;"No consta",TRIM('DATOS'!D294&amp;"")&lt;&gt;"Desconocido",TRIM('DATOS'!D294&amp;"")&lt;&gt;"Sin confirmar",TRIM('DATOS'!D294&amp;"")&lt;&gt;"Por decidir",TRIM('DATOS'!D294&amp;"")&lt;&gt;"Por comprobar")),NOT(AND(LEN(TRIM('DATOS'!E294&amp;""))&gt;0,TRIM('DATOS'!E294&amp;"")&lt;&gt;"Pendiente",TRIM('DATOS'!E294&amp;"")&lt;&gt;"Por confirmar",TRIM('DATOS'!E294&amp;"")&lt;&gt;"No consta",TRIM('DATOS'!E294&amp;"")&lt;&gt;"Desconocido",TRIM('DATOS'!E294&amp;"")&lt;&gt;"Sin confirmar",TRIM('DATOS'!E294&amp;"")&lt;&gt;"Por decidir",TRIM('DATOS'!E294&amp;"")&lt;&gt;"Por comprobar"))),2,IF('DATOS'!M294="No",2,IF('DATOS'!M294="Sí",0,IF(OR('DATOS'!D294&lt;&gt;'DATOS'!E294,LEN('DATOS'!E294)&gt;300,RIGHT(TRIM('DATOS'!E294),3)="...",RIGHT(TRIM('DATOS'!E294),1)="…"),1,0))))),2)</f>
      </c>
      <c r="S294" s="29">
        <f>IFERROR(IF(N294=0,"",IF('REFERENCIAS'!$Q$8&lt;&gt;1,2,IF(NOT(Y294=1),1,IF(OR(ABS('DATOS'!G294-ROUND('DATOS'!G294,'REFERENCIAS'!$E$8))&gt;0.00000001,ABS('DATOS'!H294-ROUND('DATOS'!H294,'REFERENCIAS'!$H$8))&gt;0.00000001,ABS('DATOS'!J294-ROUND('DATOS'!J294,'REFERENCIAS'!$K$8))&gt;0.00000001,IF(ISNUMBER('DATOS'!I294),ABS('DATOS'!I294-ROUND('DATOS'!I294,'REFERENCIAS'!$H$8))&gt;0.00000001,FALSE)),1,0)))),2)</f>
      </c>
      <c r="T294" s="29">
        <f>IFERROR(IF(N294=0,"",IF(NOT(AND(LEN(TRIM('DATOS'!F294&amp;""))&gt;0,TRIM('DATOS'!F294&amp;"")&lt;&gt;"Pendiente",TRIM('DATOS'!F294&amp;"")&lt;&gt;"Por confirmar",TRIM('DATOS'!F294&amp;"")&lt;&gt;"No consta",TRIM('DATOS'!F294&amp;"")&lt;&gt;"Desconocido",TRIM('DATOS'!F294&amp;"")&lt;&gt;"Sin confirmar",TRIM('DATOS'!F294&amp;"")&lt;&gt;"Por decidir",TRIM('DATOS'!F294&amp;"")&lt;&gt;"Por comprobar")),2,IF(COUNTIFS('REFERENCIAS'!$T$15:$T$34,"ID:"&amp;SUBSTITUTE(SUBSTITUTE(SUBSTITUTE(SUBSTITUTE(UPPER(TRIM('DATOS'!F294&amp;"")),"!","!E"),"*","!A"),"?","!B"),"~","!C"),'REFERENCIAS'!$H$15:$H$34,"&lt;&gt;")&gt;0,0,1))),2)</f>
      </c>
      <c r="U294" s="29" t="str">
        <f>'DATOS'!R294</f>
        <v>ID:</v>
      </c>
      <c r="V294" s="29" t="str">
        <f>'DATOS'!S294</f>
        <v>ID:</v>
      </c>
      <c r="W294" s="29" t="n">
        <f>IF(N294=0,0,COUNTIFS('REFERENCIAS'!$R$15:$R$64,U294))</f>
        <v>0</v>
      </c>
      <c r="X294" s="29" t="n">
        <f>IF(N294=0,0,COUNTIFS('DATOS'!$R$10:$R$509,U294,'DATOS'!$S$10:$S$509,V294))</f>
        <v>0</v>
      </c>
      <c r="Y294" s="29" t="n">
        <f>IF(AND(ISNUMBER('DATOS'!G294),ISNUMBER('DATOS'!H294),ISNUMBER('DATOS'!J294)),1,0)</f>
        <v>0</v>
      </c>
    </row>
    <row r="295" ht="64" customHeight="1">
      <c r="B295" s="26">
        <f>IF(N295=1,286,"")</f>
      </c>
      <c r="C295" s="26">
        <f>IF(AND(N295=1,LEN(TRIM('DATOS'!B295&amp;""))&gt;0),'DATOS'!B295,"")</f>
      </c>
      <c r="D295" s="26">
        <f>IF(AND(N295=1,LEN(TRIM('DATOS'!C295&amp;""))&gt;0),'DATOS'!C295,"")</f>
      </c>
      <c r="E295" s="26">
        <f>IF(NOT(ISNUMBER(P295)),"",IF(P295=2,"ROJO",IF(P295=1,"ÁMBAR","VERDE")))</f>
      </c>
      <c r="F295" s="26">
        <f>IF(NOT(ISNUMBER(Q295)),"",IF(Q295=2,"ROJO",IF(Q295=1,"ÁMBAR","VERDE")))</f>
      </c>
      <c r="G295" s="26">
        <f>IF(NOT(ISNUMBER(R295)),"",IF(R295=2,"ROJO",IF(R295=1,"ÁMBAR","VERDE")))</f>
      </c>
      <c r="H295" s="26">
        <f>IF(NOT(ISNUMBER(S295)),"",IF(S295=2,"ROJO",IF(S295=1,"ÁMBAR","VERDE")))</f>
      </c>
      <c r="I295" s="26">
        <f>IF(NOT(ISNUMBER(T295)),"",IF(T295=2,"ROJO",IF(T295=1,"ÁMBAR","VERDE")))</f>
      </c>
      <c r="J295" s="26">
        <f>IF(NOT(ISNUMBER(O295)),"",IF(O295=2,"ROJO",IF(O295=1,"ÁMBAR","VERDE")))</f>
      </c>
      <c r="K295" s="26">
        <f>IFERROR(IF(AND(N295=1,LEN(TRIM('DATOS'!N295&amp;""))&gt;0),'DATOS'!N295,""),"Hay una entrada con error. Corregimos el dato antes de cerrar la comprobación.")</f>
      </c>
      <c r="L295" s="26">
        <f>IFERROR(IF(N295=0,"",IF(O295&gt;0,"Completamos datos, claves o motivo. ","")&amp;IF(P295&gt;0,"Cotejamos precios e importe. ","")&amp;IF(Q295&gt;0,"Aclaramos el cero. ","")&amp;IF(R295&gt;0,"Comprobamos el texto. ","")&amp;IF(S295&gt;0,"Revisamos decimales visibles. ","")&amp;IF(T295&gt;0,"Confirmamos la unidad.","")),"Hay una entrada con error. Corregimos el dato antes de cerrar la comprobación.")</f>
      </c>
      <c r="N295" s="29" t="n">
        <f>IF(COUNTA('DATOS'!B295:O295)&gt;0,1,0)</f>
        <v>0</v>
      </c>
      <c r="O295" s="29">
        <f>IFERROR(IF(N295=0,"",IF(OR(NOT(AND(LEN(TRIM('DATOS'!B295&amp;""))&gt;0,TRIM('DATOS'!B295&amp;"")&lt;&gt;"Pendiente",TRIM('DATOS'!B295&amp;"")&lt;&gt;"Por confirmar",TRIM('DATOS'!B295&amp;"")&lt;&gt;"No consta",TRIM('DATOS'!B295&amp;"")&lt;&gt;"Desconocido",TRIM('DATOS'!B295&amp;"")&lt;&gt;"Sin confirmar",TRIM('DATOS'!B295&amp;"")&lt;&gt;"Por decidir",TRIM('DATOS'!B295&amp;"")&lt;&gt;"Por comprobar")),NOT(AND(LEN(TRIM('DATOS'!C295&amp;""))&gt;0,TRIM('DATOS'!C295&amp;"")&lt;&gt;"Pendiente",TRIM('DATOS'!C295&amp;"")&lt;&gt;"Por confirmar",TRIM('DATOS'!C295&amp;"")&lt;&gt;"No consta",TRIM('DATOS'!C295&amp;"")&lt;&gt;"Desconocido",TRIM('DATOS'!C295&amp;"")&lt;&gt;"Sin confirmar",TRIM('DATOS'!C295&amp;"")&lt;&gt;"Por decidir",TRIM('DATOS'!C295&amp;"")&lt;&gt;"Por comprobar")),NOT(AND(LEN(TRIM('DATOS'!D295&amp;""))&gt;0,TRIM('DATOS'!D295&amp;"")&lt;&gt;"Pendiente",TRIM('DATOS'!D295&amp;"")&lt;&gt;"Por confirmar",TRIM('DATOS'!D295&amp;"")&lt;&gt;"No consta",TRIM('DATOS'!D295&amp;"")&lt;&gt;"Desconocido",TRIM('DATOS'!D295&amp;"")&lt;&gt;"Sin confirmar",TRIM('DATOS'!D295&amp;"")&lt;&gt;"Por decidir",TRIM('DATOS'!D295&amp;"")&lt;&gt;"Por comprobar")),NOT(AND(LEN(TRIM('DATOS'!E295&amp;""))&gt;0,TRIM('DATOS'!E295&amp;"")&lt;&gt;"Pendiente",TRIM('DATOS'!E295&amp;"")&lt;&gt;"Por confirmar",TRIM('DATOS'!E295&amp;"")&lt;&gt;"No consta",TRIM('DATOS'!E295&amp;"")&lt;&gt;"Desconocido",TRIM('DATOS'!E295&amp;"")&lt;&gt;"Sin confirmar",TRIM('DATOS'!E295&amp;"")&lt;&gt;"Por decidir",TRIM('DATOS'!E295&amp;"")&lt;&gt;"Por comprobar")),NOT(AND(LEN(TRIM('DATOS'!F295&amp;""))&gt;0,TRIM('DATOS'!F295&amp;"")&lt;&gt;"Pendiente",TRIM('DATOS'!F295&amp;"")&lt;&gt;"Por confirmar",TRIM('DATOS'!F295&amp;"")&lt;&gt;"No consta",TRIM('DATOS'!F295&amp;"")&lt;&gt;"Desconocido",TRIM('DATOS'!F295&amp;"")&lt;&gt;"Sin confirmar",TRIM('DATOS'!F295&amp;"")&lt;&gt;"Por decidir",TRIM('DATOS'!F295&amp;"")&lt;&gt;"Por comprobar")),NOT(AND(LEN(TRIM('DATOS'!N295&amp;""))&gt;0,TRIM('DATOS'!N295&amp;"")&lt;&gt;"Pendiente",TRIM('DATOS'!N295&amp;"")&lt;&gt;"Por confirmar",TRIM('DATOS'!N295&amp;"")&lt;&gt;"No consta",TRIM('DATOS'!N295&amp;"")&lt;&gt;"Desconocido",TRIM('DATOS'!N295&amp;"")&lt;&gt;"Sin confirmar",TRIM('DATOS'!N295&amp;"")&lt;&gt;"Por decidir",TRIM('DATOS'!N295&amp;"")&lt;&gt;"Por comprobar")),NOT(Y295=1),W295&lt;&gt;1,X295&gt;1,NOT(OR(LEN(TRIM('DATOS'!K295&amp;""))=0,'DATOS'!K295="Sin valorar",'DATOS'!K295="Sin coste documentado",'DATOS'!K295="Incluido en otra partida",'DATOS'!K295="Por confirmar")),NOT(OR(LEN(TRIM('DATOS'!M295&amp;""))=0,'DATOS'!M295="Sí",'DATOS'!M295="No",'DATOS'!M295="Por confirmar")),NOT(OR(LEN(TRIM('DATOS'!O295&amp;""))=0,'DATOS'!O295="Comparamos",'DATOS'!O295="No existe",'DATOS'!O295="Por confirmar"))),2,IF(AND(OR('DATOS'!G295&lt;0,'DATOS'!H295&lt;0,'DATOS'!J295&lt;0),NOT(AND(LEN(TRIM('DATOS'!L295&amp;""))&gt;0,TRIM('DATOS'!L295&amp;"")&lt;&gt;"Pendiente",TRIM('DATOS'!L295&amp;"")&lt;&gt;"Por confirmar",TRIM('DATOS'!L295&amp;"")&lt;&gt;"No consta",TRIM('DATOS'!L295&amp;"")&lt;&gt;"Desconocido",TRIM('DATOS'!L295&amp;"")&lt;&gt;"Sin confirmar",TRIM('DATOS'!L295&amp;"")&lt;&gt;"Por decidir",TRIM('DATOS'!L295&amp;"")&lt;&gt;"Por comprobar"))),1,0))),2)</f>
      </c>
      <c r="P295" s="29">
        <f>IFERROR(IF(N295=0,"",IF(NOT(Y295=1),1,IF('REFERENCIAS'!$Q$8&lt;&gt;1,2,IF(ABS('DATOS'!J295-ROUND('DATOS'!G295*'DATOS'!H295,'REFERENCIAS'!$K$8))&gt;0.00000001,2,IF('DATOS'!O295="No existe",IF(LEN(TRIM('DATOS'!I295&amp;""))=0,0,2),IF('DATOS'!O295="Comparamos",IF(LEN(TRIM('DATOS'!I295&amp;""))=0,1,IF(ISNUMBER('DATOS'!I295),IF(ABS('DATOS'!H295-'DATOS'!I295)&gt;0.00000001,2,0),2)),1)))))),2)</f>
      </c>
      <c r="Q295" s="29">
        <f>IFERROR(IF(N295=0,"",IF(NOT(Y295=1),1,IF('DATOS'!K295="Sin valorar",2,IF('DATOS'!G295=0,1,IF(OR('DATOS'!H295=0,'DATOS'!J295=0),IF(AND(OR('DATOS'!K295="Sin coste documentado",'DATOS'!K295="Incluido en otra partida"),AND(LEN(TRIM('DATOS'!L295&amp;""))&gt;0,TRIM('DATOS'!L295&amp;"")&lt;&gt;"Pendiente",TRIM('DATOS'!L295&amp;"")&lt;&gt;"Por confirmar",TRIM('DATOS'!L295&amp;"")&lt;&gt;"No consta",TRIM('DATOS'!L295&amp;"")&lt;&gt;"Desconocido",TRIM('DATOS'!L295&amp;"")&lt;&gt;"Sin confirmar",TRIM('DATOS'!L295&amp;"")&lt;&gt;"Por decidir",TRIM('DATOS'!L295&amp;"")&lt;&gt;"Por comprobar")),0,1),0))))),2)</f>
      </c>
      <c r="R295" s="29">
        <f>IFERROR(IF(N295=0,"",IF(OR(NOT(AND(LEN(TRIM('DATOS'!D295&amp;""))&gt;0,TRIM('DATOS'!D295&amp;"")&lt;&gt;"Pendiente",TRIM('DATOS'!D295&amp;"")&lt;&gt;"Por confirmar",TRIM('DATOS'!D295&amp;"")&lt;&gt;"No consta",TRIM('DATOS'!D295&amp;"")&lt;&gt;"Desconocido",TRIM('DATOS'!D295&amp;"")&lt;&gt;"Sin confirmar",TRIM('DATOS'!D295&amp;"")&lt;&gt;"Por decidir",TRIM('DATOS'!D295&amp;"")&lt;&gt;"Por comprobar")),NOT(AND(LEN(TRIM('DATOS'!E295&amp;""))&gt;0,TRIM('DATOS'!E295&amp;"")&lt;&gt;"Pendiente",TRIM('DATOS'!E295&amp;"")&lt;&gt;"Por confirmar",TRIM('DATOS'!E295&amp;"")&lt;&gt;"No consta",TRIM('DATOS'!E295&amp;"")&lt;&gt;"Desconocido",TRIM('DATOS'!E295&amp;"")&lt;&gt;"Sin confirmar",TRIM('DATOS'!E295&amp;"")&lt;&gt;"Por decidir",TRIM('DATOS'!E295&amp;"")&lt;&gt;"Por comprobar"))),2,IF('DATOS'!M295="No",2,IF('DATOS'!M295="Sí",0,IF(OR('DATOS'!D295&lt;&gt;'DATOS'!E295,LEN('DATOS'!E295)&gt;300,RIGHT(TRIM('DATOS'!E295),3)="...",RIGHT(TRIM('DATOS'!E295),1)="…"),1,0))))),2)</f>
      </c>
      <c r="S295" s="29">
        <f>IFERROR(IF(N295=0,"",IF('REFERENCIAS'!$Q$8&lt;&gt;1,2,IF(NOT(Y295=1),1,IF(OR(ABS('DATOS'!G295-ROUND('DATOS'!G295,'REFERENCIAS'!$E$8))&gt;0.00000001,ABS('DATOS'!H295-ROUND('DATOS'!H295,'REFERENCIAS'!$H$8))&gt;0.00000001,ABS('DATOS'!J295-ROUND('DATOS'!J295,'REFERENCIAS'!$K$8))&gt;0.00000001,IF(ISNUMBER('DATOS'!I295),ABS('DATOS'!I295-ROUND('DATOS'!I295,'REFERENCIAS'!$H$8))&gt;0.00000001,FALSE)),1,0)))),2)</f>
      </c>
      <c r="T295" s="29">
        <f>IFERROR(IF(N295=0,"",IF(NOT(AND(LEN(TRIM('DATOS'!F295&amp;""))&gt;0,TRIM('DATOS'!F295&amp;"")&lt;&gt;"Pendiente",TRIM('DATOS'!F295&amp;"")&lt;&gt;"Por confirmar",TRIM('DATOS'!F295&amp;"")&lt;&gt;"No consta",TRIM('DATOS'!F295&amp;"")&lt;&gt;"Desconocido",TRIM('DATOS'!F295&amp;"")&lt;&gt;"Sin confirmar",TRIM('DATOS'!F295&amp;"")&lt;&gt;"Por decidir",TRIM('DATOS'!F295&amp;"")&lt;&gt;"Por comprobar")),2,IF(COUNTIFS('REFERENCIAS'!$T$15:$T$34,"ID:"&amp;SUBSTITUTE(SUBSTITUTE(SUBSTITUTE(SUBSTITUTE(UPPER(TRIM('DATOS'!F295&amp;"")),"!","!E"),"*","!A"),"?","!B"),"~","!C"),'REFERENCIAS'!$H$15:$H$34,"&lt;&gt;")&gt;0,0,1))),2)</f>
      </c>
      <c r="U295" s="29" t="str">
        <f>'DATOS'!R295</f>
        <v>ID:</v>
      </c>
      <c r="V295" s="29" t="str">
        <f>'DATOS'!S295</f>
        <v>ID:</v>
      </c>
      <c r="W295" s="29" t="n">
        <f>IF(N295=0,0,COUNTIFS('REFERENCIAS'!$R$15:$R$64,U295))</f>
        <v>0</v>
      </c>
      <c r="X295" s="29" t="n">
        <f>IF(N295=0,0,COUNTIFS('DATOS'!$R$10:$R$509,U295,'DATOS'!$S$10:$S$509,V295))</f>
        <v>0</v>
      </c>
      <c r="Y295" s="29" t="n">
        <f>IF(AND(ISNUMBER('DATOS'!G295),ISNUMBER('DATOS'!H295),ISNUMBER('DATOS'!J295)),1,0)</f>
        <v>0</v>
      </c>
    </row>
    <row r="296" ht="64" customHeight="1">
      <c r="B296" s="26">
        <f>IF(N296=1,287,"")</f>
      </c>
      <c r="C296" s="26">
        <f>IF(AND(N296=1,LEN(TRIM('DATOS'!B296&amp;""))&gt;0),'DATOS'!B296,"")</f>
      </c>
      <c r="D296" s="26">
        <f>IF(AND(N296=1,LEN(TRIM('DATOS'!C296&amp;""))&gt;0),'DATOS'!C296,"")</f>
      </c>
      <c r="E296" s="26">
        <f>IF(NOT(ISNUMBER(P296)),"",IF(P296=2,"ROJO",IF(P296=1,"ÁMBAR","VERDE")))</f>
      </c>
      <c r="F296" s="26">
        <f>IF(NOT(ISNUMBER(Q296)),"",IF(Q296=2,"ROJO",IF(Q296=1,"ÁMBAR","VERDE")))</f>
      </c>
      <c r="G296" s="26">
        <f>IF(NOT(ISNUMBER(R296)),"",IF(R296=2,"ROJO",IF(R296=1,"ÁMBAR","VERDE")))</f>
      </c>
      <c r="H296" s="26">
        <f>IF(NOT(ISNUMBER(S296)),"",IF(S296=2,"ROJO",IF(S296=1,"ÁMBAR","VERDE")))</f>
      </c>
      <c r="I296" s="26">
        <f>IF(NOT(ISNUMBER(T296)),"",IF(T296=2,"ROJO",IF(T296=1,"ÁMBAR","VERDE")))</f>
      </c>
      <c r="J296" s="26">
        <f>IF(NOT(ISNUMBER(O296)),"",IF(O296=2,"ROJO",IF(O296=1,"ÁMBAR","VERDE")))</f>
      </c>
      <c r="K296" s="26">
        <f>IFERROR(IF(AND(N296=1,LEN(TRIM('DATOS'!N296&amp;""))&gt;0),'DATOS'!N296,""),"Hay una entrada con error. Corregimos el dato antes de cerrar la comprobación.")</f>
      </c>
      <c r="L296" s="26">
        <f>IFERROR(IF(N296=0,"",IF(O296&gt;0,"Completamos datos, claves o motivo. ","")&amp;IF(P296&gt;0,"Cotejamos precios e importe. ","")&amp;IF(Q296&gt;0,"Aclaramos el cero. ","")&amp;IF(R296&gt;0,"Comprobamos el texto. ","")&amp;IF(S296&gt;0,"Revisamos decimales visibles. ","")&amp;IF(T296&gt;0,"Confirmamos la unidad.","")),"Hay una entrada con error. Corregimos el dato antes de cerrar la comprobación.")</f>
      </c>
      <c r="N296" s="29" t="n">
        <f>IF(COUNTA('DATOS'!B296:O296)&gt;0,1,0)</f>
        <v>0</v>
      </c>
      <c r="O296" s="29">
        <f>IFERROR(IF(N296=0,"",IF(OR(NOT(AND(LEN(TRIM('DATOS'!B296&amp;""))&gt;0,TRIM('DATOS'!B296&amp;"")&lt;&gt;"Pendiente",TRIM('DATOS'!B296&amp;"")&lt;&gt;"Por confirmar",TRIM('DATOS'!B296&amp;"")&lt;&gt;"No consta",TRIM('DATOS'!B296&amp;"")&lt;&gt;"Desconocido",TRIM('DATOS'!B296&amp;"")&lt;&gt;"Sin confirmar",TRIM('DATOS'!B296&amp;"")&lt;&gt;"Por decidir",TRIM('DATOS'!B296&amp;"")&lt;&gt;"Por comprobar")),NOT(AND(LEN(TRIM('DATOS'!C296&amp;""))&gt;0,TRIM('DATOS'!C296&amp;"")&lt;&gt;"Pendiente",TRIM('DATOS'!C296&amp;"")&lt;&gt;"Por confirmar",TRIM('DATOS'!C296&amp;"")&lt;&gt;"No consta",TRIM('DATOS'!C296&amp;"")&lt;&gt;"Desconocido",TRIM('DATOS'!C296&amp;"")&lt;&gt;"Sin confirmar",TRIM('DATOS'!C296&amp;"")&lt;&gt;"Por decidir",TRIM('DATOS'!C296&amp;"")&lt;&gt;"Por comprobar")),NOT(AND(LEN(TRIM('DATOS'!D296&amp;""))&gt;0,TRIM('DATOS'!D296&amp;"")&lt;&gt;"Pendiente",TRIM('DATOS'!D296&amp;"")&lt;&gt;"Por confirmar",TRIM('DATOS'!D296&amp;"")&lt;&gt;"No consta",TRIM('DATOS'!D296&amp;"")&lt;&gt;"Desconocido",TRIM('DATOS'!D296&amp;"")&lt;&gt;"Sin confirmar",TRIM('DATOS'!D296&amp;"")&lt;&gt;"Por decidir",TRIM('DATOS'!D296&amp;"")&lt;&gt;"Por comprobar")),NOT(AND(LEN(TRIM('DATOS'!E296&amp;""))&gt;0,TRIM('DATOS'!E296&amp;"")&lt;&gt;"Pendiente",TRIM('DATOS'!E296&amp;"")&lt;&gt;"Por confirmar",TRIM('DATOS'!E296&amp;"")&lt;&gt;"No consta",TRIM('DATOS'!E296&amp;"")&lt;&gt;"Desconocido",TRIM('DATOS'!E296&amp;"")&lt;&gt;"Sin confirmar",TRIM('DATOS'!E296&amp;"")&lt;&gt;"Por decidir",TRIM('DATOS'!E296&amp;"")&lt;&gt;"Por comprobar")),NOT(AND(LEN(TRIM('DATOS'!F296&amp;""))&gt;0,TRIM('DATOS'!F296&amp;"")&lt;&gt;"Pendiente",TRIM('DATOS'!F296&amp;"")&lt;&gt;"Por confirmar",TRIM('DATOS'!F296&amp;"")&lt;&gt;"No consta",TRIM('DATOS'!F296&amp;"")&lt;&gt;"Desconocido",TRIM('DATOS'!F296&amp;"")&lt;&gt;"Sin confirmar",TRIM('DATOS'!F296&amp;"")&lt;&gt;"Por decidir",TRIM('DATOS'!F296&amp;"")&lt;&gt;"Por comprobar")),NOT(AND(LEN(TRIM('DATOS'!N296&amp;""))&gt;0,TRIM('DATOS'!N296&amp;"")&lt;&gt;"Pendiente",TRIM('DATOS'!N296&amp;"")&lt;&gt;"Por confirmar",TRIM('DATOS'!N296&amp;"")&lt;&gt;"No consta",TRIM('DATOS'!N296&amp;"")&lt;&gt;"Desconocido",TRIM('DATOS'!N296&amp;"")&lt;&gt;"Sin confirmar",TRIM('DATOS'!N296&amp;"")&lt;&gt;"Por decidir",TRIM('DATOS'!N296&amp;"")&lt;&gt;"Por comprobar")),NOT(Y296=1),W296&lt;&gt;1,X296&gt;1,NOT(OR(LEN(TRIM('DATOS'!K296&amp;""))=0,'DATOS'!K296="Sin valorar",'DATOS'!K296="Sin coste documentado",'DATOS'!K296="Incluido en otra partida",'DATOS'!K296="Por confirmar")),NOT(OR(LEN(TRIM('DATOS'!M296&amp;""))=0,'DATOS'!M296="Sí",'DATOS'!M296="No",'DATOS'!M296="Por confirmar")),NOT(OR(LEN(TRIM('DATOS'!O296&amp;""))=0,'DATOS'!O296="Comparamos",'DATOS'!O296="No existe",'DATOS'!O296="Por confirmar"))),2,IF(AND(OR('DATOS'!G296&lt;0,'DATOS'!H296&lt;0,'DATOS'!J296&lt;0),NOT(AND(LEN(TRIM('DATOS'!L296&amp;""))&gt;0,TRIM('DATOS'!L296&amp;"")&lt;&gt;"Pendiente",TRIM('DATOS'!L296&amp;"")&lt;&gt;"Por confirmar",TRIM('DATOS'!L296&amp;"")&lt;&gt;"No consta",TRIM('DATOS'!L296&amp;"")&lt;&gt;"Desconocido",TRIM('DATOS'!L296&amp;"")&lt;&gt;"Sin confirmar",TRIM('DATOS'!L296&amp;"")&lt;&gt;"Por decidir",TRIM('DATOS'!L296&amp;"")&lt;&gt;"Por comprobar"))),1,0))),2)</f>
      </c>
      <c r="P296" s="29">
        <f>IFERROR(IF(N296=0,"",IF(NOT(Y296=1),1,IF('REFERENCIAS'!$Q$8&lt;&gt;1,2,IF(ABS('DATOS'!J296-ROUND('DATOS'!G296*'DATOS'!H296,'REFERENCIAS'!$K$8))&gt;0.00000001,2,IF('DATOS'!O296="No existe",IF(LEN(TRIM('DATOS'!I296&amp;""))=0,0,2),IF('DATOS'!O296="Comparamos",IF(LEN(TRIM('DATOS'!I296&amp;""))=0,1,IF(ISNUMBER('DATOS'!I296),IF(ABS('DATOS'!H296-'DATOS'!I296)&gt;0.00000001,2,0),2)),1)))))),2)</f>
      </c>
      <c r="Q296" s="29">
        <f>IFERROR(IF(N296=0,"",IF(NOT(Y296=1),1,IF('DATOS'!K296="Sin valorar",2,IF('DATOS'!G296=0,1,IF(OR('DATOS'!H296=0,'DATOS'!J296=0),IF(AND(OR('DATOS'!K296="Sin coste documentado",'DATOS'!K296="Incluido en otra partida"),AND(LEN(TRIM('DATOS'!L296&amp;""))&gt;0,TRIM('DATOS'!L296&amp;"")&lt;&gt;"Pendiente",TRIM('DATOS'!L296&amp;"")&lt;&gt;"Por confirmar",TRIM('DATOS'!L296&amp;"")&lt;&gt;"No consta",TRIM('DATOS'!L296&amp;"")&lt;&gt;"Desconocido",TRIM('DATOS'!L296&amp;"")&lt;&gt;"Sin confirmar",TRIM('DATOS'!L296&amp;"")&lt;&gt;"Por decidir",TRIM('DATOS'!L296&amp;"")&lt;&gt;"Por comprobar")),0,1),0))))),2)</f>
      </c>
      <c r="R296" s="29">
        <f>IFERROR(IF(N296=0,"",IF(OR(NOT(AND(LEN(TRIM('DATOS'!D296&amp;""))&gt;0,TRIM('DATOS'!D296&amp;"")&lt;&gt;"Pendiente",TRIM('DATOS'!D296&amp;"")&lt;&gt;"Por confirmar",TRIM('DATOS'!D296&amp;"")&lt;&gt;"No consta",TRIM('DATOS'!D296&amp;"")&lt;&gt;"Desconocido",TRIM('DATOS'!D296&amp;"")&lt;&gt;"Sin confirmar",TRIM('DATOS'!D296&amp;"")&lt;&gt;"Por decidir",TRIM('DATOS'!D296&amp;"")&lt;&gt;"Por comprobar")),NOT(AND(LEN(TRIM('DATOS'!E296&amp;""))&gt;0,TRIM('DATOS'!E296&amp;"")&lt;&gt;"Pendiente",TRIM('DATOS'!E296&amp;"")&lt;&gt;"Por confirmar",TRIM('DATOS'!E296&amp;"")&lt;&gt;"No consta",TRIM('DATOS'!E296&amp;"")&lt;&gt;"Desconocido",TRIM('DATOS'!E296&amp;"")&lt;&gt;"Sin confirmar",TRIM('DATOS'!E296&amp;"")&lt;&gt;"Por decidir",TRIM('DATOS'!E296&amp;"")&lt;&gt;"Por comprobar"))),2,IF('DATOS'!M296="No",2,IF('DATOS'!M296="Sí",0,IF(OR('DATOS'!D296&lt;&gt;'DATOS'!E296,LEN('DATOS'!E296)&gt;300,RIGHT(TRIM('DATOS'!E296),3)="...",RIGHT(TRIM('DATOS'!E296),1)="…"),1,0))))),2)</f>
      </c>
      <c r="S296" s="29">
        <f>IFERROR(IF(N296=0,"",IF('REFERENCIAS'!$Q$8&lt;&gt;1,2,IF(NOT(Y296=1),1,IF(OR(ABS('DATOS'!G296-ROUND('DATOS'!G296,'REFERENCIAS'!$E$8))&gt;0.00000001,ABS('DATOS'!H296-ROUND('DATOS'!H296,'REFERENCIAS'!$H$8))&gt;0.00000001,ABS('DATOS'!J296-ROUND('DATOS'!J296,'REFERENCIAS'!$K$8))&gt;0.00000001,IF(ISNUMBER('DATOS'!I296),ABS('DATOS'!I296-ROUND('DATOS'!I296,'REFERENCIAS'!$H$8))&gt;0.00000001,FALSE)),1,0)))),2)</f>
      </c>
      <c r="T296" s="29">
        <f>IFERROR(IF(N296=0,"",IF(NOT(AND(LEN(TRIM('DATOS'!F296&amp;""))&gt;0,TRIM('DATOS'!F296&amp;"")&lt;&gt;"Pendiente",TRIM('DATOS'!F296&amp;"")&lt;&gt;"Por confirmar",TRIM('DATOS'!F296&amp;"")&lt;&gt;"No consta",TRIM('DATOS'!F296&amp;"")&lt;&gt;"Desconocido",TRIM('DATOS'!F296&amp;"")&lt;&gt;"Sin confirmar",TRIM('DATOS'!F296&amp;"")&lt;&gt;"Por decidir",TRIM('DATOS'!F296&amp;"")&lt;&gt;"Por comprobar")),2,IF(COUNTIFS('REFERENCIAS'!$T$15:$T$34,"ID:"&amp;SUBSTITUTE(SUBSTITUTE(SUBSTITUTE(SUBSTITUTE(UPPER(TRIM('DATOS'!F296&amp;"")),"!","!E"),"*","!A"),"?","!B"),"~","!C"),'REFERENCIAS'!$H$15:$H$34,"&lt;&gt;")&gt;0,0,1))),2)</f>
      </c>
      <c r="U296" s="29" t="str">
        <f>'DATOS'!R296</f>
        <v>ID:</v>
      </c>
      <c r="V296" s="29" t="str">
        <f>'DATOS'!S296</f>
        <v>ID:</v>
      </c>
      <c r="W296" s="29" t="n">
        <f>IF(N296=0,0,COUNTIFS('REFERENCIAS'!$R$15:$R$64,U296))</f>
        <v>0</v>
      </c>
      <c r="X296" s="29" t="n">
        <f>IF(N296=0,0,COUNTIFS('DATOS'!$R$10:$R$509,U296,'DATOS'!$S$10:$S$509,V296))</f>
        <v>0</v>
      </c>
      <c r="Y296" s="29" t="n">
        <f>IF(AND(ISNUMBER('DATOS'!G296),ISNUMBER('DATOS'!H296),ISNUMBER('DATOS'!J296)),1,0)</f>
        <v>0</v>
      </c>
    </row>
    <row r="297" ht="64" customHeight="1">
      <c r="B297" s="26">
        <f>IF(N297=1,288,"")</f>
      </c>
      <c r="C297" s="26">
        <f>IF(AND(N297=1,LEN(TRIM('DATOS'!B297&amp;""))&gt;0),'DATOS'!B297,"")</f>
      </c>
      <c r="D297" s="26">
        <f>IF(AND(N297=1,LEN(TRIM('DATOS'!C297&amp;""))&gt;0),'DATOS'!C297,"")</f>
      </c>
      <c r="E297" s="26">
        <f>IF(NOT(ISNUMBER(P297)),"",IF(P297=2,"ROJO",IF(P297=1,"ÁMBAR","VERDE")))</f>
      </c>
      <c r="F297" s="26">
        <f>IF(NOT(ISNUMBER(Q297)),"",IF(Q297=2,"ROJO",IF(Q297=1,"ÁMBAR","VERDE")))</f>
      </c>
      <c r="G297" s="26">
        <f>IF(NOT(ISNUMBER(R297)),"",IF(R297=2,"ROJO",IF(R297=1,"ÁMBAR","VERDE")))</f>
      </c>
      <c r="H297" s="26">
        <f>IF(NOT(ISNUMBER(S297)),"",IF(S297=2,"ROJO",IF(S297=1,"ÁMBAR","VERDE")))</f>
      </c>
      <c r="I297" s="26">
        <f>IF(NOT(ISNUMBER(T297)),"",IF(T297=2,"ROJO",IF(T297=1,"ÁMBAR","VERDE")))</f>
      </c>
      <c r="J297" s="26">
        <f>IF(NOT(ISNUMBER(O297)),"",IF(O297=2,"ROJO",IF(O297=1,"ÁMBAR","VERDE")))</f>
      </c>
      <c r="K297" s="26">
        <f>IFERROR(IF(AND(N297=1,LEN(TRIM('DATOS'!N297&amp;""))&gt;0),'DATOS'!N297,""),"Hay una entrada con error. Corregimos el dato antes de cerrar la comprobación.")</f>
      </c>
      <c r="L297" s="26">
        <f>IFERROR(IF(N297=0,"",IF(O297&gt;0,"Completamos datos, claves o motivo. ","")&amp;IF(P297&gt;0,"Cotejamos precios e importe. ","")&amp;IF(Q297&gt;0,"Aclaramos el cero. ","")&amp;IF(R297&gt;0,"Comprobamos el texto. ","")&amp;IF(S297&gt;0,"Revisamos decimales visibles. ","")&amp;IF(T297&gt;0,"Confirmamos la unidad.","")),"Hay una entrada con error. Corregimos el dato antes de cerrar la comprobación.")</f>
      </c>
      <c r="N297" s="29" t="n">
        <f>IF(COUNTA('DATOS'!B297:O297)&gt;0,1,0)</f>
        <v>0</v>
      </c>
      <c r="O297" s="29">
        <f>IFERROR(IF(N297=0,"",IF(OR(NOT(AND(LEN(TRIM('DATOS'!B297&amp;""))&gt;0,TRIM('DATOS'!B297&amp;"")&lt;&gt;"Pendiente",TRIM('DATOS'!B297&amp;"")&lt;&gt;"Por confirmar",TRIM('DATOS'!B297&amp;"")&lt;&gt;"No consta",TRIM('DATOS'!B297&amp;"")&lt;&gt;"Desconocido",TRIM('DATOS'!B297&amp;"")&lt;&gt;"Sin confirmar",TRIM('DATOS'!B297&amp;"")&lt;&gt;"Por decidir",TRIM('DATOS'!B297&amp;"")&lt;&gt;"Por comprobar")),NOT(AND(LEN(TRIM('DATOS'!C297&amp;""))&gt;0,TRIM('DATOS'!C297&amp;"")&lt;&gt;"Pendiente",TRIM('DATOS'!C297&amp;"")&lt;&gt;"Por confirmar",TRIM('DATOS'!C297&amp;"")&lt;&gt;"No consta",TRIM('DATOS'!C297&amp;"")&lt;&gt;"Desconocido",TRIM('DATOS'!C297&amp;"")&lt;&gt;"Sin confirmar",TRIM('DATOS'!C297&amp;"")&lt;&gt;"Por decidir",TRIM('DATOS'!C297&amp;"")&lt;&gt;"Por comprobar")),NOT(AND(LEN(TRIM('DATOS'!D297&amp;""))&gt;0,TRIM('DATOS'!D297&amp;"")&lt;&gt;"Pendiente",TRIM('DATOS'!D297&amp;"")&lt;&gt;"Por confirmar",TRIM('DATOS'!D297&amp;"")&lt;&gt;"No consta",TRIM('DATOS'!D297&amp;"")&lt;&gt;"Desconocido",TRIM('DATOS'!D297&amp;"")&lt;&gt;"Sin confirmar",TRIM('DATOS'!D297&amp;"")&lt;&gt;"Por decidir",TRIM('DATOS'!D297&amp;"")&lt;&gt;"Por comprobar")),NOT(AND(LEN(TRIM('DATOS'!E297&amp;""))&gt;0,TRIM('DATOS'!E297&amp;"")&lt;&gt;"Pendiente",TRIM('DATOS'!E297&amp;"")&lt;&gt;"Por confirmar",TRIM('DATOS'!E297&amp;"")&lt;&gt;"No consta",TRIM('DATOS'!E297&amp;"")&lt;&gt;"Desconocido",TRIM('DATOS'!E297&amp;"")&lt;&gt;"Sin confirmar",TRIM('DATOS'!E297&amp;"")&lt;&gt;"Por decidir",TRIM('DATOS'!E297&amp;"")&lt;&gt;"Por comprobar")),NOT(AND(LEN(TRIM('DATOS'!F297&amp;""))&gt;0,TRIM('DATOS'!F297&amp;"")&lt;&gt;"Pendiente",TRIM('DATOS'!F297&amp;"")&lt;&gt;"Por confirmar",TRIM('DATOS'!F297&amp;"")&lt;&gt;"No consta",TRIM('DATOS'!F297&amp;"")&lt;&gt;"Desconocido",TRIM('DATOS'!F297&amp;"")&lt;&gt;"Sin confirmar",TRIM('DATOS'!F297&amp;"")&lt;&gt;"Por decidir",TRIM('DATOS'!F297&amp;"")&lt;&gt;"Por comprobar")),NOT(AND(LEN(TRIM('DATOS'!N297&amp;""))&gt;0,TRIM('DATOS'!N297&amp;"")&lt;&gt;"Pendiente",TRIM('DATOS'!N297&amp;"")&lt;&gt;"Por confirmar",TRIM('DATOS'!N297&amp;"")&lt;&gt;"No consta",TRIM('DATOS'!N297&amp;"")&lt;&gt;"Desconocido",TRIM('DATOS'!N297&amp;"")&lt;&gt;"Sin confirmar",TRIM('DATOS'!N297&amp;"")&lt;&gt;"Por decidir",TRIM('DATOS'!N297&amp;"")&lt;&gt;"Por comprobar")),NOT(Y297=1),W297&lt;&gt;1,X297&gt;1,NOT(OR(LEN(TRIM('DATOS'!K297&amp;""))=0,'DATOS'!K297="Sin valorar",'DATOS'!K297="Sin coste documentado",'DATOS'!K297="Incluido en otra partida",'DATOS'!K297="Por confirmar")),NOT(OR(LEN(TRIM('DATOS'!M297&amp;""))=0,'DATOS'!M297="Sí",'DATOS'!M297="No",'DATOS'!M297="Por confirmar")),NOT(OR(LEN(TRIM('DATOS'!O297&amp;""))=0,'DATOS'!O297="Comparamos",'DATOS'!O297="No existe",'DATOS'!O297="Por confirmar"))),2,IF(AND(OR('DATOS'!G297&lt;0,'DATOS'!H297&lt;0,'DATOS'!J297&lt;0),NOT(AND(LEN(TRIM('DATOS'!L297&amp;""))&gt;0,TRIM('DATOS'!L297&amp;"")&lt;&gt;"Pendiente",TRIM('DATOS'!L297&amp;"")&lt;&gt;"Por confirmar",TRIM('DATOS'!L297&amp;"")&lt;&gt;"No consta",TRIM('DATOS'!L297&amp;"")&lt;&gt;"Desconocido",TRIM('DATOS'!L297&amp;"")&lt;&gt;"Sin confirmar",TRIM('DATOS'!L297&amp;"")&lt;&gt;"Por decidir",TRIM('DATOS'!L297&amp;"")&lt;&gt;"Por comprobar"))),1,0))),2)</f>
      </c>
      <c r="P297" s="29">
        <f>IFERROR(IF(N297=0,"",IF(NOT(Y297=1),1,IF('REFERENCIAS'!$Q$8&lt;&gt;1,2,IF(ABS('DATOS'!J297-ROUND('DATOS'!G297*'DATOS'!H297,'REFERENCIAS'!$K$8))&gt;0.00000001,2,IF('DATOS'!O297="No existe",IF(LEN(TRIM('DATOS'!I297&amp;""))=0,0,2),IF('DATOS'!O297="Comparamos",IF(LEN(TRIM('DATOS'!I297&amp;""))=0,1,IF(ISNUMBER('DATOS'!I297),IF(ABS('DATOS'!H297-'DATOS'!I297)&gt;0.00000001,2,0),2)),1)))))),2)</f>
      </c>
      <c r="Q297" s="29">
        <f>IFERROR(IF(N297=0,"",IF(NOT(Y297=1),1,IF('DATOS'!K297="Sin valorar",2,IF('DATOS'!G297=0,1,IF(OR('DATOS'!H297=0,'DATOS'!J297=0),IF(AND(OR('DATOS'!K297="Sin coste documentado",'DATOS'!K297="Incluido en otra partida"),AND(LEN(TRIM('DATOS'!L297&amp;""))&gt;0,TRIM('DATOS'!L297&amp;"")&lt;&gt;"Pendiente",TRIM('DATOS'!L297&amp;"")&lt;&gt;"Por confirmar",TRIM('DATOS'!L297&amp;"")&lt;&gt;"No consta",TRIM('DATOS'!L297&amp;"")&lt;&gt;"Desconocido",TRIM('DATOS'!L297&amp;"")&lt;&gt;"Sin confirmar",TRIM('DATOS'!L297&amp;"")&lt;&gt;"Por decidir",TRIM('DATOS'!L297&amp;"")&lt;&gt;"Por comprobar")),0,1),0))))),2)</f>
      </c>
      <c r="R297" s="29">
        <f>IFERROR(IF(N297=0,"",IF(OR(NOT(AND(LEN(TRIM('DATOS'!D297&amp;""))&gt;0,TRIM('DATOS'!D297&amp;"")&lt;&gt;"Pendiente",TRIM('DATOS'!D297&amp;"")&lt;&gt;"Por confirmar",TRIM('DATOS'!D297&amp;"")&lt;&gt;"No consta",TRIM('DATOS'!D297&amp;"")&lt;&gt;"Desconocido",TRIM('DATOS'!D297&amp;"")&lt;&gt;"Sin confirmar",TRIM('DATOS'!D297&amp;"")&lt;&gt;"Por decidir",TRIM('DATOS'!D297&amp;"")&lt;&gt;"Por comprobar")),NOT(AND(LEN(TRIM('DATOS'!E297&amp;""))&gt;0,TRIM('DATOS'!E297&amp;"")&lt;&gt;"Pendiente",TRIM('DATOS'!E297&amp;"")&lt;&gt;"Por confirmar",TRIM('DATOS'!E297&amp;"")&lt;&gt;"No consta",TRIM('DATOS'!E297&amp;"")&lt;&gt;"Desconocido",TRIM('DATOS'!E297&amp;"")&lt;&gt;"Sin confirmar",TRIM('DATOS'!E297&amp;"")&lt;&gt;"Por decidir",TRIM('DATOS'!E297&amp;"")&lt;&gt;"Por comprobar"))),2,IF('DATOS'!M297="No",2,IF('DATOS'!M297="Sí",0,IF(OR('DATOS'!D297&lt;&gt;'DATOS'!E297,LEN('DATOS'!E297)&gt;300,RIGHT(TRIM('DATOS'!E297),3)="...",RIGHT(TRIM('DATOS'!E297),1)="…"),1,0))))),2)</f>
      </c>
      <c r="S297" s="29">
        <f>IFERROR(IF(N297=0,"",IF('REFERENCIAS'!$Q$8&lt;&gt;1,2,IF(NOT(Y297=1),1,IF(OR(ABS('DATOS'!G297-ROUND('DATOS'!G297,'REFERENCIAS'!$E$8))&gt;0.00000001,ABS('DATOS'!H297-ROUND('DATOS'!H297,'REFERENCIAS'!$H$8))&gt;0.00000001,ABS('DATOS'!J297-ROUND('DATOS'!J297,'REFERENCIAS'!$K$8))&gt;0.00000001,IF(ISNUMBER('DATOS'!I297),ABS('DATOS'!I297-ROUND('DATOS'!I297,'REFERENCIAS'!$H$8))&gt;0.00000001,FALSE)),1,0)))),2)</f>
      </c>
      <c r="T297" s="29">
        <f>IFERROR(IF(N297=0,"",IF(NOT(AND(LEN(TRIM('DATOS'!F297&amp;""))&gt;0,TRIM('DATOS'!F297&amp;"")&lt;&gt;"Pendiente",TRIM('DATOS'!F297&amp;"")&lt;&gt;"Por confirmar",TRIM('DATOS'!F297&amp;"")&lt;&gt;"No consta",TRIM('DATOS'!F297&amp;"")&lt;&gt;"Desconocido",TRIM('DATOS'!F297&amp;"")&lt;&gt;"Sin confirmar",TRIM('DATOS'!F297&amp;"")&lt;&gt;"Por decidir",TRIM('DATOS'!F297&amp;"")&lt;&gt;"Por comprobar")),2,IF(COUNTIFS('REFERENCIAS'!$T$15:$T$34,"ID:"&amp;SUBSTITUTE(SUBSTITUTE(SUBSTITUTE(SUBSTITUTE(UPPER(TRIM('DATOS'!F297&amp;"")),"!","!E"),"*","!A"),"?","!B"),"~","!C"),'REFERENCIAS'!$H$15:$H$34,"&lt;&gt;")&gt;0,0,1))),2)</f>
      </c>
      <c r="U297" s="29" t="str">
        <f>'DATOS'!R297</f>
        <v>ID:</v>
      </c>
      <c r="V297" s="29" t="str">
        <f>'DATOS'!S297</f>
        <v>ID:</v>
      </c>
      <c r="W297" s="29" t="n">
        <f>IF(N297=0,0,COUNTIFS('REFERENCIAS'!$R$15:$R$64,U297))</f>
        <v>0</v>
      </c>
      <c r="X297" s="29" t="n">
        <f>IF(N297=0,0,COUNTIFS('DATOS'!$R$10:$R$509,U297,'DATOS'!$S$10:$S$509,V297))</f>
        <v>0</v>
      </c>
      <c r="Y297" s="29" t="n">
        <f>IF(AND(ISNUMBER('DATOS'!G297),ISNUMBER('DATOS'!H297),ISNUMBER('DATOS'!J297)),1,0)</f>
        <v>0</v>
      </c>
    </row>
    <row r="298" ht="64" customHeight="1">
      <c r="B298" s="26">
        <f>IF(N298=1,289,"")</f>
      </c>
      <c r="C298" s="26">
        <f>IF(AND(N298=1,LEN(TRIM('DATOS'!B298&amp;""))&gt;0),'DATOS'!B298,"")</f>
      </c>
      <c r="D298" s="26">
        <f>IF(AND(N298=1,LEN(TRIM('DATOS'!C298&amp;""))&gt;0),'DATOS'!C298,"")</f>
      </c>
      <c r="E298" s="26">
        <f>IF(NOT(ISNUMBER(P298)),"",IF(P298=2,"ROJO",IF(P298=1,"ÁMBAR","VERDE")))</f>
      </c>
      <c r="F298" s="26">
        <f>IF(NOT(ISNUMBER(Q298)),"",IF(Q298=2,"ROJO",IF(Q298=1,"ÁMBAR","VERDE")))</f>
      </c>
      <c r="G298" s="26">
        <f>IF(NOT(ISNUMBER(R298)),"",IF(R298=2,"ROJO",IF(R298=1,"ÁMBAR","VERDE")))</f>
      </c>
      <c r="H298" s="26">
        <f>IF(NOT(ISNUMBER(S298)),"",IF(S298=2,"ROJO",IF(S298=1,"ÁMBAR","VERDE")))</f>
      </c>
      <c r="I298" s="26">
        <f>IF(NOT(ISNUMBER(T298)),"",IF(T298=2,"ROJO",IF(T298=1,"ÁMBAR","VERDE")))</f>
      </c>
      <c r="J298" s="26">
        <f>IF(NOT(ISNUMBER(O298)),"",IF(O298=2,"ROJO",IF(O298=1,"ÁMBAR","VERDE")))</f>
      </c>
      <c r="K298" s="26">
        <f>IFERROR(IF(AND(N298=1,LEN(TRIM('DATOS'!N298&amp;""))&gt;0),'DATOS'!N298,""),"Hay una entrada con error. Corregimos el dato antes de cerrar la comprobación.")</f>
      </c>
      <c r="L298" s="26">
        <f>IFERROR(IF(N298=0,"",IF(O298&gt;0,"Completamos datos, claves o motivo. ","")&amp;IF(P298&gt;0,"Cotejamos precios e importe. ","")&amp;IF(Q298&gt;0,"Aclaramos el cero. ","")&amp;IF(R298&gt;0,"Comprobamos el texto. ","")&amp;IF(S298&gt;0,"Revisamos decimales visibles. ","")&amp;IF(T298&gt;0,"Confirmamos la unidad.","")),"Hay una entrada con error. Corregimos el dato antes de cerrar la comprobación.")</f>
      </c>
      <c r="N298" s="29" t="n">
        <f>IF(COUNTA('DATOS'!B298:O298)&gt;0,1,0)</f>
        <v>0</v>
      </c>
      <c r="O298" s="29">
        <f>IFERROR(IF(N298=0,"",IF(OR(NOT(AND(LEN(TRIM('DATOS'!B298&amp;""))&gt;0,TRIM('DATOS'!B298&amp;"")&lt;&gt;"Pendiente",TRIM('DATOS'!B298&amp;"")&lt;&gt;"Por confirmar",TRIM('DATOS'!B298&amp;"")&lt;&gt;"No consta",TRIM('DATOS'!B298&amp;"")&lt;&gt;"Desconocido",TRIM('DATOS'!B298&amp;"")&lt;&gt;"Sin confirmar",TRIM('DATOS'!B298&amp;"")&lt;&gt;"Por decidir",TRIM('DATOS'!B298&amp;"")&lt;&gt;"Por comprobar")),NOT(AND(LEN(TRIM('DATOS'!C298&amp;""))&gt;0,TRIM('DATOS'!C298&amp;"")&lt;&gt;"Pendiente",TRIM('DATOS'!C298&amp;"")&lt;&gt;"Por confirmar",TRIM('DATOS'!C298&amp;"")&lt;&gt;"No consta",TRIM('DATOS'!C298&amp;"")&lt;&gt;"Desconocido",TRIM('DATOS'!C298&amp;"")&lt;&gt;"Sin confirmar",TRIM('DATOS'!C298&amp;"")&lt;&gt;"Por decidir",TRIM('DATOS'!C298&amp;"")&lt;&gt;"Por comprobar")),NOT(AND(LEN(TRIM('DATOS'!D298&amp;""))&gt;0,TRIM('DATOS'!D298&amp;"")&lt;&gt;"Pendiente",TRIM('DATOS'!D298&amp;"")&lt;&gt;"Por confirmar",TRIM('DATOS'!D298&amp;"")&lt;&gt;"No consta",TRIM('DATOS'!D298&amp;"")&lt;&gt;"Desconocido",TRIM('DATOS'!D298&amp;"")&lt;&gt;"Sin confirmar",TRIM('DATOS'!D298&amp;"")&lt;&gt;"Por decidir",TRIM('DATOS'!D298&amp;"")&lt;&gt;"Por comprobar")),NOT(AND(LEN(TRIM('DATOS'!E298&amp;""))&gt;0,TRIM('DATOS'!E298&amp;"")&lt;&gt;"Pendiente",TRIM('DATOS'!E298&amp;"")&lt;&gt;"Por confirmar",TRIM('DATOS'!E298&amp;"")&lt;&gt;"No consta",TRIM('DATOS'!E298&amp;"")&lt;&gt;"Desconocido",TRIM('DATOS'!E298&amp;"")&lt;&gt;"Sin confirmar",TRIM('DATOS'!E298&amp;"")&lt;&gt;"Por decidir",TRIM('DATOS'!E298&amp;"")&lt;&gt;"Por comprobar")),NOT(AND(LEN(TRIM('DATOS'!F298&amp;""))&gt;0,TRIM('DATOS'!F298&amp;"")&lt;&gt;"Pendiente",TRIM('DATOS'!F298&amp;"")&lt;&gt;"Por confirmar",TRIM('DATOS'!F298&amp;"")&lt;&gt;"No consta",TRIM('DATOS'!F298&amp;"")&lt;&gt;"Desconocido",TRIM('DATOS'!F298&amp;"")&lt;&gt;"Sin confirmar",TRIM('DATOS'!F298&amp;"")&lt;&gt;"Por decidir",TRIM('DATOS'!F298&amp;"")&lt;&gt;"Por comprobar")),NOT(AND(LEN(TRIM('DATOS'!N298&amp;""))&gt;0,TRIM('DATOS'!N298&amp;"")&lt;&gt;"Pendiente",TRIM('DATOS'!N298&amp;"")&lt;&gt;"Por confirmar",TRIM('DATOS'!N298&amp;"")&lt;&gt;"No consta",TRIM('DATOS'!N298&amp;"")&lt;&gt;"Desconocido",TRIM('DATOS'!N298&amp;"")&lt;&gt;"Sin confirmar",TRIM('DATOS'!N298&amp;"")&lt;&gt;"Por decidir",TRIM('DATOS'!N298&amp;"")&lt;&gt;"Por comprobar")),NOT(Y298=1),W298&lt;&gt;1,X298&gt;1,NOT(OR(LEN(TRIM('DATOS'!K298&amp;""))=0,'DATOS'!K298="Sin valorar",'DATOS'!K298="Sin coste documentado",'DATOS'!K298="Incluido en otra partida",'DATOS'!K298="Por confirmar")),NOT(OR(LEN(TRIM('DATOS'!M298&amp;""))=0,'DATOS'!M298="Sí",'DATOS'!M298="No",'DATOS'!M298="Por confirmar")),NOT(OR(LEN(TRIM('DATOS'!O298&amp;""))=0,'DATOS'!O298="Comparamos",'DATOS'!O298="No existe",'DATOS'!O298="Por confirmar"))),2,IF(AND(OR('DATOS'!G298&lt;0,'DATOS'!H298&lt;0,'DATOS'!J298&lt;0),NOT(AND(LEN(TRIM('DATOS'!L298&amp;""))&gt;0,TRIM('DATOS'!L298&amp;"")&lt;&gt;"Pendiente",TRIM('DATOS'!L298&amp;"")&lt;&gt;"Por confirmar",TRIM('DATOS'!L298&amp;"")&lt;&gt;"No consta",TRIM('DATOS'!L298&amp;"")&lt;&gt;"Desconocido",TRIM('DATOS'!L298&amp;"")&lt;&gt;"Sin confirmar",TRIM('DATOS'!L298&amp;"")&lt;&gt;"Por decidir",TRIM('DATOS'!L298&amp;"")&lt;&gt;"Por comprobar"))),1,0))),2)</f>
      </c>
      <c r="P298" s="29">
        <f>IFERROR(IF(N298=0,"",IF(NOT(Y298=1),1,IF('REFERENCIAS'!$Q$8&lt;&gt;1,2,IF(ABS('DATOS'!J298-ROUND('DATOS'!G298*'DATOS'!H298,'REFERENCIAS'!$K$8))&gt;0.00000001,2,IF('DATOS'!O298="No existe",IF(LEN(TRIM('DATOS'!I298&amp;""))=0,0,2),IF('DATOS'!O298="Comparamos",IF(LEN(TRIM('DATOS'!I298&amp;""))=0,1,IF(ISNUMBER('DATOS'!I298),IF(ABS('DATOS'!H298-'DATOS'!I298)&gt;0.00000001,2,0),2)),1)))))),2)</f>
      </c>
      <c r="Q298" s="29">
        <f>IFERROR(IF(N298=0,"",IF(NOT(Y298=1),1,IF('DATOS'!K298="Sin valorar",2,IF('DATOS'!G298=0,1,IF(OR('DATOS'!H298=0,'DATOS'!J298=0),IF(AND(OR('DATOS'!K298="Sin coste documentado",'DATOS'!K298="Incluido en otra partida"),AND(LEN(TRIM('DATOS'!L298&amp;""))&gt;0,TRIM('DATOS'!L298&amp;"")&lt;&gt;"Pendiente",TRIM('DATOS'!L298&amp;"")&lt;&gt;"Por confirmar",TRIM('DATOS'!L298&amp;"")&lt;&gt;"No consta",TRIM('DATOS'!L298&amp;"")&lt;&gt;"Desconocido",TRIM('DATOS'!L298&amp;"")&lt;&gt;"Sin confirmar",TRIM('DATOS'!L298&amp;"")&lt;&gt;"Por decidir",TRIM('DATOS'!L298&amp;"")&lt;&gt;"Por comprobar")),0,1),0))))),2)</f>
      </c>
      <c r="R298" s="29">
        <f>IFERROR(IF(N298=0,"",IF(OR(NOT(AND(LEN(TRIM('DATOS'!D298&amp;""))&gt;0,TRIM('DATOS'!D298&amp;"")&lt;&gt;"Pendiente",TRIM('DATOS'!D298&amp;"")&lt;&gt;"Por confirmar",TRIM('DATOS'!D298&amp;"")&lt;&gt;"No consta",TRIM('DATOS'!D298&amp;"")&lt;&gt;"Desconocido",TRIM('DATOS'!D298&amp;"")&lt;&gt;"Sin confirmar",TRIM('DATOS'!D298&amp;"")&lt;&gt;"Por decidir",TRIM('DATOS'!D298&amp;"")&lt;&gt;"Por comprobar")),NOT(AND(LEN(TRIM('DATOS'!E298&amp;""))&gt;0,TRIM('DATOS'!E298&amp;"")&lt;&gt;"Pendiente",TRIM('DATOS'!E298&amp;"")&lt;&gt;"Por confirmar",TRIM('DATOS'!E298&amp;"")&lt;&gt;"No consta",TRIM('DATOS'!E298&amp;"")&lt;&gt;"Desconocido",TRIM('DATOS'!E298&amp;"")&lt;&gt;"Sin confirmar",TRIM('DATOS'!E298&amp;"")&lt;&gt;"Por decidir",TRIM('DATOS'!E298&amp;"")&lt;&gt;"Por comprobar"))),2,IF('DATOS'!M298="No",2,IF('DATOS'!M298="Sí",0,IF(OR('DATOS'!D298&lt;&gt;'DATOS'!E298,LEN('DATOS'!E298)&gt;300,RIGHT(TRIM('DATOS'!E298),3)="...",RIGHT(TRIM('DATOS'!E298),1)="…"),1,0))))),2)</f>
      </c>
      <c r="S298" s="29">
        <f>IFERROR(IF(N298=0,"",IF('REFERENCIAS'!$Q$8&lt;&gt;1,2,IF(NOT(Y298=1),1,IF(OR(ABS('DATOS'!G298-ROUND('DATOS'!G298,'REFERENCIAS'!$E$8))&gt;0.00000001,ABS('DATOS'!H298-ROUND('DATOS'!H298,'REFERENCIAS'!$H$8))&gt;0.00000001,ABS('DATOS'!J298-ROUND('DATOS'!J298,'REFERENCIAS'!$K$8))&gt;0.00000001,IF(ISNUMBER('DATOS'!I298),ABS('DATOS'!I298-ROUND('DATOS'!I298,'REFERENCIAS'!$H$8))&gt;0.00000001,FALSE)),1,0)))),2)</f>
      </c>
      <c r="T298" s="29">
        <f>IFERROR(IF(N298=0,"",IF(NOT(AND(LEN(TRIM('DATOS'!F298&amp;""))&gt;0,TRIM('DATOS'!F298&amp;"")&lt;&gt;"Pendiente",TRIM('DATOS'!F298&amp;"")&lt;&gt;"Por confirmar",TRIM('DATOS'!F298&amp;"")&lt;&gt;"No consta",TRIM('DATOS'!F298&amp;"")&lt;&gt;"Desconocido",TRIM('DATOS'!F298&amp;"")&lt;&gt;"Sin confirmar",TRIM('DATOS'!F298&amp;"")&lt;&gt;"Por decidir",TRIM('DATOS'!F298&amp;"")&lt;&gt;"Por comprobar")),2,IF(COUNTIFS('REFERENCIAS'!$T$15:$T$34,"ID:"&amp;SUBSTITUTE(SUBSTITUTE(SUBSTITUTE(SUBSTITUTE(UPPER(TRIM('DATOS'!F298&amp;"")),"!","!E"),"*","!A"),"?","!B"),"~","!C"),'REFERENCIAS'!$H$15:$H$34,"&lt;&gt;")&gt;0,0,1))),2)</f>
      </c>
      <c r="U298" s="29" t="str">
        <f>'DATOS'!R298</f>
        <v>ID:</v>
      </c>
      <c r="V298" s="29" t="str">
        <f>'DATOS'!S298</f>
        <v>ID:</v>
      </c>
      <c r="W298" s="29" t="n">
        <f>IF(N298=0,0,COUNTIFS('REFERENCIAS'!$R$15:$R$64,U298))</f>
        <v>0</v>
      </c>
      <c r="X298" s="29" t="n">
        <f>IF(N298=0,0,COUNTIFS('DATOS'!$R$10:$R$509,U298,'DATOS'!$S$10:$S$509,V298))</f>
        <v>0</v>
      </c>
      <c r="Y298" s="29" t="n">
        <f>IF(AND(ISNUMBER('DATOS'!G298),ISNUMBER('DATOS'!H298),ISNUMBER('DATOS'!J298)),1,0)</f>
        <v>0</v>
      </c>
    </row>
    <row r="299" ht="64" customHeight="1">
      <c r="B299" s="26">
        <f>IF(N299=1,290,"")</f>
      </c>
      <c r="C299" s="26">
        <f>IF(AND(N299=1,LEN(TRIM('DATOS'!B299&amp;""))&gt;0),'DATOS'!B299,"")</f>
      </c>
      <c r="D299" s="26">
        <f>IF(AND(N299=1,LEN(TRIM('DATOS'!C299&amp;""))&gt;0),'DATOS'!C299,"")</f>
      </c>
      <c r="E299" s="26">
        <f>IF(NOT(ISNUMBER(P299)),"",IF(P299=2,"ROJO",IF(P299=1,"ÁMBAR","VERDE")))</f>
      </c>
      <c r="F299" s="26">
        <f>IF(NOT(ISNUMBER(Q299)),"",IF(Q299=2,"ROJO",IF(Q299=1,"ÁMBAR","VERDE")))</f>
      </c>
      <c r="G299" s="26">
        <f>IF(NOT(ISNUMBER(R299)),"",IF(R299=2,"ROJO",IF(R299=1,"ÁMBAR","VERDE")))</f>
      </c>
      <c r="H299" s="26">
        <f>IF(NOT(ISNUMBER(S299)),"",IF(S299=2,"ROJO",IF(S299=1,"ÁMBAR","VERDE")))</f>
      </c>
      <c r="I299" s="26">
        <f>IF(NOT(ISNUMBER(T299)),"",IF(T299=2,"ROJO",IF(T299=1,"ÁMBAR","VERDE")))</f>
      </c>
      <c r="J299" s="26">
        <f>IF(NOT(ISNUMBER(O299)),"",IF(O299=2,"ROJO",IF(O299=1,"ÁMBAR","VERDE")))</f>
      </c>
      <c r="K299" s="26">
        <f>IFERROR(IF(AND(N299=1,LEN(TRIM('DATOS'!N299&amp;""))&gt;0),'DATOS'!N299,""),"Hay una entrada con error. Corregimos el dato antes de cerrar la comprobación.")</f>
      </c>
      <c r="L299" s="26">
        <f>IFERROR(IF(N299=0,"",IF(O299&gt;0,"Completamos datos, claves o motivo. ","")&amp;IF(P299&gt;0,"Cotejamos precios e importe. ","")&amp;IF(Q299&gt;0,"Aclaramos el cero. ","")&amp;IF(R299&gt;0,"Comprobamos el texto. ","")&amp;IF(S299&gt;0,"Revisamos decimales visibles. ","")&amp;IF(T299&gt;0,"Confirmamos la unidad.","")),"Hay una entrada con error. Corregimos el dato antes de cerrar la comprobación.")</f>
      </c>
      <c r="N299" s="29" t="n">
        <f>IF(COUNTA('DATOS'!B299:O299)&gt;0,1,0)</f>
        <v>0</v>
      </c>
      <c r="O299" s="29">
        <f>IFERROR(IF(N299=0,"",IF(OR(NOT(AND(LEN(TRIM('DATOS'!B299&amp;""))&gt;0,TRIM('DATOS'!B299&amp;"")&lt;&gt;"Pendiente",TRIM('DATOS'!B299&amp;"")&lt;&gt;"Por confirmar",TRIM('DATOS'!B299&amp;"")&lt;&gt;"No consta",TRIM('DATOS'!B299&amp;"")&lt;&gt;"Desconocido",TRIM('DATOS'!B299&amp;"")&lt;&gt;"Sin confirmar",TRIM('DATOS'!B299&amp;"")&lt;&gt;"Por decidir",TRIM('DATOS'!B299&amp;"")&lt;&gt;"Por comprobar")),NOT(AND(LEN(TRIM('DATOS'!C299&amp;""))&gt;0,TRIM('DATOS'!C299&amp;"")&lt;&gt;"Pendiente",TRIM('DATOS'!C299&amp;"")&lt;&gt;"Por confirmar",TRIM('DATOS'!C299&amp;"")&lt;&gt;"No consta",TRIM('DATOS'!C299&amp;"")&lt;&gt;"Desconocido",TRIM('DATOS'!C299&amp;"")&lt;&gt;"Sin confirmar",TRIM('DATOS'!C299&amp;"")&lt;&gt;"Por decidir",TRIM('DATOS'!C299&amp;"")&lt;&gt;"Por comprobar")),NOT(AND(LEN(TRIM('DATOS'!D299&amp;""))&gt;0,TRIM('DATOS'!D299&amp;"")&lt;&gt;"Pendiente",TRIM('DATOS'!D299&amp;"")&lt;&gt;"Por confirmar",TRIM('DATOS'!D299&amp;"")&lt;&gt;"No consta",TRIM('DATOS'!D299&amp;"")&lt;&gt;"Desconocido",TRIM('DATOS'!D299&amp;"")&lt;&gt;"Sin confirmar",TRIM('DATOS'!D299&amp;"")&lt;&gt;"Por decidir",TRIM('DATOS'!D299&amp;"")&lt;&gt;"Por comprobar")),NOT(AND(LEN(TRIM('DATOS'!E299&amp;""))&gt;0,TRIM('DATOS'!E299&amp;"")&lt;&gt;"Pendiente",TRIM('DATOS'!E299&amp;"")&lt;&gt;"Por confirmar",TRIM('DATOS'!E299&amp;"")&lt;&gt;"No consta",TRIM('DATOS'!E299&amp;"")&lt;&gt;"Desconocido",TRIM('DATOS'!E299&amp;"")&lt;&gt;"Sin confirmar",TRIM('DATOS'!E299&amp;"")&lt;&gt;"Por decidir",TRIM('DATOS'!E299&amp;"")&lt;&gt;"Por comprobar")),NOT(AND(LEN(TRIM('DATOS'!F299&amp;""))&gt;0,TRIM('DATOS'!F299&amp;"")&lt;&gt;"Pendiente",TRIM('DATOS'!F299&amp;"")&lt;&gt;"Por confirmar",TRIM('DATOS'!F299&amp;"")&lt;&gt;"No consta",TRIM('DATOS'!F299&amp;"")&lt;&gt;"Desconocido",TRIM('DATOS'!F299&amp;"")&lt;&gt;"Sin confirmar",TRIM('DATOS'!F299&amp;"")&lt;&gt;"Por decidir",TRIM('DATOS'!F299&amp;"")&lt;&gt;"Por comprobar")),NOT(AND(LEN(TRIM('DATOS'!N299&amp;""))&gt;0,TRIM('DATOS'!N299&amp;"")&lt;&gt;"Pendiente",TRIM('DATOS'!N299&amp;"")&lt;&gt;"Por confirmar",TRIM('DATOS'!N299&amp;"")&lt;&gt;"No consta",TRIM('DATOS'!N299&amp;"")&lt;&gt;"Desconocido",TRIM('DATOS'!N299&amp;"")&lt;&gt;"Sin confirmar",TRIM('DATOS'!N299&amp;"")&lt;&gt;"Por decidir",TRIM('DATOS'!N299&amp;"")&lt;&gt;"Por comprobar")),NOT(Y299=1),W299&lt;&gt;1,X299&gt;1,NOT(OR(LEN(TRIM('DATOS'!K299&amp;""))=0,'DATOS'!K299="Sin valorar",'DATOS'!K299="Sin coste documentado",'DATOS'!K299="Incluido en otra partida",'DATOS'!K299="Por confirmar")),NOT(OR(LEN(TRIM('DATOS'!M299&amp;""))=0,'DATOS'!M299="Sí",'DATOS'!M299="No",'DATOS'!M299="Por confirmar")),NOT(OR(LEN(TRIM('DATOS'!O299&amp;""))=0,'DATOS'!O299="Comparamos",'DATOS'!O299="No existe",'DATOS'!O299="Por confirmar"))),2,IF(AND(OR('DATOS'!G299&lt;0,'DATOS'!H299&lt;0,'DATOS'!J299&lt;0),NOT(AND(LEN(TRIM('DATOS'!L299&amp;""))&gt;0,TRIM('DATOS'!L299&amp;"")&lt;&gt;"Pendiente",TRIM('DATOS'!L299&amp;"")&lt;&gt;"Por confirmar",TRIM('DATOS'!L299&amp;"")&lt;&gt;"No consta",TRIM('DATOS'!L299&amp;"")&lt;&gt;"Desconocido",TRIM('DATOS'!L299&amp;"")&lt;&gt;"Sin confirmar",TRIM('DATOS'!L299&amp;"")&lt;&gt;"Por decidir",TRIM('DATOS'!L299&amp;"")&lt;&gt;"Por comprobar"))),1,0))),2)</f>
      </c>
      <c r="P299" s="29">
        <f>IFERROR(IF(N299=0,"",IF(NOT(Y299=1),1,IF('REFERENCIAS'!$Q$8&lt;&gt;1,2,IF(ABS('DATOS'!J299-ROUND('DATOS'!G299*'DATOS'!H299,'REFERENCIAS'!$K$8))&gt;0.00000001,2,IF('DATOS'!O299="No existe",IF(LEN(TRIM('DATOS'!I299&amp;""))=0,0,2),IF('DATOS'!O299="Comparamos",IF(LEN(TRIM('DATOS'!I299&amp;""))=0,1,IF(ISNUMBER('DATOS'!I299),IF(ABS('DATOS'!H299-'DATOS'!I299)&gt;0.00000001,2,0),2)),1)))))),2)</f>
      </c>
      <c r="Q299" s="29">
        <f>IFERROR(IF(N299=0,"",IF(NOT(Y299=1),1,IF('DATOS'!K299="Sin valorar",2,IF('DATOS'!G299=0,1,IF(OR('DATOS'!H299=0,'DATOS'!J299=0),IF(AND(OR('DATOS'!K299="Sin coste documentado",'DATOS'!K299="Incluido en otra partida"),AND(LEN(TRIM('DATOS'!L299&amp;""))&gt;0,TRIM('DATOS'!L299&amp;"")&lt;&gt;"Pendiente",TRIM('DATOS'!L299&amp;"")&lt;&gt;"Por confirmar",TRIM('DATOS'!L299&amp;"")&lt;&gt;"No consta",TRIM('DATOS'!L299&amp;"")&lt;&gt;"Desconocido",TRIM('DATOS'!L299&amp;"")&lt;&gt;"Sin confirmar",TRIM('DATOS'!L299&amp;"")&lt;&gt;"Por decidir",TRIM('DATOS'!L299&amp;"")&lt;&gt;"Por comprobar")),0,1),0))))),2)</f>
      </c>
      <c r="R299" s="29">
        <f>IFERROR(IF(N299=0,"",IF(OR(NOT(AND(LEN(TRIM('DATOS'!D299&amp;""))&gt;0,TRIM('DATOS'!D299&amp;"")&lt;&gt;"Pendiente",TRIM('DATOS'!D299&amp;"")&lt;&gt;"Por confirmar",TRIM('DATOS'!D299&amp;"")&lt;&gt;"No consta",TRIM('DATOS'!D299&amp;"")&lt;&gt;"Desconocido",TRIM('DATOS'!D299&amp;"")&lt;&gt;"Sin confirmar",TRIM('DATOS'!D299&amp;"")&lt;&gt;"Por decidir",TRIM('DATOS'!D299&amp;"")&lt;&gt;"Por comprobar")),NOT(AND(LEN(TRIM('DATOS'!E299&amp;""))&gt;0,TRIM('DATOS'!E299&amp;"")&lt;&gt;"Pendiente",TRIM('DATOS'!E299&amp;"")&lt;&gt;"Por confirmar",TRIM('DATOS'!E299&amp;"")&lt;&gt;"No consta",TRIM('DATOS'!E299&amp;"")&lt;&gt;"Desconocido",TRIM('DATOS'!E299&amp;"")&lt;&gt;"Sin confirmar",TRIM('DATOS'!E299&amp;"")&lt;&gt;"Por decidir",TRIM('DATOS'!E299&amp;"")&lt;&gt;"Por comprobar"))),2,IF('DATOS'!M299="No",2,IF('DATOS'!M299="Sí",0,IF(OR('DATOS'!D299&lt;&gt;'DATOS'!E299,LEN('DATOS'!E299)&gt;300,RIGHT(TRIM('DATOS'!E299),3)="...",RIGHT(TRIM('DATOS'!E299),1)="…"),1,0))))),2)</f>
      </c>
      <c r="S299" s="29">
        <f>IFERROR(IF(N299=0,"",IF('REFERENCIAS'!$Q$8&lt;&gt;1,2,IF(NOT(Y299=1),1,IF(OR(ABS('DATOS'!G299-ROUND('DATOS'!G299,'REFERENCIAS'!$E$8))&gt;0.00000001,ABS('DATOS'!H299-ROUND('DATOS'!H299,'REFERENCIAS'!$H$8))&gt;0.00000001,ABS('DATOS'!J299-ROUND('DATOS'!J299,'REFERENCIAS'!$K$8))&gt;0.00000001,IF(ISNUMBER('DATOS'!I299),ABS('DATOS'!I299-ROUND('DATOS'!I299,'REFERENCIAS'!$H$8))&gt;0.00000001,FALSE)),1,0)))),2)</f>
      </c>
      <c r="T299" s="29">
        <f>IFERROR(IF(N299=0,"",IF(NOT(AND(LEN(TRIM('DATOS'!F299&amp;""))&gt;0,TRIM('DATOS'!F299&amp;"")&lt;&gt;"Pendiente",TRIM('DATOS'!F299&amp;"")&lt;&gt;"Por confirmar",TRIM('DATOS'!F299&amp;"")&lt;&gt;"No consta",TRIM('DATOS'!F299&amp;"")&lt;&gt;"Desconocido",TRIM('DATOS'!F299&amp;"")&lt;&gt;"Sin confirmar",TRIM('DATOS'!F299&amp;"")&lt;&gt;"Por decidir",TRIM('DATOS'!F299&amp;"")&lt;&gt;"Por comprobar")),2,IF(COUNTIFS('REFERENCIAS'!$T$15:$T$34,"ID:"&amp;SUBSTITUTE(SUBSTITUTE(SUBSTITUTE(SUBSTITUTE(UPPER(TRIM('DATOS'!F299&amp;"")),"!","!E"),"*","!A"),"?","!B"),"~","!C"),'REFERENCIAS'!$H$15:$H$34,"&lt;&gt;")&gt;0,0,1))),2)</f>
      </c>
      <c r="U299" s="29" t="str">
        <f>'DATOS'!R299</f>
        <v>ID:</v>
      </c>
      <c r="V299" s="29" t="str">
        <f>'DATOS'!S299</f>
        <v>ID:</v>
      </c>
      <c r="W299" s="29" t="n">
        <f>IF(N299=0,0,COUNTIFS('REFERENCIAS'!$R$15:$R$64,U299))</f>
        <v>0</v>
      </c>
      <c r="X299" s="29" t="n">
        <f>IF(N299=0,0,COUNTIFS('DATOS'!$R$10:$R$509,U299,'DATOS'!$S$10:$S$509,V299))</f>
        <v>0</v>
      </c>
      <c r="Y299" s="29" t="n">
        <f>IF(AND(ISNUMBER('DATOS'!G299),ISNUMBER('DATOS'!H299),ISNUMBER('DATOS'!J299)),1,0)</f>
        <v>0</v>
      </c>
    </row>
    <row r="300" ht="64" customHeight="1">
      <c r="B300" s="26">
        <f>IF(N300=1,291,"")</f>
      </c>
      <c r="C300" s="26">
        <f>IF(AND(N300=1,LEN(TRIM('DATOS'!B300&amp;""))&gt;0),'DATOS'!B300,"")</f>
      </c>
      <c r="D300" s="26">
        <f>IF(AND(N300=1,LEN(TRIM('DATOS'!C300&amp;""))&gt;0),'DATOS'!C300,"")</f>
      </c>
      <c r="E300" s="26">
        <f>IF(NOT(ISNUMBER(P300)),"",IF(P300=2,"ROJO",IF(P300=1,"ÁMBAR","VERDE")))</f>
      </c>
      <c r="F300" s="26">
        <f>IF(NOT(ISNUMBER(Q300)),"",IF(Q300=2,"ROJO",IF(Q300=1,"ÁMBAR","VERDE")))</f>
      </c>
      <c r="G300" s="26">
        <f>IF(NOT(ISNUMBER(R300)),"",IF(R300=2,"ROJO",IF(R300=1,"ÁMBAR","VERDE")))</f>
      </c>
      <c r="H300" s="26">
        <f>IF(NOT(ISNUMBER(S300)),"",IF(S300=2,"ROJO",IF(S300=1,"ÁMBAR","VERDE")))</f>
      </c>
      <c r="I300" s="26">
        <f>IF(NOT(ISNUMBER(T300)),"",IF(T300=2,"ROJO",IF(T300=1,"ÁMBAR","VERDE")))</f>
      </c>
      <c r="J300" s="26">
        <f>IF(NOT(ISNUMBER(O300)),"",IF(O300=2,"ROJO",IF(O300=1,"ÁMBAR","VERDE")))</f>
      </c>
      <c r="K300" s="26">
        <f>IFERROR(IF(AND(N300=1,LEN(TRIM('DATOS'!N300&amp;""))&gt;0),'DATOS'!N300,""),"Hay una entrada con error. Corregimos el dato antes de cerrar la comprobación.")</f>
      </c>
      <c r="L300" s="26">
        <f>IFERROR(IF(N300=0,"",IF(O300&gt;0,"Completamos datos, claves o motivo. ","")&amp;IF(P300&gt;0,"Cotejamos precios e importe. ","")&amp;IF(Q300&gt;0,"Aclaramos el cero. ","")&amp;IF(R300&gt;0,"Comprobamos el texto. ","")&amp;IF(S300&gt;0,"Revisamos decimales visibles. ","")&amp;IF(T300&gt;0,"Confirmamos la unidad.","")),"Hay una entrada con error. Corregimos el dato antes de cerrar la comprobación.")</f>
      </c>
      <c r="N300" s="29" t="n">
        <f>IF(COUNTA('DATOS'!B300:O300)&gt;0,1,0)</f>
        <v>0</v>
      </c>
      <c r="O300" s="29">
        <f>IFERROR(IF(N300=0,"",IF(OR(NOT(AND(LEN(TRIM('DATOS'!B300&amp;""))&gt;0,TRIM('DATOS'!B300&amp;"")&lt;&gt;"Pendiente",TRIM('DATOS'!B300&amp;"")&lt;&gt;"Por confirmar",TRIM('DATOS'!B300&amp;"")&lt;&gt;"No consta",TRIM('DATOS'!B300&amp;"")&lt;&gt;"Desconocido",TRIM('DATOS'!B300&amp;"")&lt;&gt;"Sin confirmar",TRIM('DATOS'!B300&amp;"")&lt;&gt;"Por decidir",TRIM('DATOS'!B300&amp;"")&lt;&gt;"Por comprobar")),NOT(AND(LEN(TRIM('DATOS'!C300&amp;""))&gt;0,TRIM('DATOS'!C300&amp;"")&lt;&gt;"Pendiente",TRIM('DATOS'!C300&amp;"")&lt;&gt;"Por confirmar",TRIM('DATOS'!C300&amp;"")&lt;&gt;"No consta",TRIM('DATOS'!C300&amp;"")&lt;&gt;"Desconocido",TRIM('DATOS'!C300&amp;"")&lt;&gt;"Sin confirmar",TRIM('DATOS'!C300&amp;"")&lt;&gt;"Por decidir",TRIM('DATOS'!C300&amp;"")&lt;&gt;"Por comprobar")),NOT(AND(LEN(TRIM('DATOS'!D300&amp;""))&gt;0,TRIM('DATOS'!D300&amp;"")&lt;&gt;"Pendiente",TRIM('DATOS'!D300&amp;"")&lt;&gt;"Por confirmar",TRIM('DATOS'!D300&amp;"")&lt;&gt;"No consta",TRIM('DATOS'!D300&amp;"")&lt;&gt;"Desconocido",TRIM('DATOS'!D300&amp;"")&lt;&gt;"Sin confirmar",TRIM('DATOS'!D300&amp;"")&lt;&gt;"Por decidir",TRIM('DATOS'!D300&amp;"")&lt;&gt;"Por comprobar")),NOT(AND(LEN(TRIM('DATOS'!E300&amp;""))&gt;0,TRIM('DATOS'!E300&amp;"")&lt;&gt;"Pendiente",TRIM('DATOS'!E300&amp;"")&lt;&gt;"Por confirmar",TRIM('DATOS'!E300&amp;"")&lt;&gt;"No consta",TRIM('DATOS'!E300&amp;"")&lt;&gt;"Desconocido",TRIM('DATOS'!E300&amp;"")&lt;&gt;"Sin confirmar",TRIM('DATOS'!E300&amp;"")&lt;&gt;"Por decidir",TRIM('DATOS'!E300&amp;"")&lt;&gt;"Por comprobar")),NOT(AND(LEN(TRIM('DATOS'!F300&amp;""))&gt;0,TRIM('DATOS'!F300&amp;"")&lt;&gt;"Pendiente",TRIM('DATOS'!F300&amp;"")&lt;&gt;"Por confirmar",TRIM('DATOS'!F300&amp;"")&lt;&gt;"No consta",TRIM('DATOS'!F300&amp;"")&lt;&gt;"Desconocido",TRIM('DATOS'!F300&amp;"")&lt;&gt;"Sin confirmar",TRIM('DATOS'!F300&amp;"")&lt;&gt;"Por decidir",TRIM('DATOS'!F300&amp;"")&lt;&gt;"Por comprobar")),NOT(AND(LEN(TRIM('DATOS'!N300&amp;""))&gt;0,TRIM('DATOS'!N300&amp;"")&lt;&gt;"Pendiente",TRIM('DATOS'!N300&amp;"")&lt;&gt;"Por confirmar",TRIM('DATOS'!N300&amp;"")&lt;&gt;"No consta",TRIM('DATOS'!N300&amp;"")&lt;&gt;"Desconocido",TRIM('DATOS'!N300&amp;"")&lt;&gt;"Sin confirmar",TRIM('DATOS'!N300&amp;"")&lt;&gt;"Por decidir",TRIM('DATOS'!N300&amp;"")&lt;&gt;"Por comprobar")),NOT(Y300=1),W300&lt;&gt;1,X300&gt;1,NOT(OR(LEN(TRIM('DATOS'!K300&amp;""))=0,'DATOS'!K300="Sin valorar",'DATOS'!K300="Sin coste documentado",'DATOS'!K300="Incluido en otra partida",'DATOS'!K300="Por confirmar")),NOT(OR(LEN(TRIM('DATOS'!M300&amp;""))=0,'DATOS'!M300="Sí",'DATOS'!M300="No",'DATOS'!M300="Por confirmar")),NOT(OR(LEN(TRIM('DATOS'!O300&amp;""))=0,'DATOS'!O300="Comparamos",'DATOS'!O300="No existe",'DATOS'!O300="Por confirmar"))),2,IF(AND(OR('DATOS'!G300&lt;0,'DATOS'!H300&lt;0,'DATOS'!J300&lt;0),NOT(AND(LEN(TRIM('DATOS'!L300&amp;""))&gt;0,TRIM('DATOS'!L300&amp;"")&lt;&gt;"Pendiente",TRIM('DATOS'!L300&amp;"")&lt;&gt;"Por confirmar",TRIM('DATOS'!L300&amp;"")&lt;&gt;"No consta",TRIM('DATOS'!L300&amp;"")&lt;&gt;"Desconocido",TRIM('DATOS'!L300&amp;"")&lt;&gt;"Sin confirmar",TRIM('DATOS'!L300&amp;"")&lt;&gt;"Por decidir",TRIM('DATOS'!L300&amp;"")&lt;&gt;"Por comprobar"))),1,0))),2)</f>
      </c>
      <c r="P300" s="29">
        <f>IFERROR(IF(N300=0,"",IF(NOT(Y300=1),1,IF('REFERENCIAS'!$Q$8&lt;&gt;1,2,IF(ABS('DATOS'!J300-ROUND('DATOS'!G300*'DATOS'!H300,'REFERENCIAS'!$K$8))&gt;0.00000001,2,IF('DATOS'!O300="No existe",IF(LEN(TRIM('DATOS'!I300&amp;""))=0,0,2),IF('DATOS'!O300="Comparamos",IF(LEN(TRIM('DATOS'!I300&amp;""))=0,1,IF(ISNUMBER('DATOS'!I300),IF(ABS('DATOS'!H300-'DATOS'!I300)&gt;0.00000001,2,0),2)),1)))))),2)</f>
      </c>
      <c r="Q300" s="29">
        <f>IFERROR(IF(N300=0,"",IF(NOT(Y300=1),1,IF('DATOS'!K300="Sin valorar",2,IF('DATOS'!G300=0,1,IF(OR('DATOS'!H300=0,'DATOS'!J300=0),IF(AND(OR('DATOS'!K300="Sin coste documentado",'DATOS'!K300="Incluido en otra partida"),AND(LEN(TRIM('DATOS'!L300&amp;""))&gt;0,TRIM('DATOS'!L300&amp;"")&lt;&gt;"Pendiente",TRIM('DATOS'!L300&amp;"")&lt;&gt;"Por confirmar",TRIM('DATOS'!L300&amp;"")&lt;&gt;"No consta",TRIM('DATOS'!L300&amp;"")&lt;&gt;"Desconocido",TRIM('DATOS'!L300&amp;"")&lt;&gt;"Sin confirmar",TRIM('DATOS'!L300&amp;"")&lt;&gt;"Por decidir",TRIM('DATOS'!L300&amp;"")&lt;&gt;"Por comprobar")),0,1),0))))),2)</f>
      </c>
      <c r="R300" s="29">
        <f>IFERROR(IF(N300=0,"",IF(OR(NOT(AND(LEN(TRIM('DATOS'!D300&amp;""))&gt;0,TRIM('DATOS'!D300&amp;"")&lt;&gt;"Pendiente",TRIM('DATOS'!D300&amp;"")&lt;&gt;"Por confirmar",TRIM('DATOS'!D300&amp;"")&lt;&gt;"No consta",TRIM('DATOS'!D300&amp;"")&lt;&gt;"Desconocido",TRIM('DATOS'!D300&amp;"")&lt;&gt;"Sin confirmar",TRIM('DATOS'!D300&amp;"")&lt;&gt;"Por decidir",TRIM('DATOS'!D300&amp;"")&lt;&gt;"Por comprobar")),NOT(AND(LEN(TRIM('DATOS'!E300&amp;""))&gt;0,TRIM('DATOS'!E300&amp;"")&lt;&gt;"Pendiente",TRIM('DATOS'!E300&amp;"")&lt;&gt;"Por confirmar",TRIM('DATOS'!E300&amp;"")&lt;&gt;"No consta",TRIM('DATOS'!E300&amp;"")&lt;&gt;"Desconocido",TRIM('DATOS'!E300&amp;"")&lt;&gt;"Sin confirmar",TRIM('DATOS'!E300&amp;"")&lt;&gt;"Por decidir",TRIM('DATOS'!E300&amp;"")&lt;&gt;"Por comprobar"))),2,IF('DATOS'!M300="No",2,IF('DATOS'!M300="Sí",0,IF(OR('DATOS'!D300&lt;&gt;'DATOS'!E300,LEN('DATOS'!E300)&gt;300,RIGHT(TRIM('DATOS'!E300),3)="...",RIGHT(TRIM('DATOS'!E300),1)="…"),1,0))))),2)</f>
      </c>
      <c r="S300" s="29">
        <f>IFERROR(IF(N300=0,"",IF('REFERENCIAS'!$Q$8&lt;&gt;1,2,IF(NOT(Y300=1),1,IF(OR(ABS('DATOS'!G300-ROUND('DATOS'!G300,'REFERENCIAS'!$E$8))&gt;0.00000001,ABS('DATOS'!H300-ROUND('DATOS'!H300,'REFERENCIAS'!$H$8))&gt;0.00000001,ABS('DATOS'!J300-ROUND('DATOS'!J300,'REFERENCIAS'!$K$8))&gt;0.00000001,IF(ISNUMBER('DATOS'!I300),ABS('DATOS'!I300-ROUND('DATOS'!I300,'REFERENCIAS'!$H$8))&gt;0.00000001,FALSE)),1,0)))),2)</f>
      </c>
      <c r="T300" s="29">
        <f>IFERROR(IF(N300=0,"",IF(NOT(AND(LEN(TRIM('DATOS'!F300&amp;""))&gt;0,TRIM('DATOS'!F300&amp;"")&lt;&gt;"Pendiente",TRIM('DATOS'!F300&amp;"")&lt;&gt;"Por confirmar",TRIM('DATOS'!F300&amp;"")&lt;&gt;"No consta",TRIM('DATOS'!F300&amp;"")&lt;&gt;"Desconocido",TRIM('DATOS'!F300&amp;"")&lt;&gt;"Sin confirmar",TRIM('DATOS'!F300&amp;"")&lt;&gt;"Por decidir",TRIM('DATOS'!F300&amp;"")&lt;&gt;"Por comprobar")),2,IF(COUNTIFS('REFERENCIAS'!$T$15:$T$34,"ID:"&amp;SUBSTITUTE(SUBSTITUTE(SUBSTITUTE(SUBSTITUTE(UPPER(TRIM('DATOS'!F300&amp;"")),"!","!E"),"*","!A"),"?","!B"),"~","!C"),'REFERENCIAS'!$H$15:$H$34,"&lt;&gt;")&gt;0,0,1))),2)</f>
      </c>
      <c r="U300" s="29" t="str">
        <f>'DATOS'!R300</f>
        <v>ID:</v>
      </c>
      <c r="V300" s="29" t="str">
        <f>'DATOS'!S300</f>
        <v>ID:</v>
      </c>
      <c r="W300" s="29" t="n">
        <f>IF(N300=0,0,COUNTIFS('REFERENCIAS'!$R$15:$R$64,U300))</f>
        <v>0</v>
      </c>
      <c r="X300" s="29" t="n">
        <f>IF(N300=0,0,COUNTIFS('DATOS'!$R$10:$R$509,U300,'DATOS'!$S$10:$S$509,V300))</f>
        <v>0</v>
      </c>
      <c r="Y300" s="29" t="n">
        <f>IF(AND(ISNUMBER('DATOS'!G300),ISNUMBER('DATOS'!H300),ISNUMBER('DATOS'!J300)),1,0)</f>
        <v>0</v>
      </c>
    </row>
    <row r="301" ht="64" customHeight="1">
      <c r="B301" s="26">
        <f>IF(N301=1,292,"")</f>
      </c>
      <c r="C301" s="26">
        <f>IF(AND(N301=1,LEN(TRIM('DATOS'!B301&amp;""))&gt;0),'DATOS'!B301,"")</f>
      </c>
      <c r="D301" s="26">
        <f>IF(AND(N301=1,LEN(TRIM('DATOS'!C301&amp;""))&gt;0),'DATOS'!C301,"")</f>
      </c>
      <c r="E301" s="26">
        <f>IF(NOT(ISNUMBER(P301)),"",IF(P301=2,"ROJO",IF(P301=1,"ÁMBAR","VERDE")))</f>
      </c>
      <c r="F301" s="26">
        <f>IF(NOT(ISNUMBER(Q301)),"",IF(Q301=2,"ROJO",IF(Q301=1,"ÁMBAR","VERDE")))</f>
      </c>
      <c r="G301" s="26">
        <f>IF(NOT(ISNUMBER(R301)),"",IF(R301=2,"ROJO",IF(R301=1,"ÁMBAR","VERDE")))</f>
      </c>
      <c r="H301" s="26">
        <f>IF(NOT(ISNUMBER(S301)),"",IF(S301=2,"ROJO",IF(S301=1,"ÁMBAR","VERDE")))</f>
      </c>
      <c r="I301" s="26">
        <f>IF(NOT(ISNUMBER(T301)),"",IF(T301=2,"ROJO",IF(T301=1,"ÁMBAR","VERDE")))</f>
      </c>
      <c r="J301" s="26">
        <f>IF(NOT(ISNUMBER(O301)),"",IF(O301=2,"ROJO",IF(O301=1,"ÁMBAR","VERDE")))</f>
      </c>
      <c r="K301" s="26">
        <f>IFERROR(IF(AND(N301=1,LEN(TRIM('DATOS'!N301&amp;""))&gt;0),'DATOS'!N301,""),"Hay una entrada con error. Corregimos el dato antes de cerrar la comprobación.")</f>
      </c>
      <c r="L301" s="26">
        <f>IFERROR(IF(N301=0,"",IF(O301&gt;0,"Completamos datos, claves o motivo. ","")&amp;IF(P301&gt;0,"Cotejamos precios e importe. ","")&amp;IF(Q301&gt;0,"Aclaramos el cero. ","")&amp;IF(R301&gt;0,"Comprobamos el texto. ","")&amp;IF(S301&gt;0,"Revisamos decimales visibles. ","")&amp;IF(T301&gt;0,"Confirmamos la unidad.","")),"Hay una entrada con error. Corregimos el dato antes de cerrar la comprobación.")</f>
      </c>
      <c r="N301" s="29" t="n">
        <f>IF(COUNTA('DATOS'!B301:O301)&gt;0,1,0)</f>
        <v>0</v>
      </c>
      <c r="O301" s="29">
        <f>IFERROR(IF(N301=0,"",IF(OR(NOT(AND(LEN(TRIM('DATOS'!B301&amp;""))&gt;0,TRIM('DATOS'!B301&amp;"")&lt;&gt;"Pendiente",TRIM('DATOS'!B301&amp;"")&lt;&gt;"Por confirmar",TRIM('DATOS'!B301&amp;"")&lt;&gt;"No consta",TRIM('DATOS'!B301&amp;"")&lt;&gt;"Desconocido",TRIM('DATOS'!B301&amp;"")&lt;&gt;"Sin confirmar",TRIM('DATOS'!B301&amp;"")&lt;&gt;"Por decidir",TRIM('DATOS'!B301&amp;"")&lt;&gt;"Por comprobar")),NOT(AND(LEN(TRIM('DATOS'!C301&amp;""))&gt;0,TRIM('DATOS'!C301&amp;"")&lt;&gt;"Pendiente",TRIM('DATOS'!C301&amp;"")&lt;&gt;"Por confirmar",TRIM('DATOS'!C301&amp;"")&lt;&gt;"No consta",TRIM('DATOS'!C301&amp;"")&lt;&gt;"Desconocido",TRIM('DATOS'!C301&amp;"")&lt;&gt;"Sin confirmar",TRIM('DATOS'!C301&amp;"")&lt;&gt;"Por decidir",TRIM('DATOS'!C301&amp;"")&lt;&gt;"Por comprobar")),NOT(AND(LEN(TRIM('DATOS'!D301&amp;""))&gt;0,TRIM('DATOS'!D301&amp;"")&lt;&gt;"Pendiente",TRIM('DATOS'!D301&amp;"")&lt;&gt;"Por confirmar",TRIM('DATOS'!D301&amp;"")&lt;&gt;"No consta",TRIM('DATOS'!D301&amp;"")&lt;&gt;"Desconocido",TRIM('DATOS'!D301&amp;"")&lt;&gt;"Sin confirmar",TRIM('DATOS'!D301&amp;"")&lt;&gt;"Por decidir",TRIM('DATOS'!D301&amp;"")&lt;&gt;"Por comprobar")),NOT(AND(LEN(TRIM('DATOS'!E301&amp;""))&gt;0,TRIM('DATOS'!E301&amp;"")&lt;&gt;"Pendiente",TRIM('DATOS'!E301&amp;"")&lt;&gt;"Por confirmar",TRIM('DATOS'!E301&amp;"")&lt;&gt;"No consta",TRIM('DATOS'!E301&amp;"")&lt;&gt;"Desconocido",TRIM('DATOS'!E301&amp;"")&lt;&gt;"Sin confirmar",TRIM('DATOS'!E301&amp;"")&lt;&gt;"Por decidir",TRIM('DATOS'!E301&amp;"")&lt;&gt;"Por comprobar")),NOT(AND(LEN(TRIM('DATOS'!F301&amp;""))&gt;0,TRIM('DATOS'!F301&amp;"")&lt;&gt;"Pendiente",TRIM('DATOS'!F301&amp;"")&lt;&gt;"Por confirmar",TRIM('DATOS'!F301&amp;"")&lt;&gt;"No consta",TRIM('DATOS'!F301&amp;"")&lt;&gt;"Desconocido",TRIM('DATOS'!F301&amp;"")&lt;&gt;"Sin confirmar",TRIM('DATOS'!F301&amp;"")&lt;&gt;"Por decidir",TRIM('DATOS'!F301&amp;"")&lt;&gt;"Por comprobar")),NOT(AND(LEN(TRIM('DATOS'!N301&amp;""))&gt;0,TRIM('DATOS'!N301&amp;"")&lt;&gt;"Pendiente",TRIM('DATOS'!N301&amp;"")&lt;&gt;"Por confirmar",TRIM('DATOS'!N301&amp;"")&lt;&gt;"No consta",TRIM('DATOS'!N301&amp;"")&lt;&gt;"Desconocido",TRIM('DATOS'!N301&amp;"")&lt;&gt;"Sin confirmar",TRIM('DATOS'!N301&amp;"")&lt;&gt;"Por decidir",TRIM('DATOS'!N301&amp;"")&lt;&gt;"Por comprobar")),NOT(Y301=1),W301&lt;&gt;1,X301&gt;1,NOT(OR(LEN(TRIM('DATOS'!K301&amp;""))=0,'DATOS'!K301="Sin valorar",'DATOS'!K301="Sin coste documentado",'DATOS'!K301="Incluido en otra partida",'DATOS'!K301="Por confirmar")),NOT(OR(LEN(TRIM('DATOS'!M301&amp;""))=0,'DATOS'!M301="Sí",'DATOS'!M301="No",'DATOS'!M301="Por confirmar")),NOT(OR(LEN(TRIM('DATOS'!O301&amp;""))=0,'DATOS'!O301="Comparamos",'DATOS'!O301="No existe",'DATOS'!O301="Por confirmar"))),2,IF(AND(OR('DATOS'!G301&lt;0,'DATOS'!H301&lt;0,'DATOS'!J301&lt;0),NOT(AND(LEN(TRIM('DATOS'!L301&amp;""))&gt;0,TRIM('DATOS'!L301&amp;"")&lt;&gt;"Pendiente",TRIM('DATOS'!L301&amp;"")&lt;&gt;"Por confirmar",TRIM('DATOS'!L301&amp;"")&lt;&gt;"No consta",TRIM('DATOS'!L301&amp;"")&lt;&gt;"Desconocido",TRIM('DATOS'!L301&amp;"")&lt;&gt;"Sin confirmar",TRIM('DATOS'!L301&amp;"")&lt;&gt;"Por decidir",TRIM('DATOS'!L301&amp;"")&lt;&gt;"Por comprobar"))),1,0))),2)</f>
      </c>
      <c r="P301" s="29">
        <f>IFERROR(IF(N301=0,"",IF(NOT(Y301=1),1,IF('REFERENCIAS'!$Q$8&lt;&gt;1,2,IF(ABS('DATOS'!J301-ROUND('DATOS'!G301*'DATOS'!H301,'REFERENCIAS'!$K$8))&gt;0.00000001,2,IF('DATOS'!O301="No existe",IF(LEN(TRIM('DATOS'!I301&amp;""))=0,0,2),IF('DATOS'!O301="Comparamos",IF(LEN(TRIM('DATOS'!I301&amp;""))=0,1,IF(ISNUMBER('DATOS'!I301),IF(ABS('DATOS'!H301-'DATOS'!I301)&gt;0.00000001,2,0),2)),1)))))),2)</f>
      </c>
      <c r="Q301" s="29">
        <f>IFERROR(IF(N301=0,"",IF(NOT(Y301=1),1,IF('DATOS'!K301="Sin valorar",2,IF('DATOS'!G301=0,1,IF(OR('DATOS'!H301=0,'DATOS'!J301=0),IF(AND(OR('DATOS'!K301="Sin coste documentado",'DATOS'!K301="Incluido en otra partida"),AND(LEN(TRIM('DATOS'!L301&amp;""))&gt;0,TRIM('DATOS'!L301&amp;"")&lt;&gt;"Pendiente",TRIM('DATOS'!L301&amp;"")&lt;&gt;"Por confirmar",TRIM('DATOS'!L301&amp;"")&lt;&gt;"No consta",TRIM('DATOS'!L301&amp;"")&lt;&gt;"Desconocido",TRIM('DATOS'!L301&amp;"")&lt;&gt;"Sin confirmar",TRIM('DATOS'!L301&amp;"")&lt;&gt;"Por decidir",TRIM('DATOS'!L301&amp;"")&lt;&gt;"Por comprobar")),0,1),0))))),2)</f>
      </c>
      <c r="R301" s="29">
        <f>IFERROR(IF(N301=0,"",IF(OR(NOT(AND(LEN(TRIM('DATOS'!D301&amp;""))&gt;0,TRIM('DATOS'!D301&amp;"")&lt;&gt;"Pendiente",TRIM('DATOS'!D301&amp;"")&lt;&gt;"Por confirmar",TRIM('DATOS'!D301&amp;"")&lt;&gt;"No consta",TRIM('DATOS'!D301&amp;"")&lt;&gt;"Desconocido",TRIM('DATOS'!D301&amp;"")&lt;&gt;"Sin confirmar",TRIM('DATOS'!D301&amp;"")&lt;&gt;"Por decidir",TRIM('DATOS'!D301&amp;"")&lt;&gt;"Por comprobar")),NOT(AND(LEN(TRIM('DATOS'!E301&amp;""))&gt;0,TRIM('DATOS'!E301&amp;"")&lt;&gt;"Pendiente",TRIM('DATOS'!E301&amp;"")&lt;&gt;"Por confirmar",TRIM('DATOS'!E301&amp;"")&lt;&gt;"No consta",TRIM('DATOS'!E301&amp;"")&lt;&gt;"Desconocido",TRIM('DATOS'!E301&amp;"")&lt;&gt;"Sin confirmar",TRIM('DATOS'!E301&amp;"")&lt;&gt;"Por decidir",TRIM('DATOS'!E301&amp;"")&lt;&gt;"Por comprobar"))),2,IF('DATOS'!M301="No",2,IF('DATOS'!M301="Sí",0,IF(OR('DATOS'!D301&lt;&gt;'DATOS'!E301,LEN('DATOS'!E301)&gt;300,RIGHT(TRIM('DATOS'!E301),3)="...",RIGHT(TRIM('DATOS'!E301),1)="…"),1,0))))),2)</f>
      </c>
      <c r="S301" s="29">
        <f>IFERROR(IF(N301=0,"",IF('REFERENCIAS'!$Q$8&lt;&gt;1,2,IF(NOT(Y301=1),1,IF(OR(ABS('DATOS'!G301-ROUND('DATOS'!G301,'REFERENCIAS'!$E$8))&gt;0.00000001,ABS('DATOS'!H301-ROUND('DATOS'!H301,'REFERENCIAS'!$H$8))&gt;0.00000001,ABS('DATOS'!J301-ROUND('DATOS'!J301,'REFERENCIAS'!$K$8))&gt;0.00000001,IF(ISNUMBER('DATOS'!I301),ABS('DATOS'!I301-ROUND('DATOS'!I301,'REFERENCIAS'!$H$8))&gt;0.00000001,FALSE)),1,0)))),2)</f>
      </c>
      <c r="T301" s="29">
        <f>IFERROR(IF(N301=0,"",IF(NOT(AND(LEN(TRIM('DATOS'!F301&amp;""))&gt;0,TRIM('DATOS'!F301&amp;"")&lt;&gt;"Pendiente",TRIM('DATOS'!F301&amp;"")&lt;&gt;"Por confirmar",TRIM('DATOS'!F301&amp;"")&lt;&gt;"No consta",TRIM('DATOS'!F301&amp;"")&lt;&gt;"Desconocido",TRIM('DATOS'!F301&amp;"")&lt;&gt;"Sin confirmar",TRIM('DATOS'!F301&amp;"")&lt;&gt;"Por decidir",TRIM('DATOS'!F301&amp;"")&lt;&gt;"Por comprobar")),2,IF(COUNTIFS('REFERENCIAS'!$T$15:$T$34,"ID:"&amp;SUBSTITUTE(SUBSTITUTE(SUBSTITUTE(SUBSTITUTE(UPPER(TRIM('DATOS'!F301&amp;"")),"!","!E"),"*","!A"),"?","!B"),"~","!C"),'REFERENCIAS'!$H$15:$H$34,"&lt;&gt;")&gt;0,0,1))),2)</f>
      </c>
      <c r="U301" s="29" t="str">
        <f>'DATOS'!R301</f>
        <v>ID:</v>
      </c>
      <c r="V301" s="29" t="str">
        <f>'DATOS'!S301</f>
        <v>ID:</v>
      </c>
      <c r="W301" s="29" t="n">
        <f>IF(N301=0,0,COUNTIFS('REFERENCIAS'!$R$15:$R$64,U301))</f>
        <v>0</v>
      </c>
      <c r="X301" s="29" t="n">
        <f>IF(N301=0,0,COUNTIFS('DATOS'!$R$10:$R$509,U301,'DATOS'!$S$10:$S$509,V301))</f>
        <v>0</v>
      </c>
      <c r="Y301" s="29" t="n">
        <f>IF(AND(ISNUMBER('DATOS'!G301),ISNUMBER('DATOS'!H301),ISNUMBER('DATOS'!J301)),1,0)</f>
        <v>0</v>
      </c>
    </row>
    <row r="302" ht="64" customHeight="1">
      <c r="B302" s="26">
        <f>IF(N302=1,293,"")</f>
      </c>
      <c r="C302" s="26">
        <f>IF(AND(N302=1,LEN(TRIM('DATOS'!B302&amp;""))&gt;0),'DATOS'!B302,"")</f>
      </c>
      <c r="D302" s="26">
        <f>IF(AND(N302=1,LEN(TRIM('DATOS'!C302&amp;""))&gt;0),'DATOS'!C302,"")</f>
      </c>
      <c r="E302" s="26">
        <f>IF(NOT(ISNUMBER(P302)),"",IF(P302=2,"ROJO",IF(P302=1,"ÁMBAR","VERDE")))</f>
      </c>
      <c r="F302" s="26">
        <f>IF(NOT(ISNUMBER(Q302)),"",IF(Q302=2,"ROJO",IF(Q302=1,"ÁMBAR","VERDE")))</f>
      </c>
      <c r="G302" s="26">
        <f>IF(NOT(ISNUMBER(R302)),"",IF(R302=2,"ROJO",IF(R302=1,"ÁMBAR","VERDE")))</f>
      </c>
      <c r="H302" s="26">
        <f>IF(NOT(ISNUMBER(S302)),"",IF(S302=2,"ROJO",IF(S302=1,"ÁMBAR","VERDE")))</f>
      </c>
      <c r="I302" s="26">
        <f>IF(NOT(ISNUMBER(T302)),"",IF(T302=2,"ROJO",IF(T302=1,"ÁMBAR","VERDE")))</f>
      </c>
      <c r="J302" s="26">
        <f>IF(NOT(ISNUMBER(O302)),"",IF(O302=2,"ROJO",IF(O302=1,"ÁMBAR","VERDE")))</f>
      </c>
      <c r="K302" s="26">
        <f>IFERROR(IF(AND(N302=1,LEN(TRIM('DATOS'!N302&amp;""))&gt;0),'DATOS'!N302,""),"Hay una entrada con error. Corregimos el dato antes de cerrar la comprobación.")</f>
      </c>
      <c r="L302" s="26">
        <f>IFERROR(IF(N302=0,"",IF(O302&gt;0,"Completamos datos, claves o motivo. ","")&amp;IF(P302&gt;0,"Cotejamos precios e importe. ","")&amp;IF(Q302&gt;0,"Aclaramos el cero. ","")&amp;IF(R302&gt;0,"Comprobamos el texto. ","")&amp;IF(S302&gt;0,"Revisamos decimales visibles. ","")&amp;IF(T302&gt;0,"Confirmamos la unidad.","")),"Hay una entrada con error. Corregimos el dato antes de cerrar la comprobación.")</f>
      </c>
      <c r="N302" s="29" t="n">
        <f>IF(COUNTA('DATOS'!B302:O302)&gt;0,1,0)</f>
        <v>0</v>
      </c>
      <c r="O302" s="29">
        <f>IFERROR(IF(N302=0,"",IF(OR(NOT(AND(LEN(TRIM('DATOS'!B302&amp;""))&gt;0,TRIM('DATOS'!B302&amp;"")&lt;&gt;"Pendiente",TRIM('DATOS'!B302&amp;"")&lt;&gt;"Por confirmar",TRIM('DATOS'!B302&amp;"")&lt;&gt;"No consta",TRIM('DATOS'!B302&amp;"")&lt;&gt;"Desconocido",TRIM('DATOS'!B302&amp;"")&lt;&gt;"Sin confirmar",TRIM('DATOS'!B302&amp;"")&lt;&gt;"Por decidir",TRIM('DATOS'!B302&amp;"")&lt;&gt;"Por comprobar")),NOT(AND(LEN(TRIM('DATOS'!C302&amp;""))&gt;0,TRIM('DATOS'!C302&amp;"")&lt;&gt;"Pendiente",TRIM('DATOS'!C302&amp;"")&lt;&gt;"Por confirmar",TRIM('DATOS'!C302&amp;"")&lt;&gt;"No consta",TRIM('DATOS'!C302&amp;"")&lt;&gt;"Desconocido",TRIM('DATOS'!C302&amp;"")&lt;&gt;"Sin confirmar",TRIM('DATOS'!C302&amp;"")&lt;&gt;"Por decidir",TRIM('DATOS'!C302&amp;"")&lt;&gt;"Por comprobar")),NOT(AND(LEN(TRIM('DATOS'!D302&amp;""))&gt;0,TRIM('DATOS'!D302&amp;"")&lt;&gt;"Pendiente",TRIM('DATOS'!D302&amp;"")&lt;&gt;"Por confirmar",TRIM('DATOS'!D302&amp;"")&lt;&gt;"No consta",TRIM('DATOS'!D302&amp;"")&lt;&gt;"Desconocido",TRIM('DATOS'!D302&amp;"")&lt;&gt;"Sin confirmar",TRIM('DATOS'!D302&amp;"")&lt;&gt;"Por decidir",TRIM('DATOS'!D302&amp;"")&lt;&gt;"Por comprobar")),NOT(AND(LEN(TRIM('DATOS'!E302&amp;""))&gt;0,TRIM('DATOS'!E302&amp;"")&lt;&gt;"Pendiente",TRIM('DATOS'!E302&amp;"")&lt;&gt;"Por confirmar",TRIM('DATOS'!E302&amp;"")&lt;&gt;"No consta",TRIM('DATOS'!E302&amp;"")&lt;&gt;"Desconocido",TRIM('DATOS'!E302&amp;"")&lt;&gt;"Sin confirmar",TRIM('DATOS'!E302&amp;"")&lt;&gt;"Por decidir",TRIM('DATOS'!E302&amp;"")&lt;&gt;"Por comprobar")),NOT(AND(LEN(TRIM('DATOS'!F302&amp;""))&gt;0,TRIM('DATOS'!F302&amp;"")&lt;&gt;"Pendiente",TRIM('DATOS'!F302&amp;"")&lt;&gt;"Por confirmar",TRIM('DATOS'!F302&amp;"")&lt;&gt;"No consta",TRIM('DATOS'!F302&amp;"")&lt;&gt;"Desconocido",TRIM('DATOS'!F302&amp;"")&lt;&gt;"Sin confirmar",TRIM('DATOS'!F302&amp;"")&lt;&gt;"Por decidir",TRIM('DATOS'!F302&amp;"")&lt;&gt;"Por comprobar")),NOT(AND(LEN(TRIM('DATOS'!N302&amp;""))&gt;0,TRIM('DATOS'!N302&amp;"")&lt;&gt;"Pendiente",TRIM('DATOS'!N302&amp;"")&lt;&gt;"Por confirmar",TRIM('DATOS'!N302&amp;"")&lt;&gt;"No consta",TRIM('DATOS'!N302&amp;"")&lt;&gt;"Desconocido",TRIM('DATOS'!N302&amp;"")&lt;&gt;"Sin confirmar",TRIM('DATOS'!N302&amp;"")&lt;&gt;"Por decidir",TRIM('DATOS'!N302&amp;"")&lt;&gt;"Por comprobar")),NOT(Y302=1),W302&lt;&gt;1,X302&gt;1,NOT(OR(LEN(TRIM('DATOS'!K302&amp;""))=0,'DATOS'!K302="Sin valorar",'DATOS'!K302="Sin coste documentado",'DATOS'!K302="Incluido en otra partida",'DATOS'!K302="Por confirmar")),NOT(OR(LEN(TRIM('DATOS'!M302&amp;""))=0,'DATOS'!M302="Sí",'DATOS'!M302="No",'DATOS'!M302="Por confirmar")),NOT(OR(LEN(TRIM('DATOS'!O302&amp;""))=0,'DATOS'!O302="Comparamos",'DATOS'!O302="No existe",'DATOS'!O302="Por confirmar"))),2,IF(AND(OR('DATOS'!G302&lt;0,'DATOS'!H302&lt;0,'DATOS'!J302&lt;0),NOT(AND(LEN(TRIM('DATOS'!L302&amp;""))&gt;0,TRIM('DATOS'!L302&amp;"")&lt;&gt;"Pendiente",TRIM('DATOS'!L302&amp;"")&lt;&gt;"Por confirmar",TRIM('DATOS'!L302&amp;"")&lt;&gt;"No consta",TRIM('DATOS'!L302&amp;"")&lt;&gt;"Desconocido",TRIM('DATOS'!L302&amp;"")&lt;&gt;"Sin confirmar",TRIM('DATOS'!L302&amp;"")&lt;&gt;"Por decidir",TRIM('DATOS'!L302&amp;"")&lt;&gt;"Por comprobar"))),1,0))),2)</f>
      </c>
      <c r="P302" s="29">
        <f>IFERROR(IF(N302=0,"",IF(NOT(Y302=1),1,IF('REFERENCIAS'!$Q$8&lt;&gt;1,2,IF(ABS('DATOS'!J302-ROUND('DATOS'!G302*'DATOS'!H302,'REFERENCIAS'!$K$8))&gt;0.00000001,2,IF('DATOS'!O302="No existe",IF(LEN(TRIM('DATOS'!I302&amp;""))=0,0,2),IF('DATOS'!O302="Comparamos",IF(LEN(TRIM('DATOS'!I302&amp;""))=0,1,IF(ISNUMBER('DATOS'!I302),IF(ABS('DATOS'!H302-'DATOS'!I302)&gt;0.00000001,2,0),2)),1)))))),2)</f>
      </c>
      <c r="Q302" s="29">
        <f>IFERROR(IF(N302=0,"",IF(NOT(Y302=1),1,IF('DATOS'!K302="Sin valorar",2,IF('DATOS'!G302=0,1,IF(OR('DATOS'!H302=0,'DATOS'!J302=0),IF(AND(OR('DATOS'!K302="Sin coste documentado",'DATOS'!K302="Incluido en otra partida"),AND(LEN(TRIM('DATOS'!L302&amp;""))&gt;0,TRIM('DATOS'!L302&amp;"")&lt;&gt;"Pendiente",TRIM('DATOS'!L302&amp;"")&lt;&gt;"Por confirmar",TRIM('DATOS'!L302&amp;"")&lt;&gt;"No consta",TRIM('DATOS'!L302&amp;"")&lt;&gt;"Desconocido",TRIM('DATOS'!L302&amp;"")&lt;&gt;"Sin confirmar",TRIM('DATOS'!L302&amp;"")&lt;&gt;"Por decidir",TRIM('DATOS'!L302&amp;"")&lt;&gt;"Por comprobar")),0,1),0))))),2)</f>
      </c>
      <c r="R302" s="29">
        <f>IFERROR(IF(N302=0,"",IF(OR(NOT(AND(LEN(TRIM('DATOS'!D302&amp;""))&gt;0,TRIM('DATOS'!D302&amp;"")&lt;&gt;"Pendiente",TRIM('DATOS'!D302&amp;"")&lt;&gt;"Por confirmar",TRIM('DATOS'!D302&amp;"")&lt;&gt;"No consta",TRIM('DATOS'!D302&amp;"")&lt;&gt;"Desconocido",TRIM('DATOS'!D302&amp;"")&lt;&gt;"Sin confirmar",TRIM('DATOS'!D302&amp;"")&lt;&gt;"Por decidir",TRIM('DATOS'!D302&amp;"")&lt;&gt;"Por comprobar")),NOT(AND(LEN(TRIM('DATOS'!E302&amp;""))&gt;0,TRIM('DATOS'!E302&amp;"")&lt;&gt;"Pendiente",TRIM('DATOS'!E302&amp;"")&lt;&gt;"Por confirmar",TRIM('DATOS'!E302&amp;"")&lt;&gt;"No consta",TRIM('DATOS'!E302&amp;"")&lt;&gt;"Desconocido",TRIM('DATOS'!E302&amp;"")&lt;&gt;"Sin confirmar",TRIM('DATOS'!E302&amp;"")&lt;&gt;"Por decidir",TRIM('DATOS'!E302&amp;"")&lt;&gt;"Por comprobar"))),2,IF('DATOS'!M302="No",2,IF('DATOS'!M302="Sí",0,IF(OR('DATOS'!D302&lt;&gt;'DATOS'!E302,LEN('DATOS'!E302)&gt;300,RIGHT(TRIM('DATOS'!E302),3)="...",RIGHT(TRIM('DATOS'!E302),1)="…"),1,0))))),2)</f>
      </c>
      <c r="S302" s="29">
        <f>IFERROR(IF(N302=0,"",IF('REFERENCIAS'!$Q$8&lt;&gt;1,2,IF(NOT(Y302=1),1,IF(OR(ABS('DATOS'!G302-ROUND('DATOS'!G302,'REFERENCIAS'!$E$8))&gt;0.00000001,ABS('DATOS'!H302-ROUND('DATOS'!H302,'REFERENCIAS'!$H$8))&gt;0.00000001,ABS('DATOS'!J302-ROUND('DATOS'!J302,'REFERENCIAS'!$K$8))&gt;0.00000001,IF(ISNUMBER('DATOS'!I302),ABS('DATOS'!I302-ROUND('DATOS'!I302,'REFERENCIAS'!$H$8))&gt;0.00000001,FALSE)),1,0)))),2)</f>
      </c>
      <c r="T302" s="29">
        <f>IFERROR(IF(N302=0,"",IF(NOT(AND(LEN(TRIM('DATOS'!F302&amp;""))&gt;0,TRIM('DATOS'!F302&amp;"")&lt;&gt;"Pendiente",TRIM('DATOS'!F302&amp;"")&lt;&gt;"Por confirmar",TRIM('DATOS'!F302&amp;"")&lt;&gt;"No consta",TRIM('DATOS'!F302&amp;"")&lt;&gt;"Desconocido",TRIM('DATOS'!F302&amp;"")&lt;&gt;"Sin confirmar",TRIM('DATOS'!F302&amp;"")&lt;&gt;"Por decidir",TRIM('DATOS'!F302&amp;"")&lt;&gt;"Por comprobar")),2,IF(COUNTIFS('REFERENCIAS'!$T$15:$T$34,"ID:"&amp;SUBSTITUTE(SUBSTITUTE(SUBSTITUTE(SUBSTITUTE(UPPER(TRIM('DATOS'!F302&amp;"")),"!","!E"),"*","!A"),"?","!B"),"~","!C"),'REFERENCIAS'!$H$15:$H$34,"&lt;&gt;")&gt;0,0,1))),2)</f>
      </c>
      <c r="U302" s="29" t="str">
        <f>'DATOS'!R302</f>
        <v>ID:</v>
      </c>
      <c r="V302" s="29" t="str">
        <f>'DATOS'!S302</f>
        <v>ID:</v>
      </c>
      <c r="W302" s="29" t="n">
        <f>IF(N302=0,0,COUNTIFS('REFERENCIAS'!$R$15:$R$64,U302))</f>
        <v>0</v>
      </c>
      <c r="X302" s="29" t="n">
        <f>IF(N302=0,0,COUNTIFS('DATOS'!$R$10:$R$509,U302,'DATOS'!$S$10:$S$509,V302))</f>
        <v>0</v>
      </c>
      <c r="Y302" s="29" t="n">
        <f>IF(AND(ISNUMBER('DATOS'!G302),ISNUMBER('DATOS'!H302),ISNUMBER('DATOS'!J302)),1,0)</f>
        <v>0</v>
      </c>
    </row>
    <row r="303" ht="64" customHeight="1">
      <c r="B303" s="26">
        <f>IF(N303=1,294,"")</f>
      </c>
      <c r="C303" s="26">
        <f>IF(AND(N303=1,LEN(TRIM('DATOS'!B303&amp;""))&gt;0),'DATOS'!B303,"")</f>
      </c>
      <c r="D303" s="26">
        <f>IF(AND(N303=1,LEN(TRIM('DATOS'!C303&amp;""))&gt;0),'DATOS'!C303,"")</f>
      </c>
      <c r="E303" s="26">
        <f>IF(NOT(ISNUMBER(P303)),"",IF(P303=2,"ROJO",IF(P303=1,"ÁMBAR","VERDE")))</f>
      </c>
      <c r="F303" s="26">
        <f>IF(NOT(ISNUMBER(Q303)),"",IF(Q303=2,"ROJO",IF(Q303=1,"ÁMBAR","VERDE")))</f>
      </c>
      <c r="G303" s="26">
        <f>IF(NOT(ISNUMBER(R303)),"",IF(R303=2,"ROJO",IF(R303=1,"ÁMBAR","VERDE")))</f>
      </c>
      <c r="H303" s="26">
        <f>IF(NOT(ISNUMBER(S303)),"",IF(S303=2,"ROJO",IF(S303=1,"ÁMBAR","VERDE")))</f>
      </c>
      <c r="I303" s="26">
        <f>IF(NOT(ISNUMBER(T303)),"",IF(T303=2,"ROJO",IF(T303=1,"ÁMBAR","VERDE")))</f>
      </c>
      <c r="J303" s="26">
        <f>IF(NOT(ISNUMBER(O303)),"",IF(O303=2,"ROJO",IF(O303=1,"ÁMBAR","VERDE")))</f>
      </c>
      <c r="K303" s="26">
        <f>IFERROR(IF(AND(N303=1,LEN(TRIM('DATOS'!N303&amp;""))&gt;0),'DATOS'!N303,""),"Hay una entrada con error. Corregimos el dato antes de cerrar la comprobación.")</f>
      </c>
      <c r="L303" s="26">
        <f>IFERROR(IF(N303=0,"",IF(O303&gt;0,"Completamos datos, claves o motivo. ","")&amp;IF(P303&gt;0,"Cotejamos precios e importe. ","")&amp;IF(Q303&gt;0,"Aclaramos el cero. ","")&amp;IF(R303&gt;0,"Comprobamos el texto. ","")&amp;IF(S303&gt;0,"Revisamos decimales visibles. ","")&amp;IF(T303&gt;0,"Confirmamos la unidad.","")),"Hay una entrada con error. Corregimos el dato antes de cerrar la comprobación.")</f>
      </c>
      <c r="N303" s="29" t="n">
        <f>IF(COUNTA('DATOS'!B303:O303)&gt;0,1,0)</f>
        <v>0</v>
      </c>
      <c r="O303" s="29">
        <f>IFERROR(IF(N303=0,"",IF(OR(NOT(AND(LEN(TRIM('DATOS'!B303&amp;""))&gt;0,TRIM('DATOS'!B303&amp;"")&lt;&gt;"Pendiente",TRIM('DATOS'!B303&amp;"")&lt;&gt;"Por confirmar",TRIM('DATOS'!B303&amp;"")&lt;&gt;"No consta",TRIM('DATOS'!B303&amp;"")&lt;&gt;"Desconocido",TRIM('DATOS'!B303&amp;"")&lt;&gt;"Sin confirmar",TRIM('DATOS'!B303&amp;"")&lt;&gt;"Por decidir",TRIM('DATOS'!B303&amp;"")&lt;&gt;"Por comprobar")),NOT(AND(LEN(TRIM('DATOS'!C303&amp;""))&gt;0,TRIM('DATOS'!C303&amp;"")&lt;&gt;"Pendiente",TRIM('DATOS'!C303&amp;"")&lt;&gt;"Por confirmar",TRIM('DATOS'!C303&amp;"")&lt;&gt;"No consta",TRIM('DATOS'!C303&amp;"")&lt;&gt;"Desconocido",TRIM('DATOS'!C303&amp;"")&lt;&gt;"Sin confirmar",TRIM('DATOS'!C303&amp;"")&lt;&gt;"Por decidir",TRIM('DATOS'!C303&amp;"")&lt;&gt;"Por comprobar")),NOT(AND(LEN(TRIM('DATOS'!D303&amp;""))&gt;0,TRIM('DATOS'!D303&amp;"")&lt;&gt;"Pendiente",TRIM('DATOS'!D303&amp;"")&lt;&gt;"Por confirmar",TRIM('DATOS'!D303&amp;"")&lt;&gt;"No consta",TRIM('DATOS'!D303&amp;"")&lt;&gt;"Desconocido",TRIM('DATOS'!D303&amp;"")&lt;&gt;"Sin confirmar",TRIM('DATOS'!D303&amp;"")&lt;&gt;"Por decidir",TRIM('DATOS'!D303&amp;"")&lt;&gt;"Por comprobar")),NOT(AND(LEN(TRIM('DATOS'!E303&amp;""))&gt;0,TRIM('DATOS'!E303&amp;"")&lt;&gt;"Pendiente",TRIM('DATOS'!E303&amp;"")&lt;&gt;"Por confirmar",TRIM('DATOS'!E303&amp;"")&lt;&gt;"No consta",TRIM('DATOS'!E303&amp;"")&lt;&gt;"Desconocido",TRIM('DATOS'!E303&amp;"")&lt;&gt;"Sin confirmar",TRIM('DATOS'!E303&amp;"")&lt;&gt;"Por decidir",TRIM('DATOS'!E303&amp;"")&lt;&gt;"Por comprobar")),NOT(AND(LEN(TRIM('DATOS'!F303&amp;""))&gt;0,TRIM('DATOS'!F303&amp;"")&lt;&gt;"Pendiente",TRIM('DATOS'!F303&amp;"")&lt;&gt;"Por confirmar",TRIM('DATOS'!F303&amp;"")&lt;&gt;"No consta",TRIM('DATOS'!F303&amp;"")&lt;&gt;"Desconocido",TRIM('DATOS'!F303&amp;"")&lt;&gt;"Sin confirmar",TRIM('DATOS'!F303&amp;"")&lt;&gt;"Por decidir",TRIM('DATOS'!F303&amp;"")&lt;&gt;"Por comprobar")),NOT(AND(LEN(TRIM('DATOS'!N303&amp;""))&gt;0,TRIM('DATOS'!N303&amp;"")&lt;&gt;"Pendiente",TRIM('DATOS'!N303&amp;"")&lt;&gt;"Por confirmar",TRIM('DATOS'!N303&amp;"")&lt;&gt;"No consta",TRIM('DATOS'!N303&amp;"")&lt;&gt;"Desconocido",TRIM('DATOS'!N303&amp;"")&lt;&gt;"Sin confirmar",TRIM('DATOS'!N303&amp;"")&lt;&gt;"Por decidir",TRIM('DATOS'!N303&amp;"")&lt;&gt;"Por comprobar")),NOT(Y303=1),W303&lt;&gt;1,X303&gt;1,NOT(OR(LEN(TRIM('DATOS'!K303&amp;""))=0,'DATOS'!K303="Sin valorar",'DATOS'!K303="Sin coste documentado",'DATOS'!K303="Incluido en otra partida",'DATOS'!K303="Por confirmar")),NOT(OR(LEN(TRIM('DATOS'!M303&amp;""))=0,'DATOS'!M303="Sí",'DATOS'!M303="No",'DATOS'!M303="Por confirmar")),NOT(OR(LEN(TRIM('DATOS'!O303&amp;""))=0,'DATOS'!O303="Comparamos",'DATOS'!O303="No existe",'DATOS'!O303="Por confirmar"))),2,IF(AND(OR('DATOS'!G303&lt;0,'DATOS'!H303&lt;0,'DATOS'!J303&lt;0),NOT(AND(LEN(TRIM('DATOS'!L303&amp;""))&gt;0,TRIM('DATOS'!L303&amp;"")&lt;&gt;"Pendiente",TRIM('DATOS'!L303&amp;"")&lt;&gt;"Por confirmar",TRIM('DATOS'!L303&amp;"")&lt;&gt;"No consta",TRIM('DATOS'!L303&amp;"")&lt;&gt;"Desconocido",TRIM('DATOS'!L303&amp;"")&lt;&gt;"Sin confirmar",TRIM('DATOS'!L303&amp;"")&lt;&gt;"Por decidir",TRIM('DATOS'!L303&amp;"")&lt;&gt;"Por comprobar"))),1,0))),2)</f>
      </c>
      <c r="P303" s="29">
        <f>IFERROR(IF(N303=0,"",IF(NOT(Y303=1),1,IF('REFERENCIAS'!$Q$8&lt;&gt;1,2,IF(ABS('DATOS'!J303-ROUND('DATOS'!G303*'DATOS'!H303,'REFERENCIAS'!$K$8))&gt;0.00000001,2,IF('DATOS'!O303="No existe",IF(LEN(TRIM('DATOS'!I303&amp;""))=0,0,2),IF('DATOS'!O303="Comparamos",IF(LEN(TRIM('DATOS'!I303&amp;""))=0,1,IF(ISNUMBER('DATOS'!I303),IF(ABS('DATOS'!H303-'DATOS'!I303)&gt;0.00000001,2,0),2)),1)))))),2)</f>
      </c>
      <c r="Q303" s="29">
        <f>IFERROR(IF(N303=0,"",IF(NOT(Y303=1),1,IF('DATOS'!K303="Sin valorar",2,IF('DATOS'!G303=0,1,IF(OR('DATOS'!H303=0,'DATOS'!J303=0),IF(AND(OR('DATOS'!K303="Sin coste documentado",'DATOS'!K303="Incluido en otra partida"),AND(LEN(TRIM('DATOS'!L303&amp;""))&gt;0,TRIM('DATOS'!L303&amp;"")&lt;&gt;"Pendiente",TRIM('DATOS'!L303&amp;"")&lt;&gt;"Por confirmar",TRIM('DATOS'!L303&amp;"")&lt;&gt;"No consta",TRIM('DATOS'!L303&amp;"")&lt;&gt;"Desconocido",TRIM('DATOS'!L303&amp;"")&lt;&gt;"Sin confirmar",TRIM('DATOS'!L303&amp;"")&lt;&gt;"Por decidir",TRIM('DATOS'!L303&amp;"")&lt;&gt;"Por comprobar")),0,1),0))))),2)</f>
      </c>
      <c r="R303" s="29">
        <f>IFERROR(IF(N303=0,"",IF(OR(NOT(AND(LEN(TRIM('DATOS'!D303&amp;""))&gt;0,TRIM('DATOS'!D303&amp;"")&lt;&gt;"Pendiente",TRIM('DATOS'!D303&amp;"")&lt;&gt;"Por confirmar",TRIM('DATOS'!D303&amp;"")&lt;&gt;"No consta",TRIM('DATOS'!D303&amp;"")&lt;&gt;"Desconocido",TRIM('DATOS'!D303&amp;"")&lt;&gt;"Sin confirmar",TRIM('DATOS'!D303&amp;"")&lt;&gt;"Por decidir",TRIM('DATOS'!D303&amp;"")&lt;&gt;"Por comprobar")),NOT(AND(LEN(TRIM('DATOS'!E303&amp;""))&gt;0,TRIM('DATOS'!E303&amp;"")&lt;&gt;"Pendiente",TRIM('DATOS'!E303&amp;"")&lt;&gt;"Por confirmar",TRIM('DATOS'!E303&amp;"")&lt;&gt;"No consta",TRIM('DATOS'!E303&amp;"")&lt;&gt;"Desconocido",TRIM('DATOS'!E303&amp;"")&lt;&gt;"Sin confirmar",TRIM('DATOS'!E303&amp;"")&lt;&gt;"Por decidir",TRIM('DATOS'!E303&amp;"")&lt;&gt;"Por comprobar"))),2,IF('DATOS'!M303="No",2,IF('DATOS'!M303="Sí",0,IF(OR('DATOS'!D303&lt;&gt;'DATOS'!E303,LEN('DATOS'!E303)&gt;300,RIGHT(TRIM('DATOS'!E303),3)="...",RIGHT(TRIM('DATOS'!E303),1)="…"),1,0))))),2)</f>
      </c>
      <c r="S303" s="29">
        <f>IFERROR(IF(N303=0,"",IF('REFERENCIAS'!$Q$8&lt;&gt;1,2,IF(NOT(Y303=1),1,IF(OR(ABS('DATOS'!G303-ROUND('DATOS'!G303,'REFERENCIAS'!$E$8))&gt;0.00000001,ABS('DATOS'!H303-ROUND('DATOS'!H303,'REFERENCIAS'!$H$8))&gt;0.00000001,ABS('DATOS'!J303-ROUND('DATOS'!J303,'REFERENCIAS'!$K$8))&gt;0.00000001,IF(ISNUMBER('DATOS'!I303),ABS('DATOS'!I303-ROUND('DATOS'!I303,'REFERENCIAS'!$H$8))&gt;0.00000001,FALSE)),1,0)))),2)</f>
      </c>
      <c r="T303" s="29">
        <f>IFERROR(IF(N303=0,"",IF(NOT(AND(LEN(TRIM('DATOS'!F303&amp;""))&gt;0,TRIM('DATOS'!F303&amp;"")&lt;&gt;"Pendiente",TRIM('DATOS'!F303&amp;"")&lt;&gt;"Por confirmar",TRIM('DATOS'!F303&amp;"")&lt;&gt;"No consta",TRIM('DATOS'!F303&amp;"")&lt;&gt;"Desconocido",TRIM('DATOS'!F303&amp;"")&lt;&gt;"Sin confirmar",TRIM('DATOS'!F303&amp;"")&lt;&gt;"Por decidir",TRIM('DATOS'!F303&amp;"")&lt;&gt;"Por comprobar")),2,IF(COUNTIFS('REFERENCIAS'!$T$15:$T$34,"ID:"&amp;SUBSTITUTE(SUBSTITUTE(SUBSTITUTE(SUBSTITUTE(UPPER(TRIM('DATOS'!F303&amp;"")),"!","!E"),"*","!A"),"?","!B"),"~","!C"),'REFERENCIAS'!$H$15:$H$34,"&lt;&gt;")&gt;0,0,1))),2)</f>
      </c>
      <c r="U303" s="29" t="str">
        <f>'DATOS'!R303</f>
        <v>ID:</v>
      </c>
      <c r="V303" s="29" t="str">
        <f>'DATOS'!S303</f>
        <v>ID:</v>
      </c>
      <c r="W303" s="29" t="n">
        <f>IF(N303=0,0,COUNTIFS('REFERENCIAS'!$R$15:$R$64,U303))</f>
        <v>0</v>
      </c>
      <c r="X303" s="29" t="n">
        <f>IF(N303=0,0,COUNTIFS('DATOS'!$R$10:$R$509,U303,'DATOS'!$S$10:$S$509,V303))</f>
        <v>0</v>
      </c>
      <c r="Y303" s="29" t="n">
        <f>IF(AND(ISNUMBER('DATOS'!G303),ISNUMBER('DATOS'!H303),ISNUMBER('DATOS'!J303)),1,0)</f>
        <v>0</v>
      </c>
    </row>
    <row r="304" ht="64" customHeight="1">
      <c r="B304" s="26">
        <f>IF(N304=1,295,"")</f>
      </c>
      <c r="C304" s="26">
        <f>IF(AND(N304=1,LEN(TRIM('DATOS'!B304&amp;""))&gt;0),'DATOS'!B304,"")</f>
      </c>
      <c r="D304" s="26">
        <f>IF(AND(N304=1,LEN(TRIM('DATOS'!C304&amp;""))&gt;0),'DATOS'!C304,"")</f>
      </c>
      <c r="E304" s="26">
        <f>IF(NOT(ISNUMBER(P304)),"",IF(P304=2,"ROJO",IF(P304=1,"ÁMBAR","VERDE")))</f>
      </c>
      <c r="F304" s="26">
        <f>IF(NOT(ISNUMBER(Q304)),"",IF(Q304=2,"ROJO",IF(Q304=1,"ÁMBAR","VERDE")))</f>
      </c>
      <c r="G304" s="26">
        <f>IF(NOT(ISNUMBER(R304)),"",IF(R304=2,"ROJO",IF(R304=1,"ÁMBAR","VERDE")))</f>
      </c>
      <c r="H304" s="26">
        <f>IF(NOT(ISNUMBER(S304)),"",IF(S304=2,"ROJO",IF(S304=1,"ÁMBAR","VERDE")))</f>
      </c>
      <c r="I304" s="26">
        <f>IF(NOT(ISNUMBER(T304)),"",IF(T304=2,"ROJO",IF(T304=1,"ÁMBAR","VERDE")))</f>
      </c>
      <c r="J304" s="26">
        <f>IF(NOT(ISNUMBER(O304)),"",IF(O304=2,"ROJO",IF(O304=1,"ÁMBAR","VERDE")))</f>
      </c>
      <c r="K304" s="26">
        <f>IFERROR(IF(AND(N304=1,LEN(TRIM('DATOS'!N304&amp;""))&gt;0),'DATOS'!N304,""),"Hay una entrada con error. Corregimos el dato antes de cerrar la comprobación.")</f>
      </c>
      <c r="L304" s="26">
        <f>IFERROR(IF(N304=0,"",IF(O304&gt;0,"Completamos datos, claves o motivo. ","")&amp;IF(P304&gt;0,"Cotejamos precios e importe. ","")&amp;IF(Q304&gt;0,"Aclaramos el cero. ","")&amp;IF(R304&gt;0,"Comprobamos el texto. ","")&amp;IF(S304&gt;0,"Revisamos decimales visibles. ","")&amp;IF(T304&gt;0,"Confirmamos la unidad.","")),"Hay una entrada con error. Corregimos el dato antes de cerrar la comprobación.")</f>
      </c>
      <c r="N304" s="29" t="n">
        <f>IF(COUNTA('DATOS'!B304:O304)&gt;0,1,0)</f>
        <v>0</v>
      </c>
      <c r="O304" s="29">
        <f>IFERROR(IF(N304=0,"",IF(OR(NOT(AND(LEN(TRIM('DATOS'!B304&amp;""))&gt;0,TRIM('DATOS'!B304&amp;"")&lt;&gt;"Pendiente",TRIM('DATOS'!B304&amp;"")&lt;&gt;"Por confirmar",TRIM('DATOS'!B304&amp;"")&lt;&gt;"No consta",TRIM('DATOS'!B304&amp;"")&lt;&gt;"Desconocido",TRIM('DATOS'!B304&amp;"")&lt;&gt;"Sin confirmar",TRIM('DATOS'!B304&amp;"")&lt;&gt;"Por decidir",TRIM('DATOS'!B304&amp;"")&lt;&gt;"Por comprobar")),NOT(AND(LEN(TRIM('DATOS'!C304&amp;""))&gt;0,TRIM('DATOS'!C304&amp;"")&lt;&gt;"Pendiente",TRIM('DATOS'!C304&amp;"")&lt;&gt;"Por confirmar",TRIM('DATOS'!C304&amp;"")&lt;&gt;"No consta",TRIM('DATOS'!C304&amp;"")&lt;&gt;"Desconocido",TRIM('DATOS'!C304&amp;"")&lt;&gt;"Sin confirmar",TRIM('DATOS'!C304&amp;"")&lt;&gt;"Por decidir",TRIM('DATOS'!C304&amp;"")&lt;&gt;"Por comprobar")),NOT(AND(LEN(TRIM('DATOS'!D304&amp;""))&gt;0,TRIM('DATOS'!D304&amp;"")&lt;&gt;"Pendiente",TRIM('DATOS'!D304&amp;"")&lt;&gt;"Por confirmar",TRIM('DATOS'!D304&amp;"")&lt;&gt;"No consta",TRIM('DATOS'!D304&amp;"")&lt;&gt;"Desconocido",TRIM('DATOS'!D304&amp;"")&lt;&gt;"Sin confirmar",TRIM('DATOS'!D304&amp;"")&lt;&gt;"Por decidir",TRIM('DATOS'!D304&amp;"")&lt;&gt;"Por comprobar")),NOT(AND(LEN(TRIM('DATOS'!E304&amp;""))&gt;0,TRIM('DATOS'!E304&amp;"")&lt;&gt;"Pendiente",TRIM('DATOS'!E304&amp;"")&lt;&gt;"Por confirmar",TRIM('DATOS'!E304&amp;"")&lt;&gt;"No consta",TRIM('DATOS'!E304&amp;"")&lt;&gt;"Desconocido",TRIM('DATOS'!E304&amp;"")&lt;&gt;"Sin confirmar",TRIM('DATOS'!E304&amp;"")&lt;&gt;"Por decidir",TRIM('DATOS'!E304&amp;"")&lt;&gt;"Por comprobar")),NOT(AND(LEN(TRIM('DATOS'!F304&amp;""))&gt;0,TRIM('DATOS'!F304&amp;"")&lt;&gt;"Pendiente",TRIM('DATOS'!F304&amp;"")&lt;&gt;"Por confirmar",TRIM('DATOS'!F304&amp;"")&lt;&gt;"No consta",TRIM('DATOS'!F304&amp;"")&lt;&gt;"Desconocido",TRIM('DATOS'!F304&amp;"")&lt;&gt;"Sin confirmar",TRIM('DATOS'!F304&amp;"")&lt;&gt;"Por decidir",TRIM('DATOS'!F304&amp;"")&lt;&gt;"Por comprobar")),NOT(AND(LEN(TRIM('DATOS'!N304&amp;""))&gt;0,TRIM('DATOS'!N304&amp;"")&lt;&gt;"Pendiente",TRIM('DATOS'!N304&amp;"")&lt;&gt;"Por confirmar",TRIM('DATOS'!N304&amp;"")&lt;&gt;"No consta",TRIM('DATOS'!N304&amp;"")&lt;&gt;"Desconocido",TRIM('DATOS'!N304&amp;"")&lt;&gt;"Sin confirmar",TRIM('DATOS'!N304&amp;"")&lt;&gt;"Por decidir",TRIM('DATOS'!N304&amp;"")&lt;&gt;"Por comprobar")),NOT(Y304=1),W304&lt;&gt;1,X304&gt;1,NOT(OR(LEN(TRIM('DATOS'!K304&amp;""))=0,'DATOS'!K304="Sin valorar",'DATOS'!K304="Sin coste documentado",'DATOS'!K304="Incluido en otra partida",'DATOS'!K304="Por confirmar")),NOT(OR(LEN(TRIM('DATOS'!M304&amp;""))=0,'DATOS'!M304="Sí",'DATOS'!M304="No",'DATOS'!M304="Por confirmar")),NOT(OR(LEN(TRIM('DATOS'!O304&amp;""))=0,'DATOS'!O304="Comparamos",'DATOS'!O304="No existe",'DATOS'!O304="Por confirmar"))),2,IF(AND(OR('DATOS'!G304&lt;0,'DATOS'!H304&lt;0,'DATOS'!J304&lt;0),NOT(AND(LEN(TRIM('DATOS'!L304&amp;""))&gt;0,TRIM('DATOS'!L304&amp;"")&lt;&gt;"Pendiente",TRIM('DATOS'!L304&amp;"")&lt;&gt;"Por confirmar",TRIM('DATOS'!L304&amp;"")&lt;&gt;"No consta",TRIM('DATOS'!L304&amp;"")&lt;&gt;"Desconocido",TRIM('DATOS'!L304&amp;"")&lt;&gt;"Sin confirmar",TRIM('DATOS'!L304&amp;"")&lt;&gt;"Por decidir",TRIM('DATOS'!L304&amp;"")&lt;&gt;"Por comprobar"))),1,0))),2)</f>
      </c>
      <c r="P304" s="29">
        <f>IFERROR(IF(N304=0,"",IF(NOT(Y304=1),1,IF('REFERENCIAS'!$Q$8&lt;&gt;1,2,IF(ABS('DATOS'!J304-ROUND('DATOS'!G304*'DATOS'!H304,'REFERENCIAS'!$K$8))&gt;0.00000001,2,IF('DATOS'!O304="No existe",IF(LEN(TRIM('DATOS'!I304&amp;""))=0,0,2),IF('DATOS'!O304="Comparamos",IF(LEN(TRIM('DATOS'!I304&amp;""))=0,1,IF(ISNUMBER('DATOS'!I304),IF(ABS('DATOS'!H304-'DATOS'!I304)&gt;0.00000001,2,0),2)),1)))))),2)</f>
      </c>
      <c r="Q304" s="29">
        <f>IFERROR(IF(N304=0,"",IF(NOT(Y304=1),1,IF('DATOS'!K304="Sin valorar",2,IF('DATOS'!G304=0,1,IF(OR('DATOS'!H304=0,'DATOS'!J304=0),IF(AND(OR('DATOS'!K304="Sin coste documentado",'DATOS'!K304="Incluido en otra partida"),AND(LEN(TRIM('DATOS'!L304&amp;""))&gt;0,TRIM('DATOS'!L304&amp;"")&lt;&gt;"Pendiente",TRIM('DATOS'!L304&amp;"")&lt;&gt;"Por confirmar",TRIM('DATOS'!L304&amp;"")&lt;&gt;"No consta",TRIM('DATOS'!L304&amp;"")&lt;&gt;"Desconocido",TRIM('DATOS'!L304&amp;"")&lt;&gt;"Sin confirmar",TRIM('DATOS'!L304&amp;"")&lt;&gt;"Por decidir",TRIM('DATOS'!L304&amp;"")&lt;&gt;"Por comprobar")),0,1),0))))),2)</f>
      </c>
      <c r="R304" s="29">
        <f>IFERROR(IF(N304=0,"",IF(OR(NOT(AND(LEN(TRIM('DATOS'!D304&amp;""))&gt;0,TRIM('DATOS'!D304&amp;"")&lt;&gt;"Pendiente",TRIM('DATOS'!D304&amp;"")&lt;&gt;"Por confirmar",TRIM('DATOS'!D304&amp;"")&lt;&gt;"No consta",TRIM('DATOS'!D304&amp;"")&lt;&gt;"Desconocido",TRIM('DATOS'!D304&amp;"")&lt;&gt;"Sin confirmar",TRIM('DATOS'!D304&amp;"")&lt;&gt;"Por decidir",TRIM('DATOS'!D304&amp;"")&lt;&gt;"Por comprobar")),NOT(AND(LEN(TRIM('DATOS'!E304&amp;""))&gt;0,TRIM('DATOS'!E304&amp;"")&lt;&gt;"Pendiente",TRIM('DATOS'!E304&amp;"")&lt;&gt;"Por confirmar",TRIM('DATOS'!E304&amp;"")&lt;&gt;"No consta",TRIM('DATOS'!E304&amp;"")&lt;&gt;"Desconocido",TRIM('DATOS'!E304&amp;"")&lt;&gt;"Sin confirmar",TRIM('DATOS'!E304&amp;"")&lt;&gt;"Por decidir",TRIM('DATOS'!E304&amp;"")&lt;&gt;"Por comprobar"))),2,IF('DATOS'!M304="No",2,IF('DATOS'!M304="Sí",0,IF(OR('DATOS'!D304&lt;&gt;'DATOS'!E304,LEN('DATOS'!E304)&gt;300,RIGHT(TRIM('DATOS'!E304),3)="...",RIGHT(TRIM('DATOS'!E304),1)="…"),1,0))))),2)</f>
      </c>
      <c r="S304" s="29">
        <f>IFERROR(IF(N304=0,"",IF('REFERENCIAS'!$Q$8&lt;&gt;1,2,IF(NOT(Y304=1),1,IF(OR(ABS('DATOS'!G304-ROUND('DATOS'!G304,'REFERENCIAS'!$E$8))&gt;0.00000001,ABS('DATOS'!H304-ROUND('DATOS'!H304,'REFERENCIAS'!$H$8))&gt;0.00000001,ABS('DATOS'!J304-ROUND('DATOS'!J304,'REFERENCIAS'!$K$8))&gt;0.00000001,IF(ISNUMBER('DATOS'!I304),ABS('DATOS'!I304-ROUND('DATOS'!I304,'REFERENCIAS'!$H$8))&gt;0.00000001,FALSE)),1,0)))),2)</f>
      </c>
      <c r="T304" s="29">
        <f>IFERROR(IF(N304=0,"",IF(NOT(AND(LEN(TRIM('DATOS'!F304&amp;""))&gt;0,TRIM('DATOS'!F304&amp;"")&lt;&gt;"Pendiente",TRIM('DATOS'!F304&amp;"")&lt;&gt;"Por confirmar",TRIM('DATOS'!F304&amp;"")&lt;&gt;"No consta",TRIM('DATOS'!F304&amp;"")&lt;&gt;"Desconocido",TRIM('DATOS'!F304&amp;"")&lt;&gt;"Sin confirmar",TRIM('DATOS'!F304&amp;"")&lt;&gt;"Por decidir",TRIM('DATOS'!F304&amp;"")&lt;&gt;"Por comprobar")),2,IF(COUNTIFS('REFERENCIAS'!$T$15:$T$34,"ID:"&amp;SUBSTITUTE(SUBSTITUTE(SUBSTITUTE(SUBSTITUTE(UPPER(TRIM('DATOS'!F304&amp;"")),"!","!E"),"*","!A"),"?","!B"),"~","!C"),'REFERENCIAS'!$H$15:$H$34,"&lt;&gt;")&gt;0,0,1))),2)</f>
      </c>
      <c r="U304" s="29" t="str">
        <f>'DATOS'!R304</f>
        <v>ID:</v>
      </c>
      <c r="V304" s="29" t="str">
        <f>'DATOS'!S304</f>
        <v>ID:</v>
      </c>
      <c r="W304" s="29" t="n">
        <f>IF(N304=0,0,COUNTIFS('REFERENCIAS'!$R$15:$R$64,U304))</f>
        <v>0</v>
      </c>
      <c r="X304" s="29" t="n">
        <f>IF(N304=0,0,COUNTIFS('DATOS'!$R$10:$R$509,U304,'DATOS'!$S$10:$S$509,V304))</f>
        <v>0</v>
      </c>
      <c r="Y304" s="29" t="n">
        <f>IF(AND(ISNUMBER('DATOS'!G304),ISNUMBER('DATOS'!H304),ISNUMBER('DATOS'!J304)),1,0)</f>
        <v>0</v>
      </c>
    </row>
    <row r="305" ht="64" customHeight="1">
      <c r="B305" s="26">
        <f>IF(N305=1,296,"")</f>
      </c>
      <c r="C305" s="26">
        <f>IF(AND(N305=1,LEN(TRIM('DATOS'!B305&amp;""))&gt;0),'DATOS'!B305,"")</f>
      </c>
      <c r="D305" s="26">
        <f>IF(AND(N305=1,LEN(TRIM('DATOS'!C305&amp;""))&gt;0),'DATOS'!C305,"")</f>
      </c>
      <c r="E305" s="26">
        <f>IF(NOT(ISNUMBER(P305)),"",IF(P305=2,"ROJO",IF(P305=1,"ÁMBAR","VERDE")))</f>
      </c>
      <c r="F305" s="26">
        <f>IF(NOT(ISNUMBER(Q305)),"",IF(Q305=2,"ROJO",IF(Q305=1,"ÁMBAR","VERDE")))</f>
      </c>
      <c r="G305" s="26">
        <f>IF(NOT(ISNUMBER(R305)),"",IF(R305=2,"ROJO",IF(R305=1,"ÁMBAR","VERDE")))</f>
      </c>
      <c r="H305" s="26">
        <f>IF(NOT(ISNUMBER(S305)),"",IF(S305=2,"ROJO",IF(S305=1,"ÁMBAR","VERDE")))</f>
      </c>
      <c r="I305" s="26">
        <f>IF(NOT(ISNUMBER(T305)),"",IF(T305=2,"ROJO",IF(T305=1,"ÁMBAR","VERDE")))</f>
      </c>
      <c r="J305" s="26">
        <f>IF(NOT(ISNUMBER(O305)),"",IF(O305=2,"ROJO",IF(O305=1,"ÁMBAR","VERDE")))</f>
      </c>
      <c r="K305" s="26">
        <f>IFERROR(IF(AND(N305=1,LEN(TRIM('DATOS'!N305&amp;""))&gt;0),'DATOS'!N305,""),"Hay una entrada con error. Corregimos el dato antes de cerrar la comprobación.")</f>
      </c>
      <c r="L305" s="26">
        <f>IFERROR(IF(N305=0,"",IF(O305&gt;0,"Completamos datos, claves o motivo. ","")&amp;IF(P305&gt;0,"Cotejamos precios e importe. ","")&amp;IF(Q305&gt;0,"Aclaramos el cero. ","")&amp;IF(R305&gt;0,"Comprobamos el texto. ","")&amp;IF(S305&gt;0,"Revisamos decimales visibles. ","")&amp;IF(T305&gt;0,"Confirmamos la unidad.","")),"Hay una entrada con error. Corregimos el dato antes de cerrar la comprobación.")</f>
      </c>
      <c r="N305" s="29" t="n">
        <f>IF(COUNTA('DATOS'!B305:O305)&gt;0,1,0)</f>
        <v>0</v>
      </c>
      <c r="O305" s="29">
        <f>IFERROR(IF(N305=0,"",IF(OR(NOT(AND(LEN(TRIM('DATOS'!B305&amp;""))&gt;0,TRIM('DATOS'!B305&amp;"")&lt;&gt;"Pendiente",TRIM('DATOS'!B305&amp;"")&lt;&gt;"Por confirmar",TRIM('DATOS'!B305&amp;"")&lt;&gt;"No consta",TRIM('DATOS'!B305&amp;"")&lt;&gt;"Desconocido",TRIM('DATOS'!B305&amp;"")&lt;&gt;"Sin confirmar",TRIM('DATOS'!B305&amp;"")&lt;&gt;"Por decidir",TRIM('DATOS'!B305&amp;"")&lt;&gt;"Por comprobar")),NOT(AND(LEN(TRIM('DATOS'!C305&amp;""))&gt;0,TRIM('DATOS'!C305&amp;"")&lt;&gt;"Pendiente",TRIM('DATOS'!C305&amp;"")&lt;&gt;"Por confirmar",TRIM('DATOS'!C305&amp;"")&lt;&gt;"No consta",TRIM('DATOS'!C305&amp;"")&lt;&gt;"Desconocido",TRIM('DATOS'!C305&amp;"")&lt;&gt;"Sin confirmar",TRIM('DATOS'!C305&amp;"")&lt;&gt;"Por decidir",TRIM('DATOS'!C305&amp;"")&lt;&gt;"Por comprobar")),NOT(AND(LEN(TRIM('DATOS'!D305&amp;""))&gt;0,TRIM('DATOS'!D305&amp;"")&lt;&gt;"Pendiente",TRIM('DATOS'!D305&amp;"")&lt;&gt;"Por confirmar",TRIM('DATOS'!D305&amp;"")&lt;&gt;"No consta",TRIM('DATOS'!D305&amp;"")&lt;&gt;"Desconocido",TRIM('DATOS'!D305&amp;"")&lt;&gt;"Sin confirmar",TRIM('DATOS'!D305&amp;"")&lt;&gt;"Por decidir",TRIM('DATOS'!D305&amp;"")&lt;&gt;"Por comprobar")),NOT(AND(LEN(TRIM('DATOS'!E305&amp;""))&gt;0,TRIM('DATOS'!E305&amp;"")&lt;&gt;"Pendiente",TRIM('DATOS'!E305&amp;"")&lt;&gt;"Por confirmar",TRIM('DATOS'!E305&amp;"")&lt;&gt;"No consta",TRIM('DATOS'!E305&amp;"")&lt;&gt;"Desconocido",TRIM('DATOS'!E305&amp;"")&lt;&gt;"Sin confirmar",TRIM('DATOS'!E305&amp;"")&lt;&gt;"Por decidir",TRIM('DATOS'!E305&amp;"")&lt;&gt;"Por comprobar")),NOT(AND(LEN(TRIM('DATOS'!F305&amp;""))&gt;0,TRIM('DATOS'!F305&amp;"")&lt;&gt;"Pendiente",TRIM('DATOS'!F305&amp;"")&lt;&gt;"Por confirmar",TRIM('DATOS'!F305&amp;"")&lt;&gt;"No consta",TRIM('DATOS'!F305&amp;"")&lt;&gt;"Desconocido",TRIM('DATOS'!F305&amp;"")&lt;&gt;"Sin confirmar",TRIM('DATOS'!F305&amp;"")&lt;&gt;"Por decidir",TRIM('DATOS'!F305&amp;"")&lt;&gt;"Por comprobar")),NOT(AND(LEN(TRIM('DATOS'!N305&amp;""))&gt;0,TRIM('DATOS'!N305&amp;"")&lt;&gt;"Pendiente",TRIM('DATOS'!N305&amp;"")&lt;&gt;"Por confirmar",TRIM('DATOS'!N305&amp;"")&lt;&gt;"No consta",TRIM('DATOS'!N305&amp;"")&lt;&gt;"Desconocido",TRIM('DATOS'!N305&amp;"")&lt;&gt;"Sin confirmar",TRIM('DATOS'!N305&amp;"")&lt;&gt;"Por decidir",TRIM('DATOS'!N305&amp;"")&lt;&gt;"Por comprobar")),NOT(Y305=1),W305&lt;&gt;1,X305&gt;1,NOT(OR(LEN(TRIM('DATOS'!K305&amp;""))=0,'DATOS'!K305="Sin valorar",'DATOS'!K305="Sin coste documentado",'DATOS'!K305="Incluido en otra partida",'DATOS'!K305="Por confirmar")),NOT(OR(LEN(TRIM('DATOS'!M305&amp;""))=0,'DATOS'!M305="Sí",'DATOS'!M305="No",'DATOS'!M305="Por confirmar")),NOT(OR(LEN(TRIM('DATOS'!O305&amp;""))=0,'DATOS'!O305="Comparamos",'DATOS'!O305="No existe",'DATOS'!O305="Por confirmar"))),2,IF(AND(OR('DATOS'!G305&lt;0,'DATOS'!H305&lt;0,'DATOS'!J305&lt;0),NOT(AND(LEN(TRIM('DATOS'!L305&amp;""))&gt;0,TRIM('DATOS'!L305&amp;"")&lt;&gt;"Pendiente",TRIM('DATOS'!L305&amp;"")&lt;&gt;"Por confirmar",TRIM('DATOS'!L305&amp;"")&lt;&gt;"No consta",TRIM('DATOS'!L305&amp;"")&lt;&gt;"Desconocido",TRIM('DATOS'!L305&amp;"")&lt;&gt;"Sin confirmar",TRIM('DATOS'!L305&amp;"")&lt;&gt;"Por decidir",TRIM('DATOS'!L305&amp;"")&lt;&gt;"Por comprobar"))),1,0))),2)</f>
      </c>
      <c r="P305" s="29">
        <f>IFERROR(IF(N305=0,"",IF(NOT(Y305=1),1,IF('REFERENCIAS'!$Q$8&lt;&gt;1,2,IF(ABS('DATOS'!J305-ROUND('DATOS'!G305*'DATOS'!H305,'REFERENCIAS'!$K$8))&gt;0.00000001,2,IF('DATOS'!O305="No existe",IF(LEN(TRIM('DATOS'!I305&amp;""))=0,0,2),IF('DATOS'!O305="Comparamos",IF(LEN(TRIM('DATOS'!I305&amp;""))=0,1,IF(ISNUMBER('DATOS'!I305),IF(ABS('DATOS'!H305-'DATOS'!I305)&gt;0.00000001,2,0),2)),1)))))),2)</f>
      </c>
      <c r="Q305" s="29">
        <f>IFERROR(IF(N305=0,"",IF(NOT(Y305=1),1,IF('DATOS'!K305="Sin valorar",2,IF('DATOS'!G305=0,1,IF(OR('DATOS'!H305=0,'DATOS'!J305=0),IF(AND(OR('DATOS'!K305="Sin coste documentado",'DATOS'!K305="Incluido en otra partida"),AND(LEN(TRIM('DATOS'!L305&amp;""))&gt;0,TRIM('DATOS'!L305&amp;"")&lt;&gt;"Pendiente",TRIM('DATOS'!L305&amp;"")&lt;&gt;"Por confirmar",TRIM('DATOS'!L305&amp;"")&lt;&gt;"No consta",TRIM('DATOS'!L305&amp;"")&lt;&gt;"Desconocido",TRIM('DATOS'!L305&amp;"")&lt;&gt;"Sin confirmar",TRIM('DATOS'!L305&amp;"")&lt;&gt;"Por decidir",TRIM('DATOS'!L305&amp;"")&lt;&gt;"Por comprobar")),0,1),0))))),2)</f>
      </c>
      <c r="R305" s="29">
        <f>IFERROR(IF(N305=0,"",IF(OR(NOT(AND(LEN(TRIM('DATOS'!D305&amp;""))&gt;0,TRIM('DATOS'!D305&amp;"")&lt;&gt;"Pendiente",TRIM('DATOS'!D305&amp;"")&lt;&gt;"Por confirmar",TRIM('DATOS'!D305&amp;"")&lt;&gt;"No consta",TRIM('DATOS'!D305&amp;"")&lt;&gt;"Desconocido",TRIM('DATOS'!D305&amp;"")&lt;&gt;"Sin confirmar",TRIM('DATOS'!D305&amp;"")&lt;&gt;"Por decidir",TRIM('DATOS'!D305&amp;"")&lt;&gt;"Por comprobar")),NOT(AND(LEN(TRIM('DATOS'!E305&amp;""))&gt;0,TRIM('DATOS'!E305&amp;"")&lt;&gt;"Pendiente",TRIM('DATOS'!E305&amp;"")&lt;&gt;"Por confirmar",TRIM('DATOS'!E305&amp;"")&lt;&gt;"No consta",TRIM('DATOS'!E305&amp;"")&lt;&gt;"Desconocido",TRIM('DATOS'!E305&amp;"")&lt;&gt;"Sin confirmar",TRIM('DATOS'!E305&amp;"")&lt;&gt;"Por decidir",TRIM('DATOS'!E305&amp;"")&lt;&gt;"Por comprobar"))),2,IF('DATOS'!M305="No",2,IF('DATOS'!M305="Sí",0,IF(OR('DATOS'!D305&lt;&gt;'DATOS'!E305,LEN('DATOS'!E305)&gt;300,RIGHT(TRIM('DATOS'!E305),3)="...",RIGHT(TRIM('DATOS'!E305),1)="…"),1,0))))),2)</f>
      </c>
      <c r="S305" s="29">
        <f>IFERROR(IF(N305=0,"",IF('REFERENCIAS'!$Q$8&lt;&gt;1,2,IF(NOT(Y305=1),1,IF(OR(ABS('DATOS'!G305-ROUND('DATOS'!G305,'REFERENCIAS'!$E$8))&gt;0.00000001,ABS('DATOS'!H305-ROUND('DATOS'!H305,'REFERENCIAS'!$H$8))&gt;0.00000001,ABS('DATOS'!J305-ROUND('DATOS'!J305,'REFERENCIAS'!$K$8))&gt;0.00000001,IF(ISNUMBER('DATOS'!I305),ABS('DATOS'!I305-ROUND('DATOS'!I305,'REFERENCIAS'!$H$8))&gt;0.00000001,FALSE)),1,0)))),2)</f>
      </c>
      <c r="T305" s="29">
        <f>IFERROR(IF(N305=0,"",IF(NOT(AND(LEN(TRIM('DATOS'!F305&amp;""))&gt;0,TRIM('DATOS'!F305&amp;"")&lt;&gt;"Pendiente",TRIM('DATOS'!F305&amp;"")&lt;&gt;"Por confirmar",TRIM('DATOS'!F305&amp;"")&lt;&gt;"No consta",TRIM('DATOS'!F305&amp;"")&lt;&gt;"Desconocido",TRIM('DATOS'!F305&amp;"")&lt;&gt;"Sin confirmar",TRIM('DATOS'!F305&amp;"")&lt;&gt;"Por decidir",TRIM('DATOS'!F305&amp;"")&lt;&gt;"Por comprobar")),2,IF(COUNTIFS('REFERENCIAS'!$T$15:$T$34,"ID:"&amp;SUBSTITUTE(SUBSTITUTE(SUBSTITUTE(SUBSTITUTE(UPPER(TRIM('DATOS'!F305&amp;"")),"!","!E"),"*","!A"),"?","!B"),"~","!C"),'REFERENCIAS'!$H$15:$H$34,"&lt;&gt;")&gt;0,0,1))),2)</f>
      </c>
      <c r="U305" s="29" t="str">
        <f>'DATOS'!R305</f>
        <v>ID:</v>
      </c>
      <c r="V305" s="29" t="str">
        <f>'DATOS'!S305</f>
        <v>ID:</v>
      </c>
      <c r="W305" s="29" t="n">
        <f>IF(N305=0,0,COUNTIFS('REFERENCIAS'!$R$15:$R$64,U305))</f>
        <v>0</v>
      </c>
      <c r="X305" s="29" t="n">
        <f>IF(N305=0,0,COUNTIFS('DATOS'!$R$10:$R$509,U305,'DATOS'!$S$10:$S$509,V305))</f>
        <v>0</v>
      </c>
      <c r="Y305" s="29" t="n">
        <f>IF(AND(ISNUMBER('DATOS'!G305),ISNUMBER('DATOS'!H305),ISNUMBER('DATOS'!J305)),1,0)</f>
        <v>0</v>
      </c>
    </row>
    <row r="306" ht="64" customHeight="1">
      <c r="B306" s="26">
        <f>IF(N306=1,297,"")</f>
      </c>
      <c r="C306" s="26">
        <f>IF(AND(N306=1,LEN(TRIM('DATOS'!B306&amp;""))&gt;0),'DATOS'!B306,"")</f>
      </c>
      <c r="D306" s="26">
        <f>IF(AND(N306=1,LEN(TRIM('DATOS'!C306&amp;""))&gt;0),'DATOS'!C306,"")</f>
      </c>
      <c r="E306" s="26">
        <f>IF(NOT(ISNUMBER(P306)),"",IF(P306=2,"ROJO",IF(P306=1,"ÁMBAR","VERDE")))</f>
      </c>
      <c r="F306" s="26">
        <f>IF(NOT(ISNUMBER(Q306)),"",IF(Q306=2,"ROJO",IF(Q306=1,"ÁMBAR","VERDE")))</f>
      </c>
      <c r="G306" s="26">
        <f>IF(NOT(ISNUMBER(R306)),"",IF(R306=2,"ROJO",IF(R306=1,"ÁMBAR","VERDE")))</f>
      </c>
      <c r="H306" s="26">
        <f>IF(NOT(ISNUMBER(S306)),"",IF(S306=2,"ROJO",IF(S306=1,"ÁMBAR","VERDE")))</f>
      </c>
      <c r="I306" s="26">
        <f>IF(NOT(ISNUMBER(T306)),"",IF(T306=2,"ROJO",IF(T306=1,"ÁMBAR","VERDE")))</f>
      </c>
      <c r="J306" s="26">
        <f>IF(NOT(ISNUMBER(O306)),"",IF(O306=2,"ROJO",IF(O306=1,"ÁMBAR","VERDE")))</f>
      </c>
      <c r="K306" s="26">
        <f>IFERROR(IF(AND(N306=1,LEN(TRIM('DATOS'!N306&amp;""))&gt;0),'DATOS'!N306,""),"Hay una entrada con error. Corregimos el dato antes de cerrar la comprobación.")</f>
      </c>
      <c r="L306" s="26">
        <f>IFERROR(IF(N306=0,"",IF(O306&gt;0,"Completamos datos, claves o motivo. ","")&amp;IF(P306&gt;0,"Cotejamos precios e importe. ","")&amp;IF(Q306&gt;0,"Aclaramos el cero. ","")&amp;IF(R306&gt;0,"Comprobamos el texto. ","")&amp;IF(S306&gt;0,"Revisamos decimales visibles. ","")&amp;IF(T306&gt;0,"Confirmamos la unidad.","")),"Hay una entrada con error. Corregimos el dato antes de cerrar la comprobación.")</f>
      </c>
      <c r="N306" s="29" t="n">
        <f>IF(COUNTA('DATOS'!B306:O306)&gt;0,1,0)</f>
        <v>0</v>
      </c>
      <c r="O306" s="29">
        <f>IFERROR(IF(N306=0,"",IF(OR(NOT(AND(LEN(TRIM('DATOS'!B306&amp;""))&gt;0,TRIM('DATOS'!B306&amp;"")&lt;&gt;"Pendiente",TRIM('DATOS'!B306&amp;"")&lt;&gt;"Por confirmar",TRIM('DATOS'!B306&amp;"")&lt;&gt;"No consta",TRIM('DATOS'!B306&amp;"")&lt;&gt;"Desconocido",TRIM('DATOS'!B306&amp;"")&lt;&gt;"Sin confirmar",TRIM('DATOS'!B306&amp;"")&lt;&gt;"Por decidir",TRIM('DATOS'!B306&amp;"")&lt;&gt;"Por comprobar")),NOT(AND(LEN(TRIM('DATOS'!C306&amp;""))&gt;0,TRIM('DATOS'!C306&amp;"")&lt;&gt;"Pendiente",TRIM('DATOS'!C306&amp;"")&lt;&gt;"Por confirmar",TRIM('DATOS'!C306&amp;"")&lt;&gt;"No consta",TRIM('DATOS'!C306&amp;"")&lt;&gt;"Desconocido",TRIM('DATOS'!C306&amp;"")&lt;&gt;"Sin confirmar",TRIM('DATOS'!C306&amp;"")&lt;&gt;"Por decidir",TRIM('DATOS'!C306&amp;"")&lt;&gt;"Por comprobar")),NOT(AND(LEN(TRIM('DATOS'!D306&amp;""))&gt;0,TRIM('DATOS'!D306&amp;"")&lt;&gt;"Pendiente",TRIM('DATOS'!D306&amp;"")&lt;&gt;"Por confirmar",TRIM('DATOS'!D306&amp;"")&lt;&gt;"No consta",TRIM('DATOS'!D306&amp;"")&lt;&gt;"Desconocido",TRIM('DATOS'!D306&amp;"")&lt;&gt;"Sin confirmar",TRIM('DATOS'!D306&amp;"")&lt;&gt;"Por decidir",TRIM('DATOS'!D306&amp;"")&lt;&gt;"Por comprobar")),NOT(AND(LEN(TRIM('DATOS'!E306&amp;""))&gt;0,TRIM('DATOS'!E306&amp;"")&lt;&gt;"Pendiente",TRIM('DATOS'!E306&amp;"")&lt;&gt;"Por confirmar",TRIM('DATOS'!E306&amp;"")&lt;&gt;"No consta",TRIM('DATOS'!E306&amp;"")&lt;&gt;"Desconocido",TRIM('DATOS'!E306&amp;"")&lt;&gt;"Sin confirmar",TRIM('DATOS'!E306&amp;"")&lt;&gt;"Por decidir",TRIM('DATOS'!E306&amp;"")&lt;&gt;"Por comprobar")),NOT(AND(LEN(TRIM('DATOS'!F306&amp;""))&gt;0,TRIM('DATOS'!F306&amp;"")&lt;&gt;"Pendiente",TRIM('DATOS'!F306&amp;"")&lt;&gt;"Por confirmar",TRIM('DATOS'!F306&amp;"")&lt;&gt;"No consta",TRIM('DATOS'!F306&amp;"")&lt;&gt;"Desconocido",TRIM('DATOS'!F306&amp;"")&lt;&gt;"Sin confirmar",TRIM('DATOS'!F306&amp;"")&lt;&gt;"Por decidir",TRIM('DATOS'!F306&amp;"")&lt;&gt;"Por comprobar")),NOT(AND(LEN(TRIM('DATOS'!N306&amp;""))&gt;0,TRIM('DATOS'!N306&amp;"")&lt;&gt;"Pendiente",TRIM('DATOS'!N306&amp;"")&lt;&gt;"Por confirmar",TRIM('DATOS'!N306&amp;"")&lt;&gt;"No consta",TRIM('DATOS'!N306&amp;"")&lt;&gt;"Desconocido",TRIM('DATOS'!N306&amp;"")&lt;&gt;"Sin confirmar",TRIM('DATOS'!N306&amp;"")&lt;&gt;"Por decidir",TRIM('DATOS'!N306&amp;"")&lt;&gt;"Por comprobar")),NOT(Y306=1),W306&lt;&gt;1,X306&gt;1,NOT(OR(LEN(TRIM('DATOS'!K306&amp;""))=0,'DATOS'!K306="Sin valorar",'DATOS'!K306="Sin coste documentado",'DATOS'!K306="Incluido en otra partida",'DATOS'!K306="Por confirmar")),NOT(OR(LEN(TRIM('DATOS'!M306&amp;""))=0,'DATOS'!M306="Sí",'DATOS'!M306="No",'DATOS'!M306="Por confirmar")),NOT(OR(LEN(TRIM('DATOS'!O306&amp;""))=0,'DATOS'!O306="Comparamos",'DATOS'!O306="No existe",'DATOS'!O306="Por confirmar"))),2,IF(AND(OR('DATOS'!G306&lt;0,'DATOS'!H306&lt;0,'DATOS'!J306&lt;0),NOT(AND(LEN(TRIM('DATOS'!L306&amp;""))&gt;0,TRIM('DATOS'!L306&amp;"")&lt;&gt;"Pendiente",TRIM('DATOS'!L306&amp;"")&lt;&gt;"Por confirmar",TRIM('DATOS'!L306&amp;"")&lt;&gt;"No consta",TRIM('DATOS'!L306&amp;"")&lt;&gt;"Desconocido",TRIM('DATOS'!L306&amp;"")&lt;&gt;"Sin confirmar",TRIM('DATOS'!L306&amp;"")&lt;&gt;"Por decidir",TRIM('DATOS'!L306&amp;"")&lt;&gt;"Por comprobar"))),1,0))),2)</f>
      </c>
      <c r="P306" s="29">
        <f>IFERROR(IF(N306=0,"",IF(NOT(Y306=1),1,IF('REFERENCIAS'!$Q$8&lt;&gt;1,2,IF(ABS('DATOS'!J306-ROUND('DATOS'!G306*'DATOS'!H306,'REFERENCIAS'!$K$8))&gt;0.00000001,2,IF('DATOS'!O306="No existe",IF(LEN(TRIM('DATOS'!I306&amp;""))=0,0,2),IF('DATOS'!O306="Comparamos",IF(LEN(TRIM('DATOS'!I306&amp;""))=0,1,IF(ISNUMBER('DATOS'!I306),IF(ABS('DATOS'!H306-'DATOS'!I306)&gt;0.00000001,2,0),2)),1)))))),2)</f>
      </c>
      <c r="Q306" s="29">
        <f>IFERROR(IF(N306=0,"",IF(NOT(Y306=1),1,IF('DATOS'!K306="Sin valorar",2,IF('DATOS'!G306=0,1,IF(OR('DATOS'!H306=0,'DATOS'!J306=0),IF(AND(OR('DATOS'!K306="Sin coste documentado",'DATOS'!K306="Incluido en otra partida"),AND(LEN(TRIM('DATOS'!L306&amp;""))&gt;0,TRIM('DATOS'!L306&amp;"")&lt;&gt;"Pendiente",TRIM('DATOS'!L306&amp;"")&lt;&gt;"Por confirmar",TRIM('DATOS'!L306&amp;"")&lt;&gt;"No consta",TRIM('DATOS'!L306&amp;"")&lt;&gt;"Desconocido",TRIM('DATOS'!L306&amp;"")&lt;&gt;"Sin confirmar",TRIM('DATOS'!L306&amp;"")&lt;&gt;"Por decidir",TRIM('DATOS'!L306&amp;"")&lt;&gt;"Por comprobar")),0,1),0))))),2)</f>
      </c>
      <c r="R306" s="29">
        <f>IFERROR(IF(N306=0,"",IF(OR(NOT(AND(LEN(TRIM('DATOS'!D306&amp;""))&gt;0,TRIM('DATOS'!D306&amp;"")&lt;&gt;"Pendiente",TRIM('DATOS'!D306&amp;"")&lt;&gt;"Por confirmar",TRIM('DATOS'!D306&amp;"")&lt;&gt;"No consta",TRIM('DATOS'!D306&amp;"")&lt;&gt;"Desconocido",TRIM('DATOS'!D306&amp;"")&lt;&gt;"Sin confirmar",TRIM('DATOS'!D306&amp;"")&lt;&gt;"Por decidir",TRIM('DATOS'!D306&amp;"")&lt;&gt;"Por comprobar")),NOT(AND(LEN(TRIM('DATOS'!E306&amp;""))&gt;0,TRIM('DATOS'!E306&amp;"")&lt;&gt;"Pendiente",TRIM('DATOS'!E306&amp;"")&lt;&gt;"Por confirmar",TRIM('DATOS'!E306&amp;"")&lt;&gt;"No consta",TRIM('DATOS'!E306&amp;"")&lt;&gt;"Desconocido",TRIM('DATOS'!E306&amp;"")&lt;&gt;"Sin confirmar",TRIM('DATOS'!E306&amp;"")&lt;&gt;"Por decidir",TRIM('DATOS'!E306&amp;"")&lt;&gt;"Por comprobar"))),2,IF('DATOS'!M306="No",2,IF('DATOS'!M306="Sí",0,IF(OR('DATOS'!D306&lt;&gt;'DATOS'!E306,LEN('DATOS'!E306)&gt;300,RIGHT(TRIM('DATOS'!E306),3)="...",RIGHT(TRIM('DATOS'!E306),1)="…"),1,0))))),2)</f>
      </c>
      <c r="S306" s="29">
        <f>IFERROR(IF(N306=0,"",IF('REFERENCIAS'!$Q$8&lt;&gt;1,2,IF(NOT(Y306=1),1,IF(OR(ABS('DATOS'!G306-ROUND('DATOS'!G306,'REFERENCIAS'!$E$8))&gt;0.00000001,ABS('DATOS'!H306-ROUND('DATOS'!H306,'REFERENCIAS'!$H$8))&gt;0.00000001,ABS('DATOS'!J306-ROUND('DATOS'!J306,'REFERENCIAS'!$K$8))&gt;0.00000001,IF(ISNUMBER('DATOS'!I306),ABS('DATOS'!I306-ROUND('DATOS'!I306,'REFERENCIAS'!$H$8))&gt;0.00000001,FALSE)),1,0)))),2)</f>
      </c>
      <c r="T306" s="29">
        <f>IFERROR(IF(N306=0,"",IF(NOT(AND(LEN(TRIM('DATOS'!F306&amp;""))&gt;0,TRIM('DATOS'!F306&amp;"")&lt;&gt;"Pendiente",TRIM('DATOS'!F306&amp;"")&lt;&gt;"Por confirmar",TRIM('DATOS'!F306&amp;"")&lt;&gt;"No consta",TRIM('DATOS'!F306&amp;"")&lt;&gt;"Desconocido",TRIM('DATOS'!F306&amp;"")&lt;&gt;"Sin confirmar",TRIM('DATOS'!F306&amp;"")&lt;&gt;"Por decidir",TRIM('DATOS'!F306&amp;"")&lt;&gt;"Por comprobar")),2,IF(COUNTIFS('REFERENCIAS'!$T$15:$T$34,"ID:"&amp;SUBSTITUTE(SUBSTITUTE(SUBSTITUTE(SUBSTITUTE(UPPER(TRIM('DATOS'!F306&amp;"")),"!","!E"),"*","!A"),"?","!B"),"~","!C"),'REFERENCIAS'!$H$15:$H$34,"&lt;&gt;")&gt;0,0,1))),2)</f>
      </c>
      <c r="U306" s="29" t="str">
        <f>'DATOS'!R306</f>
        <v>ID:</v>
      </c>
      <c r="V306" s="29" t="str">
        <f>'DATOS'!S306</f>
        <v>ID:</v>
      </c>
      <c r="W306" s="29" t="n">
        <f>IF(N306=0,0,COUNTIFS('REFERENCIAS'!$R$15:$R$64,U306))</f>
        <v>0</v>
      </c>
      <c r="X306" s="29" t="n">
        <f>IF(N306=0,0,COUNTIFS('DATOS'!$R$10:$R$509,U306,'DATOS'!$S$10:$S$509,V306))</f>
        <v>0</v>
      </c>
      <c r="Y306" s="29" t="n">
        <f>IF(AND(ISNUMBER('DATOS'!G306),ISNUMBER('DATOS'!H306),ISNUMBER('DATOS'!J306)),1,0)</f>
        <v>0</v>
      </c>
    </row>
    <row r="307" ht="64" customHeight="1">
      <c r="B307" s="26">
        <f>IF(N307=1,298,"")</f>
      </c>
      <c r="C307" s="26">
        <f>IF(AND(N307=1,LEN(TRIM('DATOS'!B307&amp;""))&gt;0),'DATOS'!B307,"")</f>
      </c>
      <c r="D307" s="26">
        <f>IF(AND(N307=1,LEN(TRIM('DATOS'!C307&amp;""))&gt;0),'DATOS'!C307,"")</f>
      </c>
      <c r="E307" s="26">
        <f>IF(NOT(ISNUMBER(P307)),"",IF(P307=2,"ROJO",IF(P307=1,"ÁMBAR","VERDE")))</f>
      </c>
      <c r="F307" s="26">
        <f>IF(NOT(ISNUMBER(Q307)),"",IF(Q307=2,"ROJO",IF(Q307=1,"ÁMBAR","VERDE")))</f>
      </c>
      <c r="G307" s="26">
        <f>IF(NOT(ISNUMBER(R307)),"",IF(R307=2,"ROJO",IF(R307=1,"ÁMBAR","VERDE")))</f>
      </c>
      <c r="H307" s="26">
        <f>IF(NOT(ISNUMBER(S307)),"",IF(S307=2,"ROJO",IF(S307=1,"ÁMBAR","VERDE")))</f>
      </c>
      <c r="I307" s="26">
        <f>IF(NOT(ISNUMBER(T307)),"",IF(T307=2,"ROJO",IF(T307=1,"ÁMBAR","VERDE")))</f>
      </c>
      <c r="J307" s="26">
        <f>IF(NOT(ISNUMBER(O307)),"",IF(O307=2,"ROJO",IF(O307=1,"ÁMBAR","VERDE")))</f>
      </c>
      <c r="K307" s="26">
        <f>IFERROR(IF(AND(N307=1,LEN(TRIM('DATOS'!N307&amp;""))&gt;0),'DATOS'!N307,""),"Hay una entrada con error. Corregimos el dato antes de cerrar la comprobación.")</f>
      </c>
      <c r="L307" s="26">
        <f>IFERROR(IF(N307=0,"",IF(O307&gt;0,"Completamos datos, claves o motivo. ","")&amp;IF(P307&gt;0,"Cotejamos precios e importe. ","")&amp;IF(Q307&gt;0,"Aclaramos el cero. ","")&amp;IF(R307&gt;0,"Comprobamos el texto. ","")&amp;IF(S307&gt;0,"Revisamos decimales visibles. ","")&amp;IF(T307&gt;0,"Confirmamos la unidad.","")),"Hay una entrada con error. Corregimos el dato antes de cerrar la comprobación.")</f>
      </c>
      <c r="N307" s="29" t="n">
        <f>IF(COUNTA('DATOS'!B307:O307)&gt;0,1,0)</f>
        <v>0</v>
      </c>
      <c r="O307" s="29">
        <f>IFERROR(IF(N307=0,"",IF(OR(NOT(AND(LEN(TRIM('DATOS'!B307&amp;""))&gt;0,TRIM('DATOS'!B307&amp;"")&lt;&gt;"Pendiente",TRIM('DATOS'!B307&amp;"")&lt;&gt;"Por confirmar",TRIM('DATOS'!B307&amp;"")&lt;&gt;"No consta",TRIM('DATOS'!B307&amp;"")&lt;&gt;"Desconocido",TRIM('DATOS'!B307&amp;"")&lt;&gt;"Sin confirmar",TRIM('DATOS'!B307&amp;"")&lt;&gt;"Por decidir",TRIM('DATOS'!B307&amp;"")&lt;&gt;"Por comprobar")),NOT(AND(LEN(TRIM('DATOS'!C307&amp;""))&gt;0,TRIM('DATOS'!C307&amp;"")&lt;&gt;"Pendiente",TRIM('DATOS'!C307&amp;"")&lt;&gt;"Por confirmar",TRIM('DATOS'!C307&amp;"")&lt;&gt;"No consta",TRIM('DATOS'!C307&amp;"")&lt;&gt;"Desconocido",TRIM('DATOS'!C307&amp;"")&lt;&gt;"Sin confirmar",TRIM('DATOS'!C307&amp;"")&lt;&gt;"Por decidir",TRIM('DATOS'!C307&amp;"")&lt;&gt;"Por comprobar")),NOT(AND(LEN(TRIM('DATOS'!D307&amp;""))&gt;0,TRIM('DATOS'!D307&amp;"")&lt;&gt;"Pendiente",TRIM('DATOS'!D307&amp;"")&lt;&gt;"Por confirmar",TRIM('DATOS'!D307&amp;"")&lt;&gt;"No consta",TRIM('DATOS'!D307&amp;"")&lt;&gt;"Desconocido",TRIM('DATOS'!D307&amp;"")&lt;&gt;"Sin confirmar",TRIM('DATOS'!D307&amp;"")&lt;&gt;"Por decidir",TRIM('DATOS'!D307&amp;"")&lt;&gt;"Por comprobar")),NOT(AND(LEN(TRIM('DATOS'!E307&amp;""))&gt;0,TRIM('DATOS'!E307&amp;"")&lt;&gt;"Pendiente",TRIM('DATOS'!E307&amp;"")&lt;&gt;"Por confirmar",TRIM('DATOS'!E307&amp;"")&lt;&gt;"No consta",TRIM('DATOS'!E307&amp;"")&lt;&gt;"Desconocido",TRIM('DATOS'!E307&amp;"")&lt;&gt;"Sin confirmar",TRIM('DATOS'!E307&amp;"")&lt;&gt;"Por decidir",TRIM('DATOS'!E307&amp;"")&lt;&gt;"Por comprobar")),NOT(AND(LEN(TRIM('DATOS'!F307&amp;""))&gt;0,TRIM('DATOS'!F307&amp;"")&lt;&gt;"Pendiente",TRIM('DATOS'!F307&amp;"")&lt;&gt;"Por confirmar",TRIM('DATOS'!F307&amp;"")&lt;&gt;"No consta",TRIM('DATOS'!F307&amp;"")&lt;&gt;"Desconocido",TRIM('DATOS'!F307&amp;"")&lt;&gt;"Sin confirmar",TRIM('DATOS'!F307&amp;"")&lt;&gt;"Por decidir",TRIM('DATOS'!F307&amp;"")&lt;&gt;"Por comprobar")),NOT(AND(LEN(TRIM('DATOS'!N307&amp;""))&gt;0,TRIM('DATOS'!N307&amp;"")&lt;&gt;"Pendiente",TRIM('DATOS'!N307&amp;"")&lt;&gt;"Por confirmar",TRIM('DATOS'!N307&amp;"")&lt;&gt;"No consta",TRIM('DATOS'!N307&amp;"")&lt;&gt;"Desconocido",TRIM('DATOS'!N307&amp;"")&lt;&gt;"Sin confirmar",TRIM('DATOS'!N307&amp;"")&lt;&gt;"Por decidir",TRIM('DATOS'!N307&amp;"")&lt;&gt;"Por comprobar")),NOT(Y307=1),W307&lt;&gt;1,X307&gt;1,NOT(OR(LEN(TRIM('DATOS'!K307&amp;""))=0,'DATOS'!K307="Sin valorar",'DATOS'!K307="Sin coste documentado",'DATOS'!K307="Incluido en otra partida",'DATOS'!K307="Por confirmar")),NOT(OR(LEN(TRIM('DATOS'!M307&amp;""))=0,'DATOS'!M307="Sí",'DATOS'!M307="No",'DATOS'!M307="Por confirmar")),NOT(OR(LEN(TRIM('DATOS'!O307&amp;""))=0,'DATOS'!O307="Comparamos",'DATOS'!O307="No existe",'DATOS'!O307="Por confirmar"))),2,IF(AND(OR('DATOS'!G307&lt;0,'DATOS'!H307&lt;0,'DATOS'!J307&lt;0),NOT(AND(LEN(TRIM('DATOS'!L307&amp;""))&gt;0,TRIM('DATOS'!L307&amp;"")&lt;&gt;"Pendiente",TRIM('DATOS'!L307&amp;"")&lt;&gt;"Por confirmar",TRIM('DATOS'!L307&amp;"")&lt;&gt;"No consta",TRIM('DATOS'!L307&amp;"")&lt;&gt;"Desconocido",TRIM('DATOS'!L307&amp;"")&lt;&gt;"Sin confirmar",TRIM('DATOS'!L307&amp;"")&lt;&gt;"Por decidir",TRIM('DATOS'!L307&amp;"")&lt;&gt;"Por comprobar"))),1,0))),2)</f>
      </c>
      <c r="P307" s="29">
        <f>IFERROR(IF(N307=0,"",IF(NOT(Y307=1),1,IF('REFERENCIAS'!$Q$8&lt;&gt;1,2,IF(ABS('DATOS'!J307-ROUND('DATOS'!G307*'DATOS'!H307,'REFERENCIAS'!$K$8))&gt;0.00000001,2,IF('DATOS'!O307="No existe",IF(LEN(TRIM('DATOS'!I307&amp;""))=0,0,2),IF('DATOS'!O307="Comparamos",IF(LEN(TRIM('DATOS'!I307&amp;""))=0,1,IF(ISNUMBER('DATOS'!I307),IF(ABS('DATOS'!H307-'DATOS'!I307)&gt;0.00000001,2,0),2)),1)))))),2)</f>
      </c>
      <c r="Q307" s="29">
        <f>IFERROR(IF(N307=0,"",IF(NOT(Y307=1),1,IF('DATOS'!K307="Sin valorar",2,IF('DATOS'!G307=0,1,IF(OR('DATOS'!H307=0,'DATOS'!J307=0),IF(AND(OR('DATOS'!K307="Sin coste documentado",'DATOS'!K307="Incluido en otra partida"),AND(LEN(TRIM('DATOS'!L307&amp;""))&gt;0,TRIM('DATOS'!L307&amp;"")&lt;&gt;"Pendiente",TRIM('DATOS'!L307&amp;"")&lt;&gt;"Por confirmar",TRIM('DATOS'!L307&amp;"")&lt;&gt;"No consta",TRIM('DATOS'!L307&amp;"")&lt;&gt;"Desconocido",TRIM('DATOS'!L307&amp;"")&lt;&gt;"Sin confirmar",TRIM('DATOS'!L307&amp;"")&lt;&gt;"Por decidir",TRIM('DATOS'!L307&amp;"")&lt;&gt;"Por comprobar")),0,1),0))))),2)</f>
      </c>
      <c r="R307" s="29">
        <f>IFERROR(IF(N307=0,"",IF(OR(NOT(AND(LEN(TRIM('DATOS'!D307&amp;""))&gt;0,TRIM('DATOS'!D307&amp;"")&lt;&gt;"Pendiente",TRIM('DATOS'!D307&amp;"")&lt;&gt;"Por confirmar",TRIM('DATOS'!D307&amp;"")&lt;&gt;"No consta",TRIM('DATOS'!D307&amp;"")&lt;&gt;"Desconocido",TRIM('DATOS'!D307&amp;"")&lt;&gt;"Sin confirmar",TRIM('DATOS'!D307&amp;"")&lt;&gt;"Por decidir",TRIM('DATOS'!D307&amp;"")&lt;&gt;"Por comprobar")),NOT(AND(LEN(TRIM('DATOS'!E307&amp;""))&gt;0,TRIM('DATOS'!E307&amp;"")&lt;&gt;"Pendiente",TRIM('DATOS'!E307&amp;"")&lt;&gt;"Por confirmar",TRIM('DATOS'!E307&amp;"")&lt;&gt;"No consta",TRIM('DATOS'!E307&amp;"")&lt;&gt;"Desconocido",TRIM('DATOS'!E307&amp;"")&lt;&gt;"Sin confirmar",TRIM('DATOS'!E307&amp;"")&lt;&gt;"Por decidir",TRIM('DATOS'!E307&amp;"")&lt;&gt;"Por comprobar"))),2,IF('DATOS'!M307="No",2,IF('DATOS'!M307="Sí",0,IF(OR('DATOS'!D307&lt;&gt;'DATOS'!E307,LEN('DATOS'!E307)&gt;300,RIGHT(TRIM('DATOS'!E307),3)="...",RIGHT(TRIM('DATOS'!E307),1)="…"),1,0))))),2)</f>
      </c>
      <c r="S307" s="29">
        <f>IFERROR(IF(N307=0,"",IF('REFERENCIAS'!$Q$8&lt;&gt;1,2,IF(NOT(Y307=1),1,IF(OR(ABS('DATOS'!G307-ROUND('DATOS'!G307,'REFERENCIAS'!$E$8))&gt;0.00000001,ABS('DATOS'!H307-ROUND('DATOS'!H307,'REFERENCIAS'!$H$8))&gt;0.00000001,ABS('DATOS'!J307-ROUND('DATOS'!J307,'REFERENCIAS'!$K$8))&gt;0.00000001,IF(ISNUMBER('DATOS'!I307),ABS('DATOS'!I307-ROUND('DATOS'!I307,'REFERENCIAS'!$H$8))&gt;0.00000001,FALSE)),1,0)))),2)</f>
      </c>
      <c r="T307" s="29">
        <f>IFERROR(IF(N307=0,"",IF(NOT(AND(LEN(TRIM('DATOS'!F307&amp;""))&gt;0,TRIM('DATOS'!F307&amp;"")&lt;&gt;"Pendiente",TRIM('DATOS'!F307&amp;"")&lt;&gt;"Por confirmar",TRIM('DATOS'!F307&amp;"")&lt;&gt;"No consta",TRIM('DATOS'!F307&amp;"")&lt;&gt;"Desconocido",TRIM('DATOS'!F307&amp;"")&lt;&gt;"Sin confirmar",TRIM('DATOS'!F307&amp;"")&lt;&gt;"Por decidir",TRIM('DATOS'!F307&amp;"")&lt;&gt;"Por comprobar")),2,IF(COUNTIFS('REFERENCIAS'!$T$15:$T$34,"ID:"&amp;SUBSTITUTE(SUBSTITUTE(SUBSTITUTE(SUBSTITUTE(UPPER(TRIM('DATOS'!F307&amp;"")),"!","!E"),"*","!A"),"?","!B"),"~","!C"),'REFERENCIAS'!$H$15:$H$34,"&lt;&gt;")&gt;0,0,1))),2)</f>
      </c>
      <c r="U307" s="29" t="str">
        <f>'DATOS'!R307</f>
        <v>ID:</v>
      </c>
      <c r="V307" s="29" t="str">
        <f>'DATOS'!S307</f>
        <v>ID:</v>
      </c>
      <c r="W307" s="29" t="n">
        <f>IF(N307=0,0,COUNTIFS('REFERENCIAS'!$R$15:$R$64,U307))</f>
        <v>0</v>
      </c>
      <c r="X307" s="29" t="n">
        <f>IF(N307=0,0,COUNTIFS('DATOS'!$R$10:$R$509,U307,'DATOS'!$S$10:$S$509,V307))</f>
        <v>0</v>
      </c>
      <c r="Y307" s="29" t="n">
        <f>IF(AND(ISNUMBER('DATOS'!G307),ISNUMBER('DATOS'!H307),ISNUMBER('DATOS'!J307)),1,0)</f>
        <v>0</v>
      </c>
    </row>
    <row r="308" ht="64" customHeight="1">
      <c r="B308" s="26">
        <f>IF(N308=1,299,"")</f>
      </c>
      <c r="C308" s="26">
        <f>IF(AND(N308=1,LEN(TRIM('DATOS'!B308&amp;""))&gt;0),'DATOS'!B308,"")</f>
      </c>
      <c r="D308" s="26">
        <f>IF(AND(N308=1,LEN(TRIM('DATOS'!C308&amp;""))&gt;0),'DATOS'!C308,"")</f>
      </c>
      <c r="E308" s="26">
        <f>IF(NOT(ISNUMBER(P308)),"",IF(P308=2,"ROJO",IF(P308=1,"ÁMBAR","VERDE")))</f>
      </c>
      <c r="F308" s="26">
        <f>IF(NOT(ISNUMBER(Q308)),"",IF(Q308=2,"ROJO",IF(Q308=1,"ÁMBAR","VERDE")))</f>
      </c>
      <c r="G308" s="26">
        <f>IF(NOT(ISNUMBER(R308)),"",IF(R308=2,"ROJO",IF(R308=1,"ÁMBAR","VERDE")))</f>
      </c>
      <c r="H308" s="26">
        <f>IF(NOT(ISNUMBER(S308)),"",IF(S308=2,"ROJO",IF(S308=1,"ÁMBAR","VERDE")))</f>
      </c>
      <c r="I308" s="26">
        <f>IF(NOT(ISNUMBER(T308)),"",IF(T308=2,"ROJO",IF(T308=1,"ÁMBAR","VERDE")))</f>
      </c>
      <c r="J308" s="26">
        <f>IF(NOT(ISNUMBER(O308)),"",IF(O308=2,"ROJO",IF(O308=1,"ÁMBAR","VERDE")))</f>
      </c>
      <c r="K308" s="26">
        <f>IFERROR(IF(AND(N308=1,LEN(TRIM('DATOS'!N308&amp;""))&gt;0),'DATOS'!N308,""),"Hay una entrada con error. Corregimos el dato antes de cerrar la comprobación.")</f>
      </c>
      <c r="L308" s="26">
        <f>IFERROR(IF(N308=0,"",IF(O308&gt;0,"Completamos datos, claves o motivo. ","")&amp;IF(P308&gt;0,"Cotejamos precios e importe. ","")&amp;IF(Q308&gt;0,"Aclaramos el cero. ","")&amp;IF(R308&gt;0,"Comprobamos el texto. ","")&amp;IF(S308&gt;0,"Revisamos decimales visibles. ","")&amp;IF(T308&gt;0,"Confirmamos la unidad.","")),"Hay una entrada con error. Corregimos el dato antes de cerrar la comprobación.")</f>
      </c>
      <c r="N308" s="29" t="n">
        <f>IF(COUNTA('DATOS'!B308:O308)&gt;0,1,0)</f>
        <v>0</v>
      </c>
      <c r="O308" s="29">
        <f>IFERROR(IF(N308=0,"",IF(OR(NOT(AND(LEN(TRIM('DATOS'!B308&amp;""))&gt;0,TRIM('DATOS'!B308&amp;"")&lt;&gt;"Pendiente",TRIM('DATOS'!B308&amp;"")&lt;&gt;"Por confirmar",TRIM('DATOS'!B308&amp;"")&lt;&gt;"No consta",TRIM('DATOS'!B308&amp;"")&lt;&gt;"Desconocido",TRIM('DATOS'!B308&amp;"")&lt;&gt;"Sin confirmar",TRIM('DATOS'!B308&amp;"")&lt;&gt;"Por decidir",TRIM('DATOS'!B308&amp;"")&lt;&gt;"Por comprobar")),NOT(AND(LEN(TRIM('DATOS'!C308&amp;""))&gt;0,TRIM('DATOS'!C308&amp;"")&lt;&gt;"Pendiente",TRIM('DATOS'!C308&amp;"")&lt;&gt;"Por confirmar",TRIM('DATOS'!C308&amp;"")&lt;&gt;"No consta",TRIM('DATOS'!C308&amp;"")&lt;&gt;"Desconocido",TRIM('DATOS'!C308&amp;"")&lt;&gt;"Sin confirmar",TRIM('DATOS'!C308&amp;"")&lt;&gt;"Por decidir",TRIM('DATOS'!C308&amp;"")&lt;&gt;"Por comprobar")),NOT(AND(LEN(TRIM('DATOS'!D308&amp;""))&gt;0,TRIM('DATOS'!D308&amp;"")&lt;&gt;"Pendiente",TRIM('DATOS'!D308&amp;"")&lt;&gt;"Por confirmar",TRIM('DATOS'!D308&amp;"")&lt;&gt;"No consta",TRIM('DATOS'!D308&amp;"")&lt;&gt;"Desconocido",TRIM('DATOS'!D308&amp;"")&lt;&gt;"Sin confirmar",TRIM('DATOS'!D308&amp;"")&lt;&gt;"Por decidir",TRIM('DATOS'!D308&amp;"")&lt;&gt;"Por comprobar")),NOT(AND(LEN(TRIM('DATOS'!E308&amp;""))&gt;0,TRIM('DATOS'!E308&amp;"")&lt;&gt;"Pendiente",TRIM('DATOS'!E308&amp;"")&lt;&gt;"Por confirmar",TRIM('DATOS'!E308&amp;"")&lt;&gt;"No consta",TRIM('DATOS'!E308&amp;"")&lt;&gt;"Desconocido",TRIM('DATOS'!E308&amp;"")&lt;&gt;"Sin confirmar",TRIM('DATOS'!E308&amp;"")&lt;&gt;"Por decidir",TRIM('DATOS'!E308&amp;"")&lt;&gt;"Por comprobar")),NOT(AND(LEN(TRIM('DATOS'!F308&amp;""))&gt;0,TRIM('DATOS'!F308&amp;"")&lt;&gt;"Pendiente",TRIM('DATOS'!F308&amp;"")&lt;&gt;"Por confirmar",TRIM('DATOS'!F308&amp;"")&lt;&gt;"No consta",TRIM('DATOS'!F308&amp;"")&lt;&gt;"Desconocido",TRIM('DATOS'!F308&amp;"")&lt;&gt;"Sin confirmar",TRIM('DATOS'!F308&amp;"")&lt;&gt;"Por decidir",TRIM('DATOS'!F308&amp;"")&lt;&gt;"Por comprobar")),NOT(AND(LEN(TRIM('DATOS'!N308&amp;""))&gt;0,TRIM('DATOS'!N308&amp;"")&lt;&gt;"Pendiente",TRIM('DATOS'!N308&amp;"")&lt;&gt;"Por confirmar",TRIM('DATOS'!N308&amp;"")&lt;&gt;"No consta",TRIM('DATOS'!N308&amp;"")&lt;&gt;"Desconocido",TRIM('DATOS'!N308&amp;"")&lt;&gt;"Sin confirmar",TRIM('DATOS'!N308&amp;"")&lt;&gt;"Por decidir",TRIM('DATOS'!N308&amp;"")&lt;&gt;"Por comprobar")),NOT(Y308=1),W308&lt;&gt;1,X308&gt;1,NOT(OR(LEN(TRIM('DATOS'!K308&amp;""))=0,'DATOS'!K308="Sin valorar",'DATOS'!K308="Sin coste documentado",'DATOS'!K308="Incluido en otra partida",'DATOS'!K308="Por confirmar")),NOT(OR(LEN(TRIM('DATOS'!M308&amp;""))=0,'DATOS'!M308="Sí",'DATOS'!M308="No",'DATOS'!M308="Por confirmar")),NOT(OR(LEN(TRIM('DATOS'!O308&amp;""))=0,'DATOS'!O308="Comparamos",'DATOS'!O308="No existe",'DATOS'!O308="Por confirmar"))),2,IF(AND(OR('DATOS'!G308&lt;0,'DATOS'!H308&lt;0,'DATOS'!J308&lt;0),NOT(AND(LEN(TRIM('DATOS'!L308&amp;""))&gt;0,TRIM('DATOS'!L308&amp;"")&lt;&gt;"Pendiente",TRIM('DATOS'!L308&amp;"")&lt;&gt;"Por confirmar",TRIM('DATOS'!L308&amp;"")&lt;&gt;"No consta",TRIM('DATOS'!L308&amp;"")&lt;&gt;"Desconocido",TRIM('DATOS'!L308&amp;"")&lt;&gt;"Sin confirmar",TRIM('DATOS'!L308&amp;"")&lt;&gt;"Por decidir",TRIM('DATOS'!L308&amp;"")&lt;&gt;"Por comprobar"))),1,0))),2)</f>
      </c>
      <c r="P308" s="29">
        <f>IFERROR(IF(N308=0,"",IF(NOT(Y308=1),1,IF('REFERENCIAS'!$Q$8&lt;&gt;1,2,IF(ABS('DATOS'!J308-ROUND('DATOS'!G308*'DATOS'!H308,'REFERENCIAS'!$K$8))&gt;0.00000001,2,IF('DATOS'!O308="No existe",IF(LEN(TRIM('DATOS'!I308&amp;""))=0,0,2),IF('DATOS'!O308="Comparamos",IF(LEN(TRIM('DATOS'!I308&amp;""))=0,1,IF(ISNUMBER('DATOS'!I308),IF(ABS('DATOS'!H308-'DATOS'!I308)&gt;0.00000001,2,0),2)),1)))))),2)</f>
      </c>
      <c r="Q308" s="29">
        <f>IFERROR(IF(N308=0,"",IF(NOT(Y308=1),1,IF('DATOS'!K308="Sin valorar",2,IF('DATOS'!G308=0,1,IF(OR('DATOS'!H308=0,'DATOS'!J308=0),IF(AND(OR('DATOS'!K308="Sin coste documentado",'DATOS'!K308="Incluido en otra partida"),AND(LEN(TRIM('DATOS'!L308&amp;""))&gt;0,TRIM('DATOS'!L308&amp;"")&lt;&gt;"Pendiente",TRIM('DATOS'!L308&amp;"")&lt;&gt;"Por confirmar",TRIM('DATOS'!L308&amp;"")&lt;&gt;"No consta",TRIM('DATOS'!L308&amp;"")&lt;&gt;"Desconocido",TRIM('DATOS'!L308&amp;"")&lt;&gt;"Sin confirmar",TRIM('DATOS'!L308&amp;"")&lt;&gt;"Por decidir",TRIM('DATOS'!L308&amp;"")&lt;&gt;"Por comprobar")),0,1),0))))),2)</f>
      </c>
      <c r="R308" s="29">
        <f>IFERROR(IF(N308=0,"",IF(OR(NOT(AND(LEN(TRIM('DATOS'!D308&amp;""))&gt;0,TRIM('DATOS'!D308&amp;"")&lt;&gt;"Pendiente",TRIM('DATOS'!D308&amp;"")&lt;&gt;"Por confirmar",TRIM('DATOS'!D308&amp;"")&lt;&gt;"No consta",TRIM('DATOS'!D308&amp;"")&lt;&gt;"Desconocido",TRIM('DATOS'!D308&amp;"")&lt;&gt;"Sin confirmar",TRIM('DATOS'!D308&amp;"")&lt;&gt;"Por decidir",TRIM('DATOS'!D308&amp;"")&lt;&gt;"Por comprobar")),NOT(AND(LEN(TRIM('DATOS'!E308&amp;""))&gt;0,TRIM('DATOS'!E308&amp;"")&lt;&gt;"Pendiente",TRIM('DATOS'!E308&amp;"")&lt;&gt;"Por confirmar",TRIM('DATOS'!E308&amp;"")&lt;&gt;"No consta",TRIM('DATOS'!E308&amp;"")&lt;&gt;"Desconocido",TRIM('DATOS'!E308&amp;"")&lt;&gt;"Sin confirmar",TRIM('DATOS'!E308&amp;"")&lt;&gt;"Por decidir",TRIM('DATOS'!E308&amp;"")&lt;&gt;"Por comprobar"))),2,IF('DATOS'!M308="No",2,IF('DATOS'!M308="Sí",0,IF(OR('DATOS'!D308&lt;&gt;'DATOS'!E308,LEN('DATOS'!E308)&gt;300,RIGHT(TRIM('DATOS'!E308),3)="...",RIGHT(TRIM('DATOS'!E308),1)="…"),1,0))))),2)</f>
      </c>
      <c r="S308" s="29">
        <f>IFERROR(IF(N308=0,"",IF('REFERENCIAS'!$Q$8&lt;&gt;1,2,IF(NOT(Y308=1),1,IF(OR(ABS('DATOS'!G308-ROUND('DATOS'!G308,'REFERENCIAS'!$E$8))&gt;0.00000001,ABS('DATOS'!H308-ROUND('DATOS'!H308,'REFERENCIAS'!$H$8))&gt;0.00000001,ABS('DATOS'!J308-ROUND('DATOS'!J308,'REFERENCIAS'!$K$8))&gt;0.00000001,IF(ISNUMBER('DATOS'!I308),ABS('DATOS'!I308-ROUND('DATOS'!I308,'REFERENCIAS'!$H$8))&gt;0.00000001,FALSE)),1,0)))),2)</f>
      </c>
      <c r="T308" s="29">
        <f>IFERROR(IF(N308=0,"",IF(NOT(AND(LEN(TRIM('DATOS'!F308&amp;""))&gt;0,TRIM('DATOS'!F308&amp;"")&lt;&gt;"Pendiente",TRIM('DATOS'!F308&amp;"")&lt;&gt;"Por confirmar",TRIM('DATOS'!F308&amp;"")&lt;&gt;"No consta",TRIM('DATOS'!F308&amp;"")&lt;&gt;"Desconocido",TRIM('DATOS'!F308&amp;"")&lt;&gt;"Sin confirmar",TRIM('DATOS'!F308&amp;"")&lt;&gt;"Por decidir",TRIM('DATOS'!F308&amp;"")&lt;&gt;"Por comprobar")),2,IF(COUNTIFS('REFERENCIAS'!$T$15:$T$34,"ID:"&amp;SUBSTITUTE(SUBSTITUTE(SUBSTITUTE(SUBSTITUTE(UPPER(TRIM('DATOS'!F308&amp;"")),"!","!E"),"*","!A"),"?","!B"),"~","!C"),'REFERENCIAS'!$H$15:$H$34,"&lt;&gt;")&gt;0,0,1))),2)</f>
      </c>
      <c r="U308" s="29" t="str">
        <f>'DATOS'!R308</f>
        <v>ID:</v>
      </c>
      <c r="V308" s="29" t="str">
        <f>'DATOS'!S308</f>
        <v>ID:</v>
      </c>
      <c r="W308" s="29" t="n">
        <f>IF(N308=0,0,COUNTIFS('REFERENCIAS'!$R$15:$R$64,U308))</f>
        <v>0</v>
      </c>
      <c r="X308" s="29" t="n">
        <f>IF(N308=0,0,COUNTIFS('DATOS'!$R$10:$R$509,U308,'DATOS'!$S$10:$S$509,V308))</f>
        <v>0</v>
      </c>
      <c r="Y308" s="29" t="n">
        <f>IF(AND(ISNUMBER('DATOS'!G308),ISNUMBER('DATOS'!H308),ISNUMBER('DATOS'!J308)),1,0)</f>
        <v>0</v>
      </c>
    </row>
    <row r="309" ht="64" customHeight="1">
      <c r="B309" s="26">
        <f>IF(N309=1,300,"")</f>
      </c>
      <c r="C309" s="26">
        <f>IF(AND(N309=1,LEN(TRIM('DATOS'!B309&amp;""))&gt;0),'DATOS'!B309,"")</f>
      </c>
      <c r="D309" s="26">
        <f>IF(AND(N309=1,LEN(TRIM('DATOS'!C309&amp;""))&gt;0),'DATOS'!C309,"")</f>
      </c>
      <c r="E309" s="26">
        <f>IF(NOT(ISNUMBER(P309)),"",IF(P309=2,"ROJO",IF(P309=1,"ÁMBAR","VERDE")))</f>
      </c>
      <c r="F309" s="26">
        <f>IF(NOT(ISNUMBER(Q309)),"",IF(Q309=2,"ROJO",IF(Q309=1,"ÁMBAR","VERDE")))</f>
      </c>
      <c r="G309" s="26">
        <f>IF(NOT(ISNUMBER(R309)),"",IF(R309=2,"ROJO",IF(R309=1,"ÁMBAR","VERDE")))</f>
      </c>
      <c r="H309" s="26">
        <f>IF(NOT(ISNUMBER(S309)),"",IF(S309=2,"ROJO",IF(S309=1,"ÁMBAR","VERDE")))</f>
      </c>
      <c r="I309" s="26">
        <f>IF(NOT(ISNUMBER(T309)),"",IF(T309=2,"ROJO",IF(T309=1,"ÁMBAR","VERDE")))</f>
      </c>
      <c r="J309" s="26">
        <f>IF(NOT(ISNUMBER(O309)),"",IF(O309=2,"ROJO",IF(O309=1,"ÁMBAR","VERDE")))</f>
      </c>
      <c r="K309" s="26">
        <f>IFERROR(IF(AND(N309=1,LEN(TRIM('DATOS'!N309&amp;""))&gt;0),'DATOS'!N309,""),"Hay una entrada con error. Corregimos el dato antes de cerrar la comprobación.")</f>
      </c>
      <c r="L309" s="26">
        <f>IFERROR(IF(N309=0,"",IF(O309&gt;0,"Completamos datos, claves o motivo. ","")&amp;IF(P309&gt;0,"Cotejamos precios e importe. ","")&amp;IF(Q309&gt;0,"Aclaramos el cero. ","")&amp;IF(R309&gt;0,"Comprobamos el texto. ","")&amp;IF(S309&gt;0,"Revisamos decimales visibles. ","")&amp;IF(T309&gt;0,"Confirmamos la unidad.","")),"Hay una entrada con error. Corregimos el dato antes de cerrar la comprobación.")</f>
      </c>
      <c r="N309" s="29" t="n">
        <f>IF(COUNTA('DATOS'!B309:O309)&gt;0,1,0)</f>
        <v>0</v>
      </c>
      <c r="O309" s="29">
        <f>IFERROR(IF(N309=0,"",IF(OR(NOT(AND(LEN(TRIM('DATOS'!B309&amp;""))&gt;0,TRIM('DATOS'!B309&amp;"")&lt;&gt;"Pendiente",TRIM('DATOS'!B309&amp;"")&lt;&gt;"Por confirmar",TRIM('DATOS'!B309&amp;"")&lt;&gt;"No consta",TRIM('DATOS'!B309&amp;"")&lt;&gt;"Desconocido",TRIM('DATOS'!B309&amp;"")&lt;&gt;"Sin confirmar",TRIM('DATOS'!B309&amp;"")&lt;&gt;"Por decidir",TRIM('DATOS'!B309&amp;"")&lt;&gt;"Por comprobar")),NOT(AND(LEN(TRIM('DATOS'!C309&amp;""))&gt;0,TRIM('DATOS'!C309&amp;"")&lt;&gt;"Pendiente",TRIM('DATOS'!C309&amp;"")&lt;&gt;"Por confirmar",TRIM('DATOS'!C309&amp;"")&lt;&gt;"No consta",TRIM('DATOS'!C309&amp;"")&lt;&gt;"Desconocido",TRIM('DATOS'!C309&amp;"")&lt;&gt;"Sin confirmar",TRIM('DATOS'!C309&amp;"")&lt;&gt;"Por decidir",TRIM('DATOS'!C309&amp;"")&lt;&gt;"Por comprobar")),NOT(AND(LEN(TRIM('DATOS'!D309&amp;""))&gt;0,TRIM('DATOS'!D309&amp;"")&lt;&gt;"Pendiente",TRIM('DATOS'!D309&amp;"")&lt;&gt;"Por confirmar",TRIM('DATOS'!D309&amp;"")&lt;&gt;"No consta",TRIM('DATOS'!D309&amp;"")&lt;&gt;"Desconocido",TRIM('DATOS'!D309&amp;"")&lt;&gt;"Sin confirmar",TRIM('DATOS'!D309&amp;"")&lt;&gt;"Por decidir",TRIM('DATOS'!D309&amp;"")&lt;&gt;"Por comprobar")),NOT(AND(LEN(TRIM('DATOS'!E309&amp;""))&gt;0,TRIM('DATOS'!E309&amp;"")&lt;&gt;"Pendiente",TRIM('DATOS'!E309&amp;"")&lt;&gt;"Por confirmar",TRIM('DATOS'!E309&amp;"")&lt;&gt;"No consta",TRIM('DATOS'!E309&amp;"")&lt;&gt;"Desconocido",TRIM('DATOS'!E309&amp;"")&lt;&gt;"Sin confirmar",TRIM('DATOS'!E309&amp;"")&lt;&gt;"Por decidir",TRIM('DATOS'!E309&amp;"")&lt;&gt;"Por comprobar")),NOT(AND(LEN(TRIM('DATOS'!F309&amp;""))&gt;0,TRIM('DATOS'!F309&amp;"")&lt;&gt;"Pendiente",TRIM('DATOS'!F309&amp;"")&lt;&gt;"Por confirmar",TRIM('DATOS'!F309&amp;"")&lt;&gt;"No consta",TRIM('DATOS'!F309&amp;"")&lt;&gt;"Desconocido",TRIM('DATOS'!F309&amp;"")&lt;&gt;"Sin confirmar",TRIM('DATOS'!F309&amp;"")&lt;&gt;"Por decidir",TRIM('DATOS'!F309&amp;"")&lt;&gt;"Por comprobar")),NOT(AND(LEN(TRIM('DATOS'!N309&amp;""))&gt;0,TRIM('DATOS'!N309&amp;"")&lt;&gt;"Pendiente",TRIM('DATOS'!N309&amp;"")&lt;&gt;"Por confirmar",TRIM('DATOS'!N309&amp;"")&lt;&gt;"No consta",TRIM('DATOS'!N309&amp;"")&lt;&gt;"Desconocido",TRIM('DATOS'!N309&amp;"")&lt;&gt;"Sin confirmar",TRIM('DATOS'!N309&amp;"")&lt;&gt;"Por decidir",TRIM('DATOS'!N309&amp;"")&lt;&gt;"Por comprobar")),NOT(Y309=1),W309&lt;&gt;1,X309&gt;1,NOT(OR(LEN(TRIM('DATOS'!K309&amp;""))=0,'DATOS'!K309="Sin valorar",'DATOS'!K309="Sin coste documentado",'DATOS'!K309="Incluido en otra partida",'DATOS'!K309="Por confirmar")),NOT(OR(LEN(TRIM('DATOS'!M309&amp;""))=0,'DATOS'!M309="Sí",'DATOS'!M309="No",'DATOS'!M309="Por confirmar")),NOT(OR(LEN(TRIM('DATOS'!O309&amp;""))=0,'DATOS'!O309="Comparamos",'DATOS'!O309="No existe",'DATOS'!O309="Por confirmar"))),2,IF(AND(OR('DATOS'!G309&lt;0,'DATOS'!H309&lt;0,'DATOS'!J309&lt;0),NOT(AND(LEN(TRIM('DATOS'!L309&amp;""))&gt;0,TRIM('DATOS'!L309&amp;"")&lt;&gt;"Pendiente",TRIM('DATOS'!L309&amp;"")&lt;&gt;"Por confirmar",TRIM('DATOS'!L309&amp;"")&lt;&gt;"No consta",TRIM('DATOS'!L309&amp;"")&lt;&gt;"Desconocido",TRIM('DATOS'!L309&amp;"")&lt;&gt;"Sin confirmar",TRIM('DATOS'!L309&amp;"")&lt;&gt;"Por decidir",TRIM('DATOS'!L309&amp;"")&lt;&gt;"Por comprobar"))),1,0))),2)</f>
      </c>
      <c r="P309" s="29">
        <f>IFERROR(IF(N309=0,"",IF(NOT(Y309=1),1,IF('REFERENCIAS'!$Q$8&lt;&gt;1,2,IF(ABS('DATOS'!J309-ROUND('DATOS'!G309*'DATOS'!H309,'REFERENCIAS'!$K$8))&gt;0.00000001,2,IF('DATOS'!O309="No existe",IF(LEN(TRIM('DATOS'!I309&amp;""))=0,0,2),IF('DATOS'!O309="Comparamos",IF(LEN(TRIM('DATOS'!I309&amp;""))=0,1,IF(ISNUMBER('DATOS'!I309),IF(ABS('DATOS'!H309-'DATOS'!I309)&gt;0.00000001,2,0),2)),1)))))),2)</f>
      </c>
      <c r="Q309" s="29">
        <f>IFERROR(IF(N309=0,"",IF(NOT(Y309=1),1,IF('DATOS'!K309="Sin valorar",2,IF('DATOS'!G309=0,1,IF(OR('DATOS'!H309=0,'DATOS'!J309=0),IF(AND(OR('DATOS'!K309="Sin coste documentado",'DATOS'!K309="Incluido en otra partida"),AND(LEN(TRIM('DATOS'!L309&amp;""))&gt;0,TRIM('DATOS'!L309&amp;"")&lt;&gt;"Pendiente",TRIM('DATOS'!L309&amp;"")&lt;&gt;"Por confirmar",TRIM('DATOS'!L309&amp;"")&lt;&gt;"No consta",TRIM('DATOS'!L309&amp;"")&lt;&gt;"Desconocido",TRIM('DATOS'!L309&amp;"")&lt;&gt;"Sin confirmar",TRIM('DATOS'!L309&amp;"")&lt;&gt;"Por decidir",TRIM('DATOS'!L309&amp;"")&lt;&gt;"Por comprobar")),0,1),0))))),2)</f>
      </c>
      <c r="R309" s="29">
        <f>IFERROR(IF(N309=0,"",IF(OR(NOT(AND(LEN(TRIM('DATOS'!D309&amp;""))&gt;0,TRIM('DATOS'!D309&amp;"")&lt;&gt;"Pendiente",TRIM('DATOS'!D309&amp;"")&lt;&gt;"Por confirmar",TRIM('DATOS'!D309&amp;"")&lt;&gt;"No consta",TRIM('DATOS'!D309&amp;"")&lt;&gt;"Desconocido",TRIM('DATOS'!D309&amp;"")&lt;&gt;"Sin confirmar",TRIM('DATOS'!D309&amp;"")&lt;&gt;"Por decidir",TRIM('DATOS'!D309&amp;"")&lt;&gt;"Por comprobar")),NOT(AND(LEN(TRIM('DATOS'!E309&amp;""))&gt;0,TRIM('DATOS'!E309&amp;"")&lt;&gt;"Pendiente",TRIM('DATOS'!E309&amp;"")&lt;&gt;"Por confirmar",TRIM('DATOS'!E309&amp;"")&lt;&gt;"No consta",TRIM('DATOS'!E309&amp;"")&lt;&gt;"Desconocido",TRIM('DATOS'!E309&amp;"")&lt;&gt;"Sin confirmar",TRIM('DATOS'!E309&amp;"")&lt;&gt;"Por decidir",TRIM('DATOS'!E309&amp;"")&lt;&gt;"Por comprobar"))),2,IF('DATOS'!M309="No",2,IF('DATOS'!M309="Sí",0,IF(OR('DATOS'!D309&lt;&gt;'DATOS'!E309,LEN('DATOS'!E309)&gt;300,RIGHT(TRIM('DATOS'!E309),3)="...",RIGHT(TRIM('DATOS'!E309),1)="…"),1,0))))),2)</f>
      </c>
      <c r="S309" s="29">
        <f>IFERROR(IF(N309=0,"",IF('REFERENCIAS'!$Q$8&lt;&gt;1,2,IF(NOT(Y309=1),1,IF(OR(ABS('DATOS'!G309-ROUND('DATOS'!G309,'REFERENCIAS'!$E$8))&gt;0.00000001,ABS('DATOS'!H309-ROUND('DATOS'!H309,'REFERENCIAS'!$H$8))&gt;0.00000001,ABS('DATOS'!J309-ROUND('DATOS'!J309,'REFERENCIAS'!$K$8))&gt;0.00000001,IF(ISNUMBER('DATOS'!I309),ABS('DATOS'!I309-ROUND('DATOS'!I309,'REFERENCIAS'!$H$8))&gt;0.00000001,FALSE)),1,0)))),2)</f>
      </c>
      <c r="T309" s="29">
        <f>IFERROR(IF(N309=0,"",IF(NOT(AND(LEN(TRIM('DATOS'!F309&amp;""))&gt;0,TRIM('DATOS'!F309&amp;"")&lt;&gt;"Pendiente",TRIM('DATOS'!F309&amp;"")&lt;&gt;"Por confirmar",TRIM('DATOS'!F309&amp;"")&lt;&gt;"No consta",TRIM('DATOS'!F309&amp;"")&lt;&gt;"Desconocido",TRIM('DATOS'!F309&amp;"")&lt;&gt;"Sin confirmar",TRIM('DATOS'!F309&amp;"")&lt;&gt;"Por decidir",TRIM('DATOS'!F309&amp;"")&lt;&gt;"Por comprobar")),2,IF(COUNTIFS('REFERENCIAS'!$T$15:$T$34,"ID:"&amp;SUBSTITUTE(SUBSTITUTE(SUBSTITUTE(SUBSTITUTE(UPPER(TRIM('DATOS'!F309&amp;"")),"!","!E"),"*","!A"),"?","!B"),"~","!C"),'REFERENCIAS'!$H$15:$H$34,"&lt;&gt;")&gt;0,0,1))),2)</f>
      </c>
      <c r="U309" s="29" t="str">
        <f>'DATOS'!R309</f>
        <v>ID:</v>
      </c>
      <c r="V309" s="29" t="str">
        <f>'DATOS'!S309</f>
        <v>ID:</v>
      </c>
      <c r="W309" s="29" t="n">
        <f>IF(N309=0,0,COUNTIFS('REFERENCIAS'!$R$15:$R$64,U309))</f>
        <v>0</v>
      </c>
      <c r="X309" s="29" t="n">
        <f>IF(N309=0,0,COUNTIFS('DATOS'!$R$10:$R$509,U309,'DATOS'!$S$10:$S$509,V309))</f>
        <v>0</v>
      </c>
      <c r="Y309" s="29" t="n">
        <f>IF(AND(ISNUMBER('DATOS'!G309),ISNUMBER('DATOS'!H309),ISNUMBER('DATOS'!J309)),1,0)</f>
        <v>0</v>
      </c>
    </row>
    <row r="310" ht="64" customHeight="1">
      <c r="B310" s="26">
        <f>IF(N310=1,301,"")</f>
      </c>
      <c r="C310" s="26">
        <f>IF(AND(N310=1,LEN(TRIM('DATOS'!B310&amp;""))&gt;0),'DATOS'!B310,"")</f>
      </c>
      <c r="D310" s="26">
        <f>IF(AND(N310=1,LEN(TRIM('DATOS'!C310&amp;""))&gt;0),'DATOS'!C310,"")</f>
      </c>
      <c r="E310" s="26">
        <f>IF(NOT(ISNUMBER(P310)),"",IF(P310=2,"ROJO",IF(P310=1,"ÁMBAR","VERDE")))</f>
      </c>
      <c r="F310" s="26">
        <f>IF(NOT(ISNUMBER(Q310)),"",IF(Q310=2,"ROJO",IF(Q310=1,"ÁMBAR","VERDE")))</f>
      </c>
      <c r="G310" s="26">
        <f>IF(NOT(ISNUMBER(R310)),"",IF(R310=2,"ROJO",IF(R310=1,"ÁMBAR","VERDE")))</f>
      </c>
      <c r="H310" s="26">
        <f>IF(NOT(ISNUMBER(S310)),"",IF(S310=2,"ROJO",IF(S310=1,"ÁMBAR","VERDE")))</f>
      </c>
      <c r="I310" s="26">
        <f>IF(NOT(ISNUMBER(T310)),"",IF(T310=2,"ROJO",IF(T310=1,"ÁMBAR","VERDE")))</f>
      </c>
      <c r="J310" s="26">
        <f>IF(NOT(ISNUMBER(O310)),"",IF(O310=2,"ROJO",IF(O310=1,"ÁMBAR","VERDE")))</f>
      </c>
      <c r="K310" s="26">
        <f>IFERROR(IF(AND(N310=1,LEN(TRIM('DATOS'!N310&amp;""))&gt;0),'DATOS'!N310,""),"Hay una entrada con error. Corregimos el dato antes de cerrar la comprobación.")</f>
      </c>
      <c r="L310" s="26">
        <f>IFERROR(IF(N310=0,"",IF(O310&gt;0,"Completamos datos, claves o motivo. ","")&amp;IF(P310&gt;0,"Cotejamos precios e importe. ","")&amp;IF(Q310&gt;0,"Aclaramos el cero. ","")&amp;IF(R310&gt;0,"Comprobamos el texto. ","")&amp;IF(S310&gt;0,"Revisamos decimales visibles. ","")&amp;IF(T310&gt;0,"Confirmamos la unidad.","")),"Hay una entrada con error. Corregimos el dato antes de cerrar la comprobación.")</f>
      </c>
      <c r="N310" s="29" t="n">
        <f>IF(COUNTA('DATOS'!B310:O310)&gt;0,1,0)</f>
        <v>0</v>
      </c>
      <c r="O310" s="29">
        <f>IFERROR(IF(N310=0,"",IF(OR(NOT(AND(LEN(TRIM('DATOS'!B310&amp;""))&gt;0,TRIM('DATOS'!B310&amp;"")&lt;&gt;"Pendiente",TRIM('DATOS'!B310&amp;"")&lt;&gt;"Por confirmar",TRIM('DATOS'!B310&amp;"")&lt;&gt;"No consta",TRIM('DATOS'!B310&amp;"")&lt;&gt;"Desconocido",TRIM('DATOS'!B310&amp;"")&lt;&gt;"Sin confirmar",TRIM('DATOS'!B310&amp;"")&lt;&gt;"Por decidir",TRIM('DATOS'!B310&amp;"")&lt;&gt;"Por comprobar")),NOT(AND(LEN(TRIM('DATOS'!C310&amp;""))&gt;0,TRIM('DATOS'!C310&amp;"")&lt;&gt;"Pendiente",TRIM('DATOS'!C310&amp;"")&lt;&gt;"Por confirmar",TRIM('DATOS'!C310&amp;"")&lt;&gt;"No consta",TRIM('DATOS'!C310&amp;"")&lt;&gt;"Desconocido",TRIM('DATOS'!C310&amp;"")&lt;&gt;"Sin confirmar",TRIM('DATOS'!C310&amp;"")&lt;&gt;"Por decidir",TRIM('DATOS'!C310&amp;"")&lt;&gt;"Por comprobar")),NOT(AND(LEN(TRIM('DATOS'!D310&amp;""))&gt;0,TRIM('DATOS'!D310&amp;"")&lt;&gt;"Pendiente",TRIM('DATOS'!D310&amp;"")&lt;&gt;"Por confirmar",TRIM('DATOS'!D310&amp;"")&lt;&gt;"No consta",TRIM('DATOS'!D310&amp;"")&lt;&gt;"Desconocido",TRIM('DATOS'!D310&amp;"")&lt;&gt;"Sin confirmar",TRIM('DATOS'!D310&amp;"")&lt;&gt;"Por decidir",TRIM('DATOS'!D310&amp;"")&lt;&gt;"Por comprobar")),NOT(AND(LEN(TRIM('DATOS'!E310&amp;""))&gt;0,TRIM('DATOS'!E310&amp;"")&lt;&gt;"Pendiente",TRIM('DATOS'!E310&amp;"")&lt;&gt;"Por confirmar",TRIM('DATOS'!E310&amp;"")&lt;&gt;"No consta",TRIM('DATOS'!E310&amp;"")&lt;&gt;"Desconocido",TRIM('DATOS'!E310&amp;"")&lt;&gt;"Sin confirmar",TRIM('DATOS'!E310&amp;"")&lt;&gt;"Por decidir",TRIM('DATOS'!E310&amp;"")&lt;&gt;"Por comprobar")),NOT(AND(LEN(TRIM('DATOS'!F310&amp;""))&gt;0,TRIM('DATOS'!F310&amp;"")&lt;&gt;"Pendiente",TRIM('DATOS'!F310&amp;"")&lt;&gt;"Por confirmar",TRIM('DATOS'!F310&amp;"")&lt;&gt;"No consta",TRIM('DATOS'!F310&amp;"")&lt;&gt;"Desconocido",TRIM('DATOS'!F310&amp;"")&lt;&gt;"Sin confirmar",TRIM('DATOS'!F310&amp;"")&lt;&gt;"Por decidir",TRIM('DATOS'!F310&amp;"")&lt;&gt;"Por comprobar")),NOT(AND(LEN(TRIM('DATOS'!N310&amp;""))&gt;0,TRIM('DATOS'!N310&amp;"")&lt;&gt;"Pendiente",TRIM('DATOS'!N310&amp;"")&lt;&gt;"Por confirmar",TRIM('DATOS'!N310&amp;"")&lt;&gt;"No consta",TRIM('DATOS'!N310&amp;"")&lt;&gt;"Desconocido",TRIM('DATOS'!N310&amp;"")&lt;&gt;"Sin confirmar",TRIM('DATOS'!N310&amp;"")&lt;&gt;"Por decidir",TRIM('DATOS'!N310&amp;"")&lt;&gt;"Por comprobar")),NOT(Y310=1),W310&lt;&gt;1,X310&gt;1,NOT(OR(LEN(TRIM('DATOS'!K310&amp;""))=0,'DATOS'!K310="Sin valorar",'DATOS'!K310="Sin coste documentado",'DATOS'!K310="Incluido en otra partida",'DATOS'!K310="Por confirmar")),NOT(OR(LEN(TRIM('DATOS'!M310&amp;""))=0,'DATOS'!M310="Sí",'DATOS'!M310="No",'DATOS'!M310="Por confirmar")),NOT(OR(LEN(TRIM('DATOS'!O310&amp;""))=0,'DATOS'!O310="Comparamos",'DATOS'!O310="No existe",'DATOS'!O310="Por confirmar"))),2,IF(AND(OR('DATOS'!G310&lt;0,'DATOS'!H310&lt;0,'DATOS'!J310&lt;0),NOT(AND(LEN(TRIM('DATOS'!L310&amp;""))&gt;0,TRIM('DATOS'!L310&amp;"")&lt;&gt;"Pendiente",TRIM('DATOS'!L310&amp;"")&lt;&gt;"Por confirmar",TRIM('DATOS'!L310&amp;"")&lt;&gt;"No consta",TRIM('DATOS'!L310&amp;"")&lt;&gt;"Desconocido",TRIM('DATOS'!L310&amp;"")&lt;&gt;"Sin confirmar",TRIM('DATOS'!L310&amp;"")&lt;&gt;"Por decidir",TRIM('DATOS'!L310&amp;"")&lt;&gt;"Por comprobar"))),1,0))),2)</f>
      </c>
      <c r="P310" s="29">
        <f>IFERROR(IF(N310=0,"",IF(NOT(Y310=1),1,IF('REFERENCIAS'!$Q$8&lt;&gt;1,2,IF(ABS('DATOS'!J310-ROUND('DATOS'!G310*'DATOS'!H310,'REFERENCIAS'!$K$8))&gt;0.00000001,2,IF('DATOS'!O310="No existe",IF(LEN(TRIM('DATOS'!I310&amp;""))=0,0,2),IF('DATOS'!O310="Comparamos",IF(LEN(TRIM('DATOS'!I310&amp;""))=0,1,IF(ISNUMBER('DATOS'!I310),IF(ABS('DATOS'!H310-'DATOS'!I310)&gt;0.00000001,2,0),2)),1)))))),2)</f>
      </c>
      <c r="Q310" s="29">
        <f>IFERROR(IF(N310=0,"",IF(NOT(Y310=1),1,IF('DATOS'!K310="Sin valorar",2,IF('DATOS'!G310=0,1,IF(OR('DATOS'!H310=0,'DATOS'!J310=0),IF(AND(OR('DATOS'!K310="Sin coste documentado",'DATOS'!K310="Incluido en otra partida"),AND(LEN(TRIM('DATOS'!L310&amp;""))&gt;0,TRIM('DATOS'!L310&amp;"")&lt;&gt;"Pendiente",TRIM('DATOS'!L310&amp;"")&lt;&gt;"Por confirmar",TRIM('DATOS'!L310&amp;"")&lt;&gt;"No consta",TRIM('DATOS'!L310&amp;"")&lt;&gt;"Desconocido",TRIM('DATOS'!L310&amp;"")&lt;&gt;"Sin confirmar",TRIM('DATOS'!L310&amp;"")&lt;&gt;"Por decidir",TRIM('DATOS'!L310&amp;"")&lt;&gt;"Por comprobar")),0,1),0))))),2)</f>
      </c>
      <c r="R310" s="29">
        <f>IFERROR(IF(N310=0,"",IF(OR(NOT(AND(LEN(TRIM('DATOS'!D310&amp;""))&gt;0,TRIM('DATOS'!D310&amp;"")&lt;&gt;"Pendiente",TRIM('DATOS'!D310&amp;"")&lt;&gt;"Por confirmar",TRIM('DATOS'!D310&amp;"")&lt;&gt;"No consta",TRIM('DATOS'!D310&amp;"")&lt;&gt;"Desconocido",TRIM('DATOS'!D310&amp;"")&lt;&gt;"Sin confirmar",TRIM('DATOS'!D310&amp;"")&lt;&gt;"Por decidir",TRIM('DATOS'!D310&amp;"")&lt;&gt;"Por comprobar")),NOT(AND(LEN(TRIM('DATOS'!E310&amp;""))&gt;0,TRIM('DATOS'!E310&amp;"")&lt;&gt;"Pendiente",TRIM('DATOS'!E310&amp;"")&lt;&gt;"Por confirmar",TRIM('DATOS'!E310&amp;"")&lt;&gt;"No consta",TRIM('DATOS'!E310&amp;"")&lt;&gt;"Desconocido",TRIM('DATOS'!E310&amp;"")&lt;&gt;"Sin confirmar",TRIM('DATOS'!E310&amp;"")&lt;&gt;"Por decidir",TRIM('DATOS'!E310&amp;"")&lt;&gt;"Por comprobar"))),2,IF('DATOS'!M310="No",2,IF('DATOS'!M310="Sí",0,IF(OR('DATOS'!D310&lt;&gt;'DATOS'!E310,LEN('DATOS'!E310)&gt;300,RIGHT(TRIM('DATOS'!E310),3)="...",RIGHT(TRIM('DATOS'!E310),1)="…"),1,0))))),2)</f>
      </c>
      <c r="S310" s="29">
        <f>IFERROR(IF(N310=0,"",IF('REFERENCIAS'!$Q$8&lt;&gt;1,2,IF(NOT(Y310=1),1,IF(OR(ABS('DATOS'!G310-ROUND('DATOS'!G310,'REFERENCIAS'!$E$8))&gt;0.00000001,ABS('DATOS'!H310-ROUND('DATOS'!H310,'REFERENCIAS'!$H$8))&gt;0.00000001,ABS('DATOS'!J310-ROUND('DATOS'!J310,'REFERENCIAS'!$K$8))&gt;0.00000001,IF(ISNUMBER('DATOS'!I310),ABS('DATOS'!I310-ROUND('DATOS'!I310,'REFERENCIAS'!$H$8))&gt;0.00000001,FALSE)),1,0)))),2)</f>
      </c>
      <c r="T310" s="29">
        <f>IFERROR(IF(N310=0,"",IF(NOT(AND(LEN(TRIM('DATOS'!F310&amp;""))&gt;0,TRIM('DATOS'!F310&amp;"")&lt;&gt;"Pendiente",TRIM('DATOS'!F310&amp;"")&lt;&gt;"Por confirmar",TRIM('DATOS'!F310&amp;"")&lt;&gt;"No consta",TRIM('DATOS'!F310&amp;"")&lt;&gt;"Desconocido",TRIM('DATOS'!F310&amp;"")&lt;&gt;"Sin confirmar",TRIM('DATOS'!F310&amp;"")&lt;&gt;"Por decidir",TRIM('DATOS'!F310&amp;"")&lt;&gt;"Por comprobar")),2,IF(COUNTIFS('REFERENCIAS'!$T$15:$T$34,"ID:"&amp;SUBSTITUTE(SUBSTITUTE(SUBSTITUTE(SUBSTITUTE(UPPER(TRIM('DATOS'!F310&amp;"")),"!","!E"),"*","!A"),"?","!B"),"~","!C"),'REFERENCIAS'!$H$15:$H$34,"&lt;&gt;")&gt;0,0,1))),2)</f>
      </c>
      <c r="U310" s="29" t="str">
        <f>'DATOS'!R310</f>
        <v>ID:</v>
      </c>
      <c r="V310" s="29" t="str">
        <f>'DATOS'!S310</f>
        <v>ID:</v>
      </c>
      <c r="W310" s="29" t="n">
        <f>IF(N310=0,0,COUNTIFS('REFERENCIAS'!$R$15:$R$64,U310))</f>
        <v>0</v>
      </c>
      <c r="X310" s="29" t="n">
        <f>IF(N310=0,0,COUNTIFS('DATOS'!$R$10:$R$509,U310,'DATOS'!$S$10:$S$509,V310))</f>
        <v>0</v>
      </c>
      <c r="Y310" s="29" t="n">
        <f>IF(AND(ISNUMBER('DATOS'!G310),ISNUMBER('DATOS'!H310),ISNUMBER('DATOS'!J310)),1,0)</f>
        <v>0</v>
      </c>
    </row>
    <row r="311" ht="64" customHeight="1">
      <c r="B311" s="26">
        <f>IF(N311=1,302,"")</f>
      </c>
      <c r="C311" s="26">
        <f>IF(AND(N311=1,LEN(TRIM('DATOS'!B311&amp;""))&gt;0),'DATOS'!B311,"")</f>
      </c>
      <c r="D311" s="26">
        <f>IF(AND(N311=1,LEN(TRIM('DATOS'!C311&amp;""))&gt;0),'DATOS'!C311,"")</f>
      </c>
      <c r="E311" s="26">
        <f>IF(NOT(ISNUMBER(P311)),"",IF(P311=2,"ROJO",IF(P311=1,"ÁMBAR","VERDE")))</f>
      </c>
      <c r="F311" s="26">
        <f>IF(NOT(ISNUMBER(Q311)),"",IF(Q311=2,"ROJO",IF(Q311=1,"ÁMBAR","VERDE")))</f>
      </c>
      <c r="G311" s="26">
        <f>IF(NOT(ISNUMBER(R311)),"",IF(R311=2,"ROJO",IF(R311=1,"ÁMBAR","VERDE")))</f>
      </c>
      <c r="H311" s="26">
        <f>IF(NOT(ISNUMBER(S311)),"",IF(S311=2,"ROJO",IF(S311=1,"ÁMBAR","VERDE")))</f>
      </c>
      <c r="I311" s="26">
        <f>IF(NOT(ISNUMBER(T311)),"",IF(T311=2,"ROJO",IF(T311=1,"ÁMBAR","VERDE")))</f>
      </c>
      <c r="J311" s="26">
        <f>IF(NOT(ISNUMBER(O311)),"",IF(O311=2,"ROJO",IF(O311=1,"ÁMBAR","VERDE")))</f>
      </c>
      <c r="K311" s="26">
        <f>IFERROR(IF(AND(N311=1,LEN(TRIM('DATOS'!N311&amp;""))&gt;0),'DATOS'!N311,""),"Hay una entrada con error. Corregimos el dato antes de cerrar la comprobación.")</f>
      </c>
      <c r="L311" s="26">
        <f>IFERROR(IF(N311=0,"",IF(O311&gt;0,"Completamos datos, claves o motivo. ","")&amp;IF(P311&gt;0,"Cotejamos precios e importe. ","")&amp;IF(Q311&gt;0,"Aclaramos el cero. ","")&amp;IF(R311&gt;0,"Comprobamos el texto. ","")&amp;IF(S311&gt;0,"Revisamos decimales visibles. ","")&amp;IF(T311&gt;0,"Confirmamos la unidad.","")),"Hay una entrada con error. Corregimos el dato antes de cerrar la comprobación.")</f>
      </c>
      <c r="N311" s="29" t="n">
        <f>IF(COUNTA('DATOS'!B311:O311)&gt;0,1,0)</f>
        <v>0</v>
      </c>
      <c r="O311" s="29">
        <f>IFERROR(IF(N311=0,"",IF(OR(NOT(AND(LEN(TRIM('DATOS'!B311&amp;""))&gt;0,TRIM('DATOS'!B311&amp;"")&lt;&gt;"Pendiente",TRIM('DATOS'!B311&amp;"")&lt;&gt;"Por confirmar",TRIM('DATOS'!B311&amp;"")&lt;&gt;"No consta",TRIM('DATOS'!B311&amp;"")&lt;&gt;"Desconocido",TRIM('DATOS'!B311&amp;"")&lt;&gt;"Sin confirmar",TRIM('DATOS'!B311&amp;"")&lt;&gt;"Por decidir",TRIM('DATOS'!B311&amp;"")&lt;&gt;"Por comprobar")),NOT(AND(LEN(TRIM('DATOS'!C311&amp;""))&gt;0,TRIM('DATOS'!C311&amp;"")&lt;&gt;"Pendiente",TRIM('DATOS'!C311&amp;"")&lt;&gt;"Por confirmar",TRIM('DATOS'!C311&amp;"")&lt;&gt;"No consta",TRIM('DATOS'!C311&amp;"")&lt;&gt;"Desconocido",TRIM('DATOS'!C311&amp;"")&lt;&gt;"Sin confirmar",TRIM('DATOS'!C311&amp;"")&lt;&gt;"Por decidir",TRIM('DATOS'!C311&amp;"")&lt;&gt;"Por comprobar")),NOT(AND(LEN(TRIM('DATOS'!D311&amp;""))&gt;0,TRIM('DATOS'!D311&amp;"")&lt;&gt;"Pendiente",TRIM('DATOS'!D311&amp;"")&lt;&gt;"Por confirmar",TRIM('DATOS'!D311&amp;"")&lt;&gt;"No consta",TRIM('DATOS'!D311&amp;"")&lt;&gt;"Desconocido",TRIM('DATOS'!D311&amp;"")&lt;&gt;"Sin confirmar",TRIM('DATOS'!D311&amp;"")&lt;&gt;"Por decidir",TRIM('DATOS'!D311&amp;"")&lt;&gt;"Por comprobar")),NOT(AND(LEN(TRIM('DATOS'!E311&amp;""))&gt;0,TRIM('DATOS'!E311&amp;"")&lt;&gt;"Pendiente",TRIM('DATOS'!E311&amp;"")&lt;&gt;"Por confirmar",TRIM('DATOS'!E311&amp;"")&lt;&gt;"No consta",TRIM('DATOS'!E311&amp;"")&lt;&gt;"Desconocido",TRIM('DATOS'!E311&amp;"")&lt;&gt;"Sin confirmar",TRIM('DATOS'!E311&amp;"")&lt;&gt;"Por decidir",TRIM('DATOS'!E311&amp;"")&lt;&gt;"Por comprobar")),NOT(AND(LEN(TRIM('DATOS'!F311&amp;""))&gt;0,TRIM('DATOS'!F311&amp;"")&lt;&gt;"Pendiente",TRIM('DATOS'!F311&amp;"")&lt;&gt;"Por confirmar",TRIM('DATOS'!F311&amp;"")&lt;&gt;"No consta",TRIM('DATOS'!F311&amp;"")&lt;&gt;"Desconocido",TRIM('DATOS'!F311&amp;"")&lt;&gt;"Sin confirmar",TRIM('DATOS'!F311&amp;"")&lt;&gt;"Por decidir",TRIM('DATOS'!F311&amp;"")&lt;&gt;"Por comprobar")),NOT(AND(LEN(TRIM('DATOS'!N311&amp;""))&gt;0,TRIM('DATOS'!N311&amp;"")&lt;&gt;"Pendiente",TRIM('DATOS'!N311&amp;"")&lt;&gt;"Por confirmar",TRIM('DATOS'!N311&amp;"")&lt;&gt;"No consta",TRIM('DATOS'!N311&amp;"")&lt;&gt;"Desconocido",TRIM('DATOS'!N311&amp;"")&lt;&gt;"Sin confirmar",TRIM('DATOS'!N311&amp;"")&lt;&gt;"Por decidir",TRIM('DATOS'!N311&amp;"")&lt;&gt;"Por comprobar")),NOT(Y311=1),W311&lt;&gt;1,X311&gt;1,NOT(OR(LEN(TRIM('DATOS'!K311&amp;""))=0,'DATOS'!K311="Sin valorar",'DATOS'!K311="Sin coste documentado",'DATOS'!K311="Incluido en otra partida",'DATOS'!K311="Por confirmar")),NOT(OR(LEN(TRIM('DATOS'!M311&amp;""))=0,'DATOS'!M311="Sí",'DATOS'!M311="No",'DATOS'!M311="Por confirmar")),NOT(OR(LEN(TRIM('DATOS'!O311&amp;""))=0,'DATOS'!O311="Comparamos",'DATOS'!O311="No existe",'DATOS'!O311="Por confirmar"))),2,IF(AND(OR('DATOS'!G311&lt;0,'DATOS'!H311&lt;0,'DATOS'!J311&lt;0),NOT(AND(LEN(TRIM('DATOS'!L311&amp;""))&gt;0,TRIM('DATOS'!L311&amp;"")&lt;&gt;"Pendiente",TRIM('DATOS'!L311&amp;"")&lt;&gt;"Por confirmar",TRIM('DATOS'!L311&amp;"")&lt;&gt;"No consta",TRIM('DATOS'!L311&amp;"")&lt;&gt;"Desconocido",TRIM('DATOS'!L311&amp;"")&lt;&gt;"Sin confirmar",TRIM('DATOS'!L311&amp;"")&lt;&gt;"Por decidir",TRIM('DATOS'!L311&amp;"")&lt;&gt;"Por comprobar"))),1,0))),2)</f>
      </c>
      <c r="P311" s="29">
        <f>IFERROR(IF(N311=0,"",IF(NOT(Y311=1),1,IF('REFERENCIAS'!$Q$8&lt;&gt;1,2,IF(ABS('DATOS'!J311-ROUND('DATOS'!G311*'DATOS'!H311,'REFERENCIAS'!$K$8))&gt;0.00000001,2,IF('DATOS'!O311="No existe",IF(LEN(TRIM('DATOS'!I311&amp;""))=0,0,2),IF('DATOS'!O311="Comparamos",IF(LEN(TRIM('DATOS'!I311&amp;""))=0,1,IF(ISNUMBER('DATOS'!I311),IF(ABS('DATOS'!H311-'DATOS'!I311)&gt;0.00000001,2,0),2)),1)))))),2)</f>
      </c>
      <c r="Q311" s="29">
        <f>IFERROR(IF(N311=0,"",IF(NOT(Y311=1),1,IF('DATOS'!K311="Sin valorar",2,IF('DATOS'!G311=0,1,IF(OR('DATOS'!H311=0,'DATOS'!J311=0),IF(AND(OR('DATOS'!K311="Sin coste documentado",'DATOS'!K311="Incluido en otra partida"),AND(LEN(TRIM('DATOS'!L311&amp;""))&gt;0,TRIM('DATOS'!L311&amp;"")&lt;&gt;"Pendiente",TRIM('DATOS'!L311&amp;"")&lt;&gt;"Por confirmar",TRIM('DATOS'!L311&amp;"")&lt;&gt;"No consta",TRIM('DATOS'!L311&amp;"")&lt;&gt;"Desconocido",TRIM('DATOS'!L311&amp;"")&lt;&gt;"Sin confirmar",TRIM('DATOS'!L311&amp;"")&lt;&gt;"Por decidir",TRIM('DATOS'!L311&amp;"")&lt;&gt;"Por comprobar")),0,1),0))))),2)</f>
      </c>
      <c r="R311" s="29">
        <f>IFERROR(IF(N311=0,"",IF(OR(NOT(AND(LEN(TRIM('DATOS'!D311&amp;""))&gt;0,TRIM('DATOS'!D311&amp;"")&lt;&gt;"Pendiente",TRIM('DATOS'!D311&amp;"")&lt;&gt;"Por confirmar",TRIM('DATOS'!D311&amp;"")&lt;&gt;"No consta",TRIM('DATOS'!D311&amp;"")&lt;&gt;"Desconocido",TRIM('DATOS'!D311&amp;"")&lt;&gt;"Sin confirmar",TRIM('DATOS'!D311&amp;"")&lt;&gt;"Por decidir",TRIM('DATOS'!D311&amp;"")&lt;&gt;"Por comprobar")),NOT(AND(LEN(TRIM('DATOS'!E311&amp;""))&gt;0,TRIM('DATOS'!E311&amp;"")&lt;&gt;"Pendiente",TRIM('DATOS'!E311&amp;"")&lt;&gt;"Por confirmar",TRIM('DATOS'!E311&amp;"")&lt;&gt;"No consta",TRIM('DATOS'!E311&amp;"")&lt;&gt;"Desconocido",TRIM('DATOS'!E311&amp;"")&lt;&gt;"Sin confirmar",TRIM('DATOS'!E311&amp;"")&lt;&gt;"Por decidir",TRIM('DATOS'!E311&amp;"")&lt;&gt;"Por comprobar"))),2,IF('DATOS'!M311="No",2,IF('DATOS'!M311="Sí",0,IF(OR('DATOS'!D311&lt;&gt;'DATOS'!E311,LEN('DATOS'!E311)&gt;300,RIGHT(TRIM('DATOS'!E311),3)="...",RIGHT(TRIM('DATOS'!E311),1)="…"),1,0))))),2)</f>
      </c>
      <c r="S311" s="29">
        <f>IFERROR(IF(N311=0,"",IF('REFERENCIAS'!$Q$8&lt;&gt;1,2,IF(NOT(Y311=1),1,IF(OR(ABS('DATOS'!G311-ROUND('DATOS'!G311,'REFERENCIAS'!$E$8))&gt;0.00000001,ABS('DATOS'!H311-ROUND('DATOS'!H311,'REFERENCIAS'!$H$8))&gt;0.00000001,ABS('DATOS'!J311-ROUND('DATOS'!J311,'REFERENCIAS'!$K$8))&gt;0.00000001,IF(ISNUMBER('DATOS'!I311),ABS('DATOS'!I311-ROUND('DATOS'!I311,'REFERENCIAS'!$H$8))&gt;0.00000001,FALSE)),1,0)))),2)</f>
      </c>
      <c r="T311" s="29">
        <f>IFERROR(IF(N311=0,"",IF(NOT(AND(LEN(TRIM('DATOS'!F311&amp;""))&gt;0,TRIM('DATOS'!F311&amp;"")&lt;&gt;"Pendiente",TRIM('DATOS'!F311&amp;"")&lt;&gt;"Por confirmar",TRIM('DATOS'!F311&amp;"")&lt;&gt;"No consta",TRIM('DATOS'!F311&amp;"")&lt;&gt;"Desconocido",TRIM('DATOS'!F311&amp;"")&lt;&gt;"Sin confirmar",TRIM('DATOS'!F311&amp;"")&lt;&gt;"Por decidir",TRIM('DATOS'!F311&amp;"")&lt;&gt;"Por comprobar")),2,IF(COUNTIFS('REFERENCIAS'!$T$15:$T$34,"ID:"&amp;SUBSTITUTE(SUBSTITUTE(SUBSTITUTE(SUBSTITUTE(UPPER(TRIM('DATOS'!F311&amp;"")),"!","!E"),"*","!A"),"?","!B"),"~","!C"),'REFERENCIAS'!$H$15:$H$34,"&lt;&gt;")&gt;0,0,1))),2)</f>
      </c>
      <c r="U311" s="29" t="str">
        <f>'DATOS'!R311</f>
        <v>ID:</v>
      </c>
      <c r="V311" s="29" t="str">
        <f>'DATOS'!S311</f>
        <v>ID:</v>
      </c>
      <c r="W311" s="29" t="n">
        <f>IF(N311=0,0,COUNTIFS('REFERENCIAS'!$R$15:$R$64,U311))</f>
        <v>0</v>
      </c>
      <c r="X311" s="29" t="n">
        <f>IF(N311=0,0,COUNTIFS('DATOS'!$R$10:$R$509,U311,'DATOS'!$S$10:$S$509,V311))</f>
        <v>0</v>
      </c>
      <c r="Y311" s="29" t="n">
        <f>IF(AND(ISNUMBER('DATOS'!G311),ISNUMBER('DATOS'!H311),ISNUMBER('DATOS'!J311)),1,0)</f>
        <v>0</v>
      </c>
    </row>
    <row r="312" ht="64" customHeight="1">
      <c r="B312" s="26">
        <f>IF(N312=1,303,"")</f>
      </c>
      <c r="C312" s="26">
        <f>IF(AND(N312=1,LEN(TRIM('DATOS'!B312&amp;""))&gt;0),'DATOS'!B312,"")</f>
      </c>
      <c r="D312" s="26">
        <f>IF(AND(N312=1,LEN(TRIM('DATOS'!C312&amp;""))&gt;0),'DATOS'!C312,"")</f>
      </c>
      <c r="E312" s="26">
        <f>IF(NOT(ISNUMBER(P312)),"",IF(P312=2,"ROJO",IF(P312=1,"ÁMBAR","VERDE")))</f>
      </c>
      <c r="F312" s="26">
        <f>IF(NOT(ISNUMBER(Q312)),"",IF(Q312=2,"ROJO",IF(Q312=1,"ÁMBAR","VERDE")))</f>
      </c>
      <c r="G312" s="26">
        <f>IF(NOT(ISNUMBER(R312)),"",IF(R312=2,"ROJO",IF(R312=1,"ÁMBAR","VERDE")))</f>
      </c>
      <c r="H312" s="26">
        <f>IF(NOT(ISNUMBER(S312)),"",IF(S312=2,"ROJO",IF(S312=1,"ÁMBAR","VERDE")))</f>
      </c>
      <c r="I312" s="26">
        <f>IF(NOT(ISNUMBER(T312)),"",IF(T312=2,"ROJO",IF(T312=1,"ÁMBAR","VERDE")))</f>
      </c>
      <c r="J312" s="26">
        <f>IF(NOT(ISNUMBER(O312)),"",IF(O312=2,"ROJO",IF(O312=1,"ÁMBAR","VERDE")))</f>
      </c>
      <c r="K312" s="26">
        <f>IFERROR(IF(AND(N312=1,LEN(TRIM('DATOS'!N312&amp;""))&gt;0),'DATOS'!N312,""),"Hay una entrada con error. Corregimos el dato antes de cerrar la comprobación.")</f>
      </c>
      <c r="L312" s="26">
        <f>IFERROR(IF(N312=0,"",IF(O312&gt;0,"Completamos datos, claves o motivo. ","")&amp;IF(P312&gt;0,"Cotejamos precios e importe. ","")&amp;IF(Q312&gt;0,"Aclaramos el cero. ","")&amp;IF(R312&gt;0,"Comprobamos el texto. ","")&amp;IF(S312&gt;0,"Revisamos decimales visibles. ","")&amp;IF(T312&gt;0,"Confirmamos la unidad.","")),"Hay una entrada con error. Corregimos el dato antes de cerrar la comprobación.")</f>
      </c>
      <c r="N312" s="29" t="n">
        <f>IF(COUNTA('DATOS'!B312:O312)&gt;0,1,0)</f>
        <v>0</v>
      </c>
      <c r="O312" s="29">
        <f>IFERROR(IF(N312=0,"",IF(OR(NOT(AND(LEN(TRIM('DATOS'!B312&amp;""))&gt;0,TRIM('DATOS'!B312&amp;"")&lt;&gt;"Pendiente",TRIM('DATOS'!B312&amp;"")&lt;&gt;"Por confirmar",TRIM('DATOS'!B312&amp;"")&lt;&gt;"No consta",TRIM('DATOS'!B312&amp;"")&lt;&gt;"Desconocido",TRIM('DATOS'!B312&amp;"")&lt;&gt;"Sin confirmar",TRIM('DATOS'!B312&amp;"")&lt;&gt;"Por decidir",TRIM('DATOS'!B312&amp;"")&lt;&gt;"Por comprobar")),NOT(AND(LEN(TRIM('DATOS'!C312&amp;""))&gt;0,TRIM('DATOS'!C312&amp;"")&lt;&gt;"Pendiente",TRIM('DATOS'!C312&amp;"")&lt;&gt;"Por confirmar",TRIM('DATOS'!C312&amp;"")&lt;&gt;"No consta",TRIM('DATOS'!C312&amp;"")&lt;&gt;"Desconocido",TRIM('DATOS'!C312&amp;"")&lt;&gt;"Sin confirmar",TRIM('DATOS'!C312&amp;"")&lt;&gt;"Por decidir",TRIM('DATOS'!C312&amp;"")&lt;&gt;"Por comprobar")),NOT(AND(LEN(TRIM('DATOS'!D312&amp;""))&gt;0,TRIM('DATOS'!D312&amp;"")&lt;&gt;"Pendiente",TRIM('DATOS'!D312&amp;"")&lt;&gt;"Por confirmar",TRIM('DATOS'!D312&amp;"")&lt;&gt;"No consta",TRIM('DATOS'!D312&amp;"")&lt;&gt;"Desconocido",TRIM('DATOS'!D312&amp;"")&lt;&gt;"Sin confirmar",TRIM('DATOS'!D312&amp;"")&lt;&gt;"Por decidir",TRIM('DATOS'!D312&amp;"")&lt;&gt;"Por comprobar")),NOT(AND(LEN(TRIM('DATOS'!E312&amp;""))&gt;0,TRIM('DATOS'!E312&amp;"")&lt;&gt;"Pendiente",TRIM('DATOS'!E312&amp;"")&lt;&gt;"Por confirmar",TRIM('DATOS'!E312&amp;"")&lt;&gt;"No consta",TRIM('DATOS'!E312&amp;"")&lt;&gt;"Desconocido",TRIM('DATOS'!E312&amp;"")&lt;&gt;"Sin confirmar",TRIM('DATOS'!E312&amp;"")&lt;&gt;"Por decidir",TRIM('DATOS'!E312&amp;"")&lt;&gt;"Por comprobar")),NOT(AND(LEN(TRIM('DATOS'!F312&amp;""))&gt;0,TRIM('DATOS'!F312&amp;"")&lt;&gt;"Pendiente",TRIM('DATOS'!F312&amp;"")&lt;&gt;"Por confirmar",TRIM('DATOS'!F312&amp;"")&lt;&gt;"No consta",TRIM('DATOS'!F312&amp;"")&lt;&gt;"Desconocido",TRIM('DATOS'!F312&amp;"")&lt;&gt;"Sin confirmar",TRIM('DATOS'!F312&amp;"")&lt;&gt;"Por decidir",TRIM('DATOS'!F312&amp;"")&lt;&gt;"Por comprobar")),NOT(AND(LEN(TRIM('DATOS'!N312&amp;""))&gt;0,TRIM('DATOS'!N312&amp;"")&lt;&gt;"Pendiente",TRIM('DATOS'!N312&amp;"")&lt;&gt;"Por confirmar",TRIM('DATOS'!N312&amp;"")&lt;&gt;"No consta",TRIM('DATOS'!N312&amp;"")&lt;&gt;"Desconocido",TRIM('DATOS'!N312&amp;"")&lt;&gt;"Sin confirmar",TRIM('DATOS'!N312&amp;"")&lt;&gt;"Por decidir",TRIM('DATOS'!N312&amp;"")&lt;&gt;"Por comprobar")),NOT(Y312=1),W312&lt;&gt;1,X312&gt;1,NOT(OR(LEN(TRIM('DATOS'!K312&amp;""))=0,'DATOS'!K312="Sin valorar",'DATOS'!K312="Sin coste documentado",'DATOS'!K312="Incluido en otra partida",'DATOS'!K312="Por confirmar")),NOT(OR(LEN(TRIM('DATOS'!M312&amp;""))=0,'DATOS'!M312="Sí",'DATOS'!M312="No",'DATOS'!M312="Por confirmar")),NOT(OR(LEN(TRIM('DATOS'!O312&amp;""))=0,'DATOS'!O312="Comparamos",'DATOS'!O312="No existe",'DATOS'!O312="Por confirmar"))),2,IF(AND(OR('DATOS'!G312&lt;0,'DATOS'!H312&lt;0,'DATOS'!J312&lt;0),NOT(AND(LEN(TRIM('DATOS'!L312&amp;""))&gt;0,TRIM('DATOS'!L312&amp;"")&lt;&gt;"Pendiente",TRIM('DATOS'!L312&amp;"")&lt;&gt;"Por confirmar",TRIM('DATOS'!L312&amp;"")&lt;&gt;"No consta",TRIM('DATOS'!L312&amp;"")&lt;&gt;"Desconocido",TRIM('DATOS'!L312&amp;"")&lt;&gt;"Sin confirmar",TRIM('DATOS'!L312&amp;"")&lt;&gt;"Por decidir",TRIM('DATOS'!L312&amp;"")&lt;&gt;"Por comprobar"))),1,0))),2)</f>
      </c>
      <c r="P312" s="29">
        <f>IFERROR(IF(N312=0,"",IF(NOT(Y312=1),1,IF('REFERENCIAS'!$Q$8&lt;&gt;1,2,IF(ABS('DATOS'!J312-ROUND('DATOS'!G312*'DATOS'!H312,'REFERENCIAS'!$K$8))&gt;0.00000001,2,IF('DATOS'!O312="No existe",IF(LEN(TRIM('DATOS'!I312&amp;""))=0,0,2),IF('DATOS'!O312="Comparamos",IF(LEN(TRIM('DATOS'!I312&amp;""))=0,1,IF(ISNUMBER('DATOS'!I312),IF(ABS('DATOS'!H312-'DATOS'!I312)&gt;0.00000001,2,0),2)),1)))))),2)</f>
      </c>
      <c r="Q312" s="29">
        <f>IFERROR(IF(N312=0,"",IF(NOT(Y312=1),1,IF('DATOS'!K312="Sin valorar",2,IF('DATOS'!G312=0,1,IF(OR('DATOS'!H312=0,'DATOS'!J312=0),IF(AND(OR('DATOS'!K312="Sin coste documentado",'DATOS'!K312="Incluido en otra partida"),AND(LEN(TRIM('DATOS'!L312&amp;""))&gt;0,TRIM('DATOS'!L312&amp;"")&lt;&gt;"Pendiente",TRIM('DATOS'!L312&amp;"")&lt;&gt;"Por confirmar",TRIM('DATOS'!L312&amp;"")&lt;&gt;"No consta",TRIM('DATOS'!L312&amp;"")&lt;&gt;"Desconocido",TRIM('DATOS'!L312&amp;"")&lt;&gt;"Sin confirmar",TRIM('DATOS'!L312&amp;"")&lt;&gt;"Por decidir",TRIM('DATOS'!L312&amp;"")&lt;&gt;"Por comprobar")),0,1),0))))),2)</f>
      </c>
      <c r="R312" s="29">
        <f>IFERROR(IF(N312=0,"",IF(OR(NOT(AND(LEN(TRIM('DATOS'!D312&amp;""))&gt;0,TRIM('DATOS'!D312&amp;"")&lt;&gt;"Pendiente",TRIM('DATOS'!D312&amp;"")&lt;&gt;"Por confirmar",TRIM('DATOS'!D312&amp;"")&lt;&gt;"No consta",TRIM('DATOS'!D312&amp;"")&lt;&gt;"Desconocido",TRIM('DATOS'!D312&amp;"")&lt;&gt;"Sin confirmar",TRIM('DATOS'!D312&amp;"")&lt;&gt;"Por decidir",TRIM('DATOS'!D312&amp;"")&lt;&gt;"Por comprobar")),NOT(AND(LEN(TRIM('DATOS'!E312&amp;""))&gt;0,TRIM('DATOS'!E312&amp;"")&lt;&gt;"Pendiente",TRIM('DATOS'!E312&amp;"")&lt;&gt;"Por confirmar",TRIM('DATOS'!E312&amp;"")&lt;&gt;"No consta",TRIM('DATOS'!E312&amp;"")&lt;&gt;"Desconocido",TRIM('DATOS'!E312&amp;"")&lt;&gt;"Sin confirmar",TRIM('DATOS'!E312&amp;"")&lt;&gt;"Por decidir",TRIM('DATOS'!E312&amp;"")&lt;&gt;"Por comprobar"))),2,IF('DATOS'!M312="No",2,IF('DATOS'!M312="Sí",0,IF(OR('DATOS'!D312&lt;&gt;'DATOS'!E312,LEN('DATOS'!E312)&gt;300,RIGHT(TRIM('DATOS'!E312),3)="...",RIGHT(TRIM('DATOS'!E312),1)="…"),1,0))))),2)</f>
      </c>
      <c r="S312" s="29">
        <f>IFERROR(IF(N312=0,"",IF('REFERENCIAS'!$Q$8&lt;&gt;1,2,IF(NOT(Y312=1),1,IF(OR(ABS('DATOS'!G312-ROUND('DATOS'!G312,'REFERENCIAS'!$E$8))&gt;0.00000001,ABS('DATOS'!H312-ROUND('DATOS'!H312,'REFERENCIAS'!$H$8))&gt;0.00000001,ABS('DATOS'!J312-ROUND('DATOS'!J312,'REFERENCIAS'!$K$8))&gt;0.00000001,IF(ISNUMBER('DATOS'!I312),ABS('DATOS'!I312-ROUND('DATOS'!I312,'REFERENCIAS'!$H$8))&gt;0.00000001,FALSE)),1,0)))),2)</f>
      </c>
      <c r="T312" s="29">
        <f>IFERROR(IF(N312=0,"",IF(NOT(AND(LEN(TRIM('DATOS'!F312&amp;""))&gt;0,TRIM('DATOS'!F312&amp;"")&lt;&gt;"Pendiente",TRIM('DATOS'!F312&amp;"")&lt;&gt;"Por confirmar",TRIM('DATOS'!F312&amp;"")&lt;&gt;"No consta",TRIM('DATOS'!F312&amp;"")&lt;&gt;"Desconocido",TRIM('DATOS'!F312&amp;"")&lt;&gt;"Sin confirmar",TRIM('DATOS'!F312&amp;"")&lt;&gt;"Por decidir",TRIM('DATOS'!F312&amp;"")&lt;&gt;"Por comprobar")),2,IF(COUNTIFS('REFERENCIAS'!$T$15:$T$34,"ID:"&amp;SUBSTITUTE(SUBSTITUTE(SUBSTITUTE(SUBSTITUTE(UPPER(TRIM('DATOS'!F312&amp;"")),"!","!E"),"*","!A"),"?","!B"),"~","!C"),'REFERENCIAS'!$H$15:$H$34,"&lt;&gt;")&gt;0,0,1))),2)</f>
      </c>
      <c r="U312" s="29" t="str">
        <f>'DATOS'!R312</f>
        <v>ID:</v>
      </c>
      <c r="V312" s="29" t="str">
        <f>'DATOS'!S312</f>
        <v>ID:</v>
      </c>
      <c r="W312" s="29" t="n">
        <f>IF(N312=0,0,COUNTIFS('REFERENCIAS'!$R$15:$R$64,U312))</f>
        <v>0</v>
      </c>
      <c r="X312" s="29" t="n">
        <f>IF(N312=0,0,COUNTIFS('DATOS'!$R$10:$R$509,U312,'DATOS'!$S$10:$S$509,V312))</f>
        <v>0</v>
      </c>
      <c r="Y312" s="29" t="n">
        <f>IF(AND(ISNUMBER('DATOS'!G312),ISNUMBER('DATOS'!H312),ISNUMBER('DATOS'!J312)),1,0)</f>
        <v>0</v>
      </c>
    </row>
    <row r="313" ht="64" customHeight="1">
      <c r="B313" s="26">
        <f>IF(N313=1,304,"")</f>
      </c>
      <c r="C313" s="26">
        <f>IF(AND(N313=1,LEN(TRIM('DATOS'!B313&amp;""))&gt;0),'DATOS'!B313,"")</f>
      </c>
      <c r="D313" s="26">
        <f>IF(AND(N313=1,LEN(TRIM('DATOS'!C313&amp;""))&gt;0),'DATOS'!C313,"")</f>
      </c>
      <c r="E313" s="26">
        <f>IF(NOT(ISNUMBER(P313)),"",IF(P313=2,"ROJO",IF(P313=1,"ÁMBAR","VERDE")))</f>
      </c>
      <c r="F313" s="26">
        <f>IF(NOT(ISNUMBER(Q313)),"",IF(Q313=2,"ROJO",IF(Q313=1,"ÁMBAR","VERDE")))</f>
      </c>
      <c r="G313" s="26">
        <f>IF(NOT(ISNUMBER(R313)),"",IF(R313=2,"ROJO",IF(R313=1,"ÁMBAR","VERDE")))</f>
      </c>
      <c r="H313" s="26">
        <f>IF(NOT(ISNUMBER(S313)),"",IF(S313=2,"ROJO",IF(S313=1,"ÁMBAR","VERDE")))</f>
      </c>
      <c r="I313" s="26">
        <f>IF(NOT(ISNUMBER(T313)),"",IF(T313=2,"ROJO",IF(T313=1,"ÁMBAR","VERDE")))</f>
      </c>
      <c r="J313" s="26">
        <f>IF(NOT(ISNUMBER(O313)),"",IF(O313=2,"ROJO",IF(O313=1,"ÁMBAR","VERDE")))</f>
      </c>
      <c r="K313" s="26">
        <f>IFERROR(IF(AND(N313=1,LEN(TRIM('DATOS'!N313&amp;""))&gt;0),'DATOS'!N313,""),"Hay una entrada con error. Corregimos el dato antes de cerrar la comprobación.")</f>
      </c>
      <c r="L313" s="26">
        <f>IFERROR(IF(N313=0,"",IF(O313&gt;0,"Completamos datos, claves o motivo. ","")&amp;IF(P313&gt;0,"Cotejamos precios e importe. ","")&amp;IF(Q313&gt;0,"Aclaramos el cero. ","")&amp;IF(R313&gt;0,"Comprobamos el texto. ","")&amp;IF(S313&gt;0,"Revisamos decimales visibles. ","")&amp;IF(T313&gt;0,"Confirmamos la unidad.","")),"Hay una entrada con error. Corregimos el dato antes de cerrar la comprobación.")</f>
      </c>
      <c r="N313" s="29" t="n">
        <f>IF(COUNTA('DATOS'!B313:O313)&gt;0,1,0)</f>
        <v>0</v>
      </c>
      <c r="O313" s="29">
        <f>IFERROR(IF(N313=0,"",IF(OR(NOT(AND(LEN(TRIM('DATOS'!B313&amp;""))&gt;0,TRIM('DATOS'!B313&amp;"")&lt;&gt;"Pendiente",TRIM('DATOS'!B313&amp;"")&lt;&gt;"Por confirmar",TRIM('DATOS'!B313&amp;"")&lt;&gt;"No consta",TRIM('DATOS'!B313&amp;"")&lt;&gt;"Desconocido",TRIM('DATOS'!B313&amp;"")&lt;&gt;"Sin confirmar",TRIM('DATOS'!B313&amp;"")&lt;&gt;"Por decidir",TRIM('DATOS'!B313&amp;"")&lt;&gt;"Por comprobar")),NOT(AND(LEN(TRIM('DATOS'!C313&amp;""))&gt;0,TRIM('DATOS'!C313&amp;"")&lt;&gt;"Pendiente",TRIM('DATOS'!C313&amp;"")&lt;&gt;"Por confirmar",TRIM('DATOS'!C313&amp;"")&lt;&gt;"No consta",TRIM('DATOS'!C313&amp;"")&lt;&gt;"Desconocido",TRIM('DATOS'!C313&amp;"")&lt;&gt;"Sin confirmar",TRIM('DATOS'!C313&amp;"")&lt;&gt;"Por decidir",TRIM('DATOS'!C313&amp;"")&lt;&gt;"Por comprobar")),NOT(AND(LEN(TRIM('DATOS'!D313&amp;""))&gt;0,TRIM('DATOS'!D313&amp;"")&lt;&gt;"Pendiente",TRIM('DATOS'!D313&amp;"")&lt;&gt;"Por confirmar",TRIM('DATOS'!D313&amp;"")&lt;&gt;"No consta",TRIM('DATOS'!D313&amp;"")&lt;&gt;"Desconocido",TRIM('DATOS'!D313&amp;"")&lt;&gt;"Sin confirmar",TRIM('DATOS'!D313&amp;"")&lt;&gt;"Por decidir",TRIM('DATOS'!D313&amp;"")&lt;&gt;"Por comprobar")),NOT(AND(LEN(TRIM('DATOS'!E313&amp;""))&gt;0,TRIM('DATOS'!E313&amp;"")&lt;&gt;"Pendiente",TRIM('DATOS'!E313&amp;"")&lt;&gt;"Por confirmar",TRIM('DATOS'!E313&amp;"")&lt;&gt;"No consta",TRIM('DATOS'!E313&amp;"")&lt;&gt;"Desconocido",TRIM('DATOS'!E313&amp;"")&lt;&gt;"Sin confirmar",TRIM('DATOS'!E313&amp;"")&lt;&gt;"Por decidir",TRIM('DATOS'!E313&amp;"")&lt;&gt;"Por comprobar")),NOT(AND(LEN(TRIM('DATOS'!F313&amp;""))&gt;0,TRIM('DATOS'!F313&amp;"")&lt;&gt;"Pendiente",TRIM('DATOS'!F313&amp;"")&lt;&gt;"Por confirmar",TRIM('DATOS'!F313&amp;"")&lt;&gt;"No consta",TRIM('DATOS'!F313&amp;"")&lt;&gt;"Desconocido",TRIM('DATOS'!F313&amp;"")&lt;&gt;"Sin confirmar",TRIM('DATOS'!F313&amp;"")&lt;&gt;"Por decidir",TRIM('DATOS'!F313&amp;"")&lt;&gt;"Por comprobar")),NOT(AND(LEN(TRIM('DATOS'!N313&amp;""))&gt;0,TRIM('DATOS'!N313&amp;"")&lt;&gt;"Pendiente",TRIM('DATOS'!N313&amp;"")&lt;&gt;"Por confirmar",TRIM('DATOS'!N313&amp;"")&lt;&gt;"No consta",TRIM('DATOS'!N313&amp;"")&lt;&gt;"Desconocido",TRIM('DATOS'!N313&amp;"")&lt;&gt;"Sin confirmar",TRIM('DATOS'!N313&amp;"")&lt;&gt;"Por decidir",TRIM('DATOS'!N313&amp;"")&lt;&gt;"Por comprobar")),NOT(Y313=1),W313&lt;&gt;1,X313&gt;1,NOT(OR(LEN(TRIM('DATOS'!K313&amp;""))=0,'DATOS'!K313="Sin valorar",'DATOS'!K313="Sin coste documentado",'DATOS'!K313="Incluido en otra partida",'DATOS'!K313="Por confirmar")),NOT(OR(LEN(TRIM('DATOS'!M313&amp;""))=0,'DATOS'!M313="Sí",'DATOS'!M313="No",'DATOS'!M313="Por confirmar")),NOT(OR(LEN(TRIM('DATOS'!O313&amp;""))=0,'DATOS'!O313="Comparamos",'DATOS'!O313="No existe",'DATOS'!O313="Por confirmar"))),2,IF(AND(OR('DATOS'!G313&lt;0,'DATOS'!H313&lt;0,'DATOS'!J313&lt;0),NOT(AND(LEN(TRIM('DATOS'!L313&amp;""))&gt;0,TRIM('DATOS'!L313&amp;"")&lt;&gt;"Pendiente",TRIM('DATOS'!L313&amp;"")&lt;&gt;"Por confirmar",TRIM('DATOS'!L313&amp;"")&lt;&gt;"No consta",TRIM('DATOS'!L313&amp;"")&lt;&gt;"Desconocido",TRIM('DATOS'!L313&amp;"")&lt;&gt;"Sin confirmar",TRIM('DATOS'!L313&amp;"")&lt;&gt;"Por decidir",TRIM('DATOS'!L313&amp;"")&lt;&gt;"Por comprobar"))),1,0))),2)</f>
      </c>
      <c r="P313" s="29">
        <f>IFERROR(IF(N313=0,"",IF(NOT(Y313=1),1,IF('REFERENCIAS'!$Q$8&lt;&gt;1,2,IF(ABS('DATOS'!J313-ROUND('DATOS'!G313*'DATOS'!H313,'REFERENCIAS'!$K$8))&gt;0.00000001,2,IF('DATOS'!O313="No existe",IF(LEN(TRIM('DATOS'!I313&amp;""))=0,0,2),IF('DATOS'!O313="Comparamos",IF(LEN(TRIM('DATOS'!I313&amp;""))=0,1,IF(ISNUMBER('DATOS'!I313),IF(ABS('DATOS'!H313-'DATOS'!I313)&gt;0.00000001,2,0),2)),1)))))),2)</f>
      </c>
      <c r="Q313" s="29">
        <f>IFERROR(IF(N313=0,"",IF(NOT(Y313=1),1,IF('DATOS'!K313="Sin valorar",2,IF('DATOS'!G313=0,1,IF(OR('DATOS'!H313=0,'DATOS'!J313=0),IF(AND(OR('DATOS'!K313="Sin coste documentado",'DATOS'!K313="Incluido en otra partida"),AND(LEN(TRIM('DATOS'!L313&amp;""))&gt;0,TRIM('DATOS'!L313&amp;"")&lt;&gt;"Pendiente",TRIM('DATOS'!L313&amp;"")&lt;&gt;"Por confirmar",TRIM('DATOS'!L313&amp;"")&lt;&gt;"No consta",TRIM('DATOS'!L313&amp;"")&lt;&gt;"Desconocido",TRIM('DATOS'!L313&amp;"")&lt;&gt;"Sin confirmar",TRIM('DATOS'!L313&amp;"")&lt;&gt;"Por decidir",TRIM('DATOS'!L313&amp;"")&lt;&gt;"Por comprobar")),0,1),0))))),2)</f>
      </c>
      <c r="R313" s="29">
        <f>IFERROR(IF(N313=0,"",IF(OR(NOT(AND(LEN(TRIM('DATOS'!D313&amp;""))&gt;0,TRIM('DATOS'!D313&amp;"")&lt;&gt;"Pendiente",TRIM('DATOS'!D313&amp;"")&lt;&gt;"Por confirmar",TRIM('DATOS'!D313&amp;"")&lt;&gt;"No consta",TRIM('DATOS'!D313&amp;"")&lt;&gt;"Desconocido",TRIM('DATOS'!D313&amp;"")&lt;&gt;"Sin confirmar",TRIM('DATOS'!D313&amp;"")&lt;&gt;"Por decidir",TRIM('DATOS'!D313&amp;"")&lt;&gt;"Por comprobar")),NOT(AND(LEN(TRIM('DATOS'!E313&amp;""))&gt;0,TRIM('DATOS'!E313&amp;"")&lt;&gt;"Pendiente",TRIM('DATOS'!E313&amp;"")&lt;&gt;"Por confirmar",TRIM('DATOS'!E313&amp;"")&lt;&gt;"No consta",TRIM('DATOS'!E313&amp;"")&lt;&gt;"Desconocido",TRIM('DATOS'!E313&amp;"")&lt;&gt;"Sin confirmar",TRIM('DATOS'!E313&amp;"")&lt;&gt;"Por decidir",TRIM('DATOS'!E313&amp;"")&lt;&gt;"Por comprobar"))),2,IF('DATOS'!M313="No",2,IF('DATOS'!M313="Sí",0,IF(OR('DATOS'!D313&lt;&gt;'DATOS'!E313,LEN('DATOS'!E313)&gt;300,RIGHT(TRIM('DATOS'!E313),3)="...",RIGHT(TRIM('DATOS'!E313),1)="…"),1,0))))),2)</f>
      </c>
      <c r="S313" s="29">
        <f>IFERROR(IF(N313=0,"",IF('REFERENCIAS'!$Q$8&lt;&gt;1,2,IF(NOT(Y313=1),1,IF(OR(ABS('DATOS'!G313-ROUND('DATOS'!G313,'REFERENCIAS'!$E$8))&gt;0.00000001,ABS('DATOS'!H313-ROUND('DATOS'!H313,'REFERENCIAS'!$H$8))&gt;0.00000001,ABS('DATOS'!J313-ROUND('DATOS'!J313,'REFERENCIAS'!$K$8))&gt;0.00000001,IF(ISNUMBER('DATOS'!I313),ABS('DATOS'!I313-ROUND('DATOS'!I313,'REFERENCIAS'!$H$8))&gt;0.00000001,FALSE)),1,0)))),2)</f>
      </c>
      <c r="T313" s="29">
        <f>IFERROR(IF(N313=0,"",IF(NOT(AND(LEN(TRIM('DATOS'!F313&amp;""))&gt;0,TRIM('DATOS'!F313&amp;"")&lt;&gt;"Pendiente",TRIM('DATOS'!F313&amp;"")&lt;&gt;"Por confirmar",TRIM('DATOS'!F313&amp;"")&lt;&gt;"No consta",TRIM('DATOS'!F313&amp;"")&lt;&gt;"Desconocido",TRIM('DATOS'!F313&amp;"")&lt;&gt;"Sin confirmar",TRIM('DATOS'!F313&amp;"")&lt;&gt;"Por decidir",TRIM('DATOS'!F313&amp;"")&lt;&gt;"Por comprobar")),2,IF(COUNTIFS('REFERENCIAS'!$T$15:$T$34,"ID:"&amp;SUBSTITUTE(SUBSTITUTE(SUBSTITUTE(SUBSTITUTE(UPPER(TRIM('DATOS'!F313&amp;"")),"!","!E"),"*","!A"),"?","!B"),"~","!C"),'REFERENCIAS'!$H$15:$H$34,"&lt;&gt;")&gt;0,0,1))),2)</f>
      </c>
      <c r="U313" s="29" t="str">
        <f>'DATOS'!R313</f>
        <v>ID:</v>
      </c>
      <c r="V313" s="29" t="str">
        <f>'DATOS'!S313</f>
        <v>ID:</v>
      </c>
      <c r="W313" s="29" t="n">
        <f>IF(N313=0,0,COUNTIFS('REFERENCIAS'!$R$15:$R$64,U313))</f>
        <v>0</v>
      </c>
      <c r="X313" s="29" t="n">
        <f>IF(N313=0,0,COUNTIFS('DATOS'!$R$10:$R$509,U313,'DATOS'!$S$10:$S$509,V313))</f>
        <v>0</v>
      </c>
      <c r="Y313" s="29" t="n">
        <f>IF(AND(ISNUMBER('DATOS'!G313),ISNUMBER('DATOS'!H313),ISNUMBER('DATOS'!J313)),1,0)</f>
        <v>0</v>
      </c>
    </row>
    <row r="314" ht="64" customHeight="1">
      <c r="B314" s="26">
        <f>IF(N314=1,305,"")</f>
      </c>
      <c r="C314" s="26">
        <f>IF(AND(N314=1,LEN(TRIM('DATOS'!B314&amp;""))&gt;0),'DATOS'!B314,"")</f>
      </c>
      <c r="D314" s="26">
        <f>IF(AND(N314=1,LEN(TRIM('DATOS'!C314&amp;""))&gt;0),'DATOS'!C314,"")</f>
      </c>
      <c r="E314" s="26">
        <f>IF(NOT(ISNUMBER(P314)),"",IF(P314=2,"ROJO",IF(P314=1,"ÁMBAR","VERDE")))</f>
      </c>
      <c r="F314" s="26">
        <f>IF(NOT(ISNUMBER(Q314)),"",IF(Q314=2,"ROJO",IF(Q314=1,"ÁMBAR","VERDE")))</f>
      </c>
      <c r="G314" s="26">
        <f>IF(NOT(ISNUMBER(R314)),"",IF(R314=2,"ROJO",IF(R314=1,"ÁMBAR","VERDE")))</f>
      </c>
      <c r="H314" s="26">
        <f>IF(NOT(ISNUMBER(S314)),"",IF(S314=2,"ROJO",IF(S314=1,"ÁMBAR","VERDE")))</f>
      </c>
      <c r="I314" s="26">
        <f>IF(NOT(ISNUMBER(T314)),"",IF(T314=2,"ROJO",IF(T314=1,"ÁMBAR","VERDE")))</f>
      </c>
      <c r="J314" s="26">
        <f>IF(NOT(ISNUMBER(O314)),"",IF(O314=2,"ROJO",IF(O314=1,"ÁMBAR","VERDE")))</f>
      </c>
      <c r="K314" s="26">
        <f>IFERROR(IF(AND(N314=1,LEN(TRIM('DATOS'!N314&amp;""))&gt;0),'DATOS'!N314,""),"Hay una entrada con error. Corregimos el dato antes de cerrar la comprobación.")</f>
      </c>
      <c r="L314" s="26">
        <f>IFERROR(IF(N314=0,"",IF(O314&gt;0,"Completamos datos, claves o motivo. ","")&amp;IF(P314&gt;0,"Cotejamos precios e importe. ","")&amp;IF(Q314&gt;0,"Aclaramos el cero. ","")&amp;IF(R314&gt;0,"Comprobamos el texto. ","")&amp;IF(S314&gt;0,"Revisamos decimales visibles. ","")&amp;IF(T314&gt;0,"Confirmamos la unidad.","")),"Hay una entrada con error. Corregimos el dato antes de cerrar la comprobación.")</f>
      </c>
      <c r="N314" s="29" t="n">
        <f>IF(COUNTA('DATOS'!B314:O314)&gt;0,1,0)</f>
        <v>0</v>
      </c>
      <c r="O314" s="29">
        <f>IFERROR(IF(N314=0,"",IF(OR(NOT(AND(LEN(TRIM('DATOS'!B314&amp;""))&gt;0,TRIM('DATOS'!B314&amp;"")&lt;&gt;"Pendiente",TRIM('DATOS'!B314&amp;"")&lt;&gt;"Por confirmar",TRIM('DATOS'!B314&amp;"")&lt;&gt;"No consta",TRIM('DATOS'!B314&amp;"")&lt;&gt;"Desconocido",TRIM('DATOS'!B314&amp;"")&lt;&gt;"Sin confirmar",TRIM('DATOS'!B314&amp;"")&lt;&gt;"Por decidir",TRIM('DATOS'!B314&amp;"")&lt;&gt;"Por comprobar")),NOT(AND(LEN(TRIM('DATOS'!C314&amp;""))&gt;0,TRIM('DATOS'!C314&amp;"")&lt;&gt;"Pendiente",TRIM('DATOS'!C314&amp;"")&lt;&gt;"Por confirmar",TRIM('DATOS'!C314&amp;"")&lt;&gt;"No consta",TRIM('DATOS'!C314&amp;"")&lt;&gt;"Desconocido",TRIM('DATOS'!C314&amp;"")&lt;&gt;"Sin confirmar",TRIM('DATOS'!C314&amp;"")&lt;&gt;"Por decidir",TRIM('DATOS'!C314&amp;"")&lt;&gt;"Por comprobar")),NOT(AND(LEN(TRIM('DATOS'!D314&amp;""))&gt;0,TRIM('DATOS'!D314&amp;"")&lt;&gt;"Pendiente",TRIM('DATOS'!D314&amp;"")&lt;&gt;"Por confirmar",TRIM('DATOS'!D314&amp;"")&lt;&gt;"No consta",TRIM('DATOS'!D314&amp;"")&lt;&gt;"Desconocido",TRIM('DATOS'!D314&amp;"")&lt;&gt;"Sin confirmar",TRIM('DATOS'!D314&amp;"")&lt;&gt;"Por decidir",TRIM('DATOS'!D314&amp;"")&lt;&gt;"Por comprobar")),NOT(AND(LEN(TRIM('DATOS'!E314&amp;""))&gt;0,TRIM('DATOS'!E314&amp;"")&lt;&gt;"Pendiente",TRIM('DATOS'!E314&amp;"")&lt;&gt;"Por confirmar",TRIM('DATOS'!E314&amp;"")&lt;&gt;"No consta",TRIM('DATOS'!E314&amp;"")&lt;&gt;"Desconocido",TRIM('DATOS'!E314&amp;"")&lt;&gt;"Sin confirmar",TRIM('DATOS'!E314&amp;"")&lt;&gt;"Por decidir",TRIM('DATOS'!E314&amp;"")&lt;&gt;"Por comprobar")),NOT(AND(LEN(TRIM('DATOS'!F314&amp;""))&gt;0,TRIM('DATOS'!F314&amp;"")&lt;&gt;"Pendiente",TRIM('DATOS'!F314&amp;"")&lt;&gt;"Por confirmar",TRIM('DATOS'!F314&amp;"")&lt;&gt;"No consta",TRIM('DATOS'!F314&amp;"")&lt;&gt;"Desconocido",TRIM('DATOS'!F314&amp;"")&lt;&gt;"Sin confirmar",TRIM('DATOS'!F314&amp;"")&lt;&gt;"Por decidir",TRIM('DATOS'!F314&amp;"")&lt;&gt;"Por comprobar")),NOT(AND(LEN(TRIM('DATOS'!N314&amp;""))&gt;0,TRIM('DATOS'!N314&amp;"")&lt;&gt;"Pendiente",TRIM('DATOS'!N314&amp;"")&lt;&gt;"Por confirmar",TRIM('DATOS'!N314&amp;"")&lt;&gt;"No consta",TRIM('DATOS'!N314&amp;"")&lt;&gt;"Desconocido",TRIM('DATOS'!N314&amp;"")&lt;&gt;"Sin confirmar",TRIM('DATOS'!N314&amp;"")&lt;&gt;"Por decidir",TRIM('DATOS'!N314&amp;"")&lt;&gt;"Por comprobar")),NOT(Y314=1),W314&lt;&gt;1,X314&gt;1,NOT(OR(LEN(TRIM('DATOS'!K314&amp;""))=0,'DATOS'!K314="Sin valorar",'DATOS'!K314="Sin coste documentado",'DATOS'!K314="Incluido en otra partida",'DATOS'!K314="Por confirmar")),NOT(OR(LEN(TRIM('DATOS'!M314&amp;""))=0,'DATOS'!M314="Sí",'DATOS'!M314="No",'DATOS'!M314="Por confirmar")),NOT(OR(LEN(TRIM('DATOS'!O314&amp;""))=0,'DATOS'!O314="Comparamos",'DATOS'!O314="No existe",'DATOS'!O314="Por confirmar"))),2,IF(AND(OR('DATOS'!G314&lt;0,'DATOS'!H314&lt;0,'DATOS'!J314&lt;0),NOT(AND(LEN(TRIM('DATOS'!L314&amp;""))&gt;0,TRIM('DATOS'!L314&amp;"")&lt;&gt;"Pendiente",TRIM('DATOS'!L314&amp;"")&lt;&gt;"Por confirmar",TRIM('DATOS'!L314&amp;"")&lt;&gt;"No consta",TRIM('DATOS'!L314&amp;"")&lt;&gt;"Desconocido",TRIM('DATOS'!L314&amp;"")&lt;&gt;"Sin confirmar",TRIM('DATOS'!L314&amp;"")&lt;&gt;"Por decidir",TRIM('DATOS'!L314&amp;"")&lt;&gt;"Por comprobar"))),1,0))),2)</f>
      </c>
      <c r="P314" s="29">
        <f>IFERROR(IF(N314=0,"",IF(NOT(Y314=1),1,IF('REFERENCIAS'!$Q$8&lt;&gt;1,2,IF(ABS('DATOS'!J314-ROUND('DATOS'!G314*'DATOS'!H314,'REFERENCIAS'!$K$8))&gt;0.00000001,2,IF('DATOS'!O314="No existe",IF(LEN(TRIM('DATOS'!I314&amp;""))=0,0,2),IF('DATOS'!O314="Comparamos",IF(LEN(TRIM('DATOS'!I314&amp;""))=0,1,IF(ISNUMBER('DATOS'!I314),IF(ABS('DATOS'!H314-'DATOS'!I314)&gt;0.00000001,2,0),2)),1)))))),2)</f>
      </c>
      <c r="Q314" s="29">
        <f>IFERROR(IF(N314=0,"",IF(NOT(Y314=1),1,IF('DATOS'!K314="Sin valorar",2,IF('DATOS'!G314=0,1,IF(OR('DATOS'!H314=0,'DATOS'!J314=0),IF(AND(OR('DATOS'!K314="Sin coste documentado",'DATOS'!K314="Incluido en otra partida"),AND(LEN(TRIM('DATOS'!L314&amp;""))&gt;0,TRIM('DATOS'!L314&amp;"")&lt;&gt;"Pendiente",TRIM('DATOS'!L314&amp;"")&lt;&gt;"Por confirmar",TRIM('DATOS'!L314&amp;"")&lt;&gt;"No consta",TRIM('DATOS'!L314&amp;"")&lt;&gt;"Desconocido",TRIM('DATOS'!L314&amp;"")&lt;&gt;"Sin confirmar",TRIM('DATOS'!L314&amp;"")&lt;&gt;"Por decidir",TRIM('DATOS'!L314&amp;"")&lt;&gt;"Por comprobar")),0,1),0))))),2)</f>
      </c>
      <c r="R314" s="29">
        <f>IFERROR(IF(N314=0,"",IF(OR(NOT(AND(LEN(TRIM('DATOS'!D314&amp;""))&gt;0,TRIM('DATOS'!D314&amp;"")&lt;&gt;"Pendiente",TRIM('DATOS'!D314&amp;"")&lt;&gt;"Por confirmar",TRIM('DATOS'!D314&amp;"")&lt;&gt;"No consta",TRIM('DATOS'!D314&amp;"")&lt;&gt;"Desconocido",TRIM('DATOS'!D314&amp;"")&lt;&gt;"Sin confirmar",TRIM('DATOS'!D314&amp;"")&lt;&gt;"Por decidir",TRIM('DATOS'!D314&amp;"")&lt;&gt;"Por comprobar")),NOT(AND(LEN(TRIM('DATOS'!E314&amp;""))&gt;0,TRIM('DATOS'!E314&amp;"")&lt;&gt;"Pendiente",TRIM('DATOS'!E314&amp;"")&lt;&gt;"Por confirmar",TRIM('DATOS'!E314&amp;"")&lt;&gt;"No consta",TRIM('DATOS'!E314&amp;"")&lt;&gt;"Desconocido",TRIM('DATOS'!E314&amp;"")&lt;&gt;"Sin confirmar",TRIM('DATOS'!E314&amp;"")&lt;&gt;"Por decidir",TRIM('DATOS'!E314&amp;"")&lt;&gt;"Por comprobar"))),2,IF('DATOS'!M314="No",2,IF('DATOS'!M314="Sí",0,IF(OR('DATOS'!D314&lt;&gt;'DATOS'!E314,LEN('DATOS'!E314)&gt;300,RIGHT(TRIM('DATOS'!E314),3)="...",RIGHT(TRIM('DATOS'!E314),1)="…"),1,0))))),2)</f>
      </c>
      <c r="S314" s="29">
        <f>IFERROR(IF(N314=0,"",IF('REFERENCIAS'!$Q$8&lt;&gt;1,2,IF(NOT(Y314=1),1,IF(OR(ABS('DATOS'!G314-ROUND('DATOS'!G314,'REFERENCIAS'!$E$8))&gt;0.00000001,ABS('DATOS'!H314-ROUND('DATOS'!H314,'REFERENCIAS'!$H$8))&gt;0.00000001,ABS('DATOS'!J314-ROUND('DATOS'!J314,'REFERENCIAS'!$K$8))&gt;0.00000001,IF(ISNUMBER('DATOS'!I314),ABS('DATOS'!I314-ROUND('DATOS'!I314,'REFERENCIAS'!$H$8))&gt;0.00000001,FALSE)),1,0)))),2)</f>
      </c>
      <c r="T314" s="29">
        <f>IFERROR(IF(N314=0,"",IF(NOT(AND(LEN(TRIM('DATOS'!F314&amp;""))&gt;0,TRIM('DATOS'!F314&amp;"")&lt;&gt;"Pendiente",TRIM('DATOS'!F314&amp;"")&lt;&gt;"Por confirmar",TRIM('DATOS'!F314&amp;"")&lt;&gt;"No consta",TRIM('DATOS'!F314&amp;"")&lt;&gt;"Desconocido",TRIM('DATOS'!F314&amp;"")&lt;&gt;"Sin confirmar",TRIM('DATOS'!F314&amp;"")&lt;&gt;"Por decidir",TRIM('DATOS'!F314&amp;"")&lt;&gt;"Por comprobar")),2,IF(COUNTIFS('REFERENCIAS'!$T$15:$T$34,"ID:"&amp;SUBSTITUTE(SUBSTITUTE(SUBSTITUTE(SUBSTITUTE(UPPER(TRIM('DATOS'!F314&amp;"")),"!","!E"),"*","!A"),"?","!B"),"~","!C"),'REFERENCIAS'!$H$15:$H$34,"&lt;&gt;")&gt;0,0,1))),2)</f>
      </c>
      <c r="U314" s="29" t="str">
        <f>'DATOS'!R314</f>
        <v>ID:</v>
      </c>
      <c r="V314" s="29" t="str">
        <f>'DATOS'!S314</f>
        <v>ID:</v>
      </c>
      <c r="W314" s="29" t="n">
        <f>IF(N314=0,0,COUNTIFS('REFERENCIAS'!$R$15:$R$64,U314))</f>
        <v>0</v>
      </c>
      <c r="X314" s="29" t="n">
        <f>IF(N314=0,0,COUNTIFS('DATOS'!$R$10:$R$509,U314,'DATOS'!$S$10:$S$509,V314))</f>
        <v>0</v>
      </c>
      <c r="Y314" s="29" t="n">
        <f>IF(AND(ISNUMBER('DATOS'!G314),ISNUMBER('DATOS'!H314),ISNUMBER('DATOS'!J314)),1,0)</f>
        <v>0</v>
      </c>
    </row>
    <row r="315" ht="64" customHeight="1">
      <c r="B315" s="26">
        <f>IF(N315=1,306,"")</f>
      </c>
      <c r="C315" s="26">
        <f>IF(AND(N315=1,LEN(TRIM('DATOS'!B315&amp;""))&gt;0),'DATOS'!B315,"")</f>
      </c>
      <c r="D315" s="26">
        <f>IF(AND(N315=1,LEN(TRIM('DATOS'!C315&amp;""))&gt;0),'DATOS'!C315,"")</f>
      </c>
      <c r="E315" s="26">
        <f>IF(NOT(ISNUMBER(P315)),"",IF(P315=2,"ROJO",IF(P315=1,"ÁMBAR","VERDE")))</f>
      </c>
      <c r="F315" s="26">
        <f>IF(NOT(ISNUMBER(Q315)),"",IF(Q315=2,"ROJO",IF(Q315=1,"ÁMBAR","VERDE")))</f>
      </c>
      <c r="G315" s="26">
        <f>IF(NOT(ISNUMBER(R315)),"",IF(R315=2,"ROJO",IF(R315=1,"ÁMBAR","VERDE")))</f>
      </c>
      <c r="H315" s="26">
        <f>IF(NOT(ISNUMBER(S315)),"",IF(S315=2,"ROJO",IF(S315=1,"ÁMBAR","VERDE")))</f>
      </c>
      <c r="I315" s="26">
        <f>IF(NOT(ISNUMBER(T315)),"",IF(T315=2,"ROJO",IF(T315=1,"ÁMBAR","VERDE")))</f>
      </c>
      <c r="J315" s="26">
        <f>IF(NOT(ISNUMBER(O315)),"",IF(O315=2,"ROJO",IF(O315=1,"ÁMBAR","VERDE")))</f>
      </c>
      <c r="K315" s="26">
        <f>IFERROR(IF(AND(N315=1,LEN(TRIM('DATOS'!N315&amp;""))&gt;0),'DATOS'!N315,""),"Hay una entrada con error. Corregimos el dato antes de cerrar la comprobación.")</f>
      </c>
      <c r="L315" s="26">
        <f>IFERROR(IF(N315=0,"",IF(O315&gt;0,"Completamos datos, claves o motivo. ","")&amp;IF(P315&gt;0,"Cotejamos precios e importe. ","")&amp;IF(Q315&gt;0,"Aclaramos el cero. ","")&amp;IF(R315&gt;0,"Comprobamos el texto. ","")&amp;IF(S315&gt;0,"Revisamos decimales visibles. ","")&amp;IF(T315&gt;0,"Confirmamos la unidad.","")),"Hay una entrada con error. Corregimos el dato antes de cerrar la comprobación.")</f>
      </c>
      <c r="N315" s="29" t="n">
        <f>IF(COUNTA('DATOS'!B315:O315)&gt;0,1,0)</f>
        <v>0</v>
      </c>
      <c r="O315" s="29">
        <f>IFERROR(IF(N315=0,"",IF(OR(NOT(AND(LEN(TRIM('DATOS'!B315&amp;""))&gt;0,TRIM('DATOS'!B315&amp;"")&lt;&gt;"Pendiente",TRIM('DATOS'!B315&amp;"")&lt;&gt;"Por confirmar",TRIM('DATOS'!B315&amp;"")&lt;&gt;"No consta",TRIM('DATOS'!B315&amp;"")&lt;&gt;"Desconocido",TRIM('DATOS'!B315&amp;"")&lt;&gt;"Sin confirmar",TRIM('DATOS'!B315&amp;"")&lt;&gt;"Por decidir",TRIM('DATOS'!B315&amp;"")&lt;&gt;"Por comprobar")),NOT(AND(LEN(TRIM('DATOS'!C315&amp;""))&gt;0,TRIM('DATOS'!C315&amp;"")&lt;&gt;"Pendiente",TRIM('DATOS'!C315&amp;"")&lt;&gt;"Por confirmar",TRIM('DATOS'!C315&amp;"")&lt;&gt;"No consta",TRIM('DATOS'!C315&amp;"")&lt;&gt;"Desconocido",TRIM('DATOS'!C315&amp;"")&lt;&gt;"Sin confirmar",TRIM('DATOS'!C315&amp;"")&lt;&gt;"Por decidir",TRIM('DATOS'!C315&amp;"")&lt;&gt;"Por comprobar")),NOT(AND(LEN(TRIM('DATOS'!D315&amp;""))&gt;0,TRIM('DATOS'!D315&amp;"")&lt;&gt;"Pendiente",TRIM('DATOS'!D315&amp;"")&lt;&gt;"Por confirmar",TRIM('DATOS'!D315&amp;"")&lt;&gt;"No consta",TRIM('DATOS'!D315&amp;"")&lt;&gt;"Desconocido",TRIM('DATOS'!D315&amp;"")&lt;&gt;"Sin confirmar",TRIM('DATOS'!D315&amp;"")&lt;&gt;"Por decidir",TRIM('DATOS'!D315&amp;"")&lt;&gt;"Por comprobar")),NOT(AND(LEN(TRIM('DATOS'!E315&amp;""))&gt;0,TRIM('DATOS'!E315&amp;"")&lt;&gt;"Pendiente",TRIM('DATOS'!E315&amp;"")&lt;&gt;"Por confirmar",TRIM('DATOS'!E315&amp;"")&lt;&gt;"No consta",TRIM('DATOS'!E315&amp;"")&lt;&gt;"Desconocido",TRIM('DATOS'!E315&amp;"")&lt;&gt;"Sin confirmar",TRIM('DATOS'!E315&amp;"")&lt;&gt;"Por decidir",TRIM('DATOS'!E315&amp;"")&lt;&gt;"Por comprobar")),NOT(AND(LEN(TRIM('DATOS'!F315&amp;""))&gt;0,TRIM('DATOS'!F315&amp;"")&lt;&gt;"Pendiente",TRIM('DATOS'!F315&amp;"")&lt;&gt;"Por confirmar",TRIM('DATOS'!F315&amp;"")&lt;&gt;"No consta",TRIM('DATOS'!F315&amp;"")&lt;&gt;"Desconocido",TRIM('DATOS'!F315&amp;"")&lt;&gt;"Sin confirmar",TRIM('DATOS'!F315&amp;"")&lt;&gt;"Por decidir",TRIM('DATOS'!F315&amp;"")&lt;&gt;"Por comprobar")),NOT(AND(LEN(TRIM('DATOS'!N315&amp;""))&gt;0,TRIM('DATOS'!N315&amp;"")&lt;&gt;"Pendiente",TRIM('DATOS'!N315&amp;"")&lt;&gt;"Por confirmar",TRIM('DATOS'!N315&amp;"")&lt;&gt;"No consta",TRIM('DATOS'!N315&amp;"")&lt;&gt;"Desconocido",TRIM('DATOS'!N315&amp;"")&lt;&gt;"Sin confirmar",TRIM('DATOS'!N315&amp;"")&lt;&gt;"Por decidir",TRIM('DATOS'!N315&amp;"")&lt;&gt;"Por comprobar")),NOT(Y315=1),W315&lt;&gt;1,X315&gt;1,NOT(OR(LEN(TRIM('DATOS'!K315&amp;""))=0,'DATOS'!K315="Sin valorar",'DATOS'!K315="Sin coste documentado",'DATOS'!K315="Incluido en otra partida",'DATOS'!K315="Por confirmar")),NOT(OR(LEN(TRIM('DATOS'!M315&amp;""))=0,'DATOS'!M315="Sí",'DATOS'!M315="No",'DATOS'!M315="Por confirmar")),NOT(OR(LEN(TRIM('DATOS'!O315&amp;""))=0,'DATOS'!O315="Comparamos",'DATOS'!O315="No existe",'DATOS'!O315="Por confirmar"))),2,IF(AND(OR('DATOS'!G315&lt;0,'DATOS'!H315&lt;0,'DATOS'!J315&lt;0),NOT(AND(LEN(TRIM('DATOS'!L315&amp;""))&gt;0,TRIM('DATOS'!L315&amp;"")&lt;&gt;"Pendiente",TRIM('DATOS'!L315&amp;"")&lt;&gt;"Por confirmar",TRIM('DATOS'!L315&amp;"")&lt;&gt;"No consta",TRIM('DATOS'!L315&amp;"")&lt;&gt;"Desconocido",TRIM('DATOS'!L315&amp;"")&lt;&gt;"Sin confirmar",TRIM('DATOS'!L315&amp;"")&lt;&gt;"Por decidir",TRIM('DATOS'!L315&amp;"")&lt;&gt;"Por comprobar"))),1,0))),2)</f>
      </c>
      <c r="P315" s="29">
        <f>IFERROR(IF(N315=0,"",IF(NOT(Y315=1),1,IF('REFERENCIAS'!$Q$8&lt;&gt;1,2,IF(ABS('DATOS'!J315-ROUND('DATOS'!G315*'DATOS'!H315,'REFERENCIAS'!$K$8))&gt;0.00000001,2,IF('DATOS'!O315="No existe",IF(LEN(TRIM('DATOS'!I315&amp;""))=0,0,2),IF('DATOS'!O315="Comparamos",IF(LEN(TRIM('DATOS'!I315&amp;""))=0,1,IF(ISNUMBER('DATOS'!I315),IF(ABS('DATOS'!H315-'DATOS'!I315)&gt;0.00000001,2,0),2)),1)))))),2)</f>
      </c>
      <c r="Q315" s="29">
        <f>IFERROR(IF(N315=0,"",IF(NOT(Y315=1),1,IF('DATOS'!K315="Sin valorar",2,IF('DATOS'!G315=0,1,IF(OR('DATOS'!H315=0,'DATOS'!J315=0),IF(AND(OR('DATOS'!K315="Sin coste documentado",'DATOS'!K315="Incluido en otra partida"),AND(LEN(TRIM('DATOS'!L315&amp;""))&gt;0,TRIM('DATOS'!L315&amp;"")&lt;&gt;"Pendiente",TRIM('DATOS'!L315&amp;"")&lt;&gt;"Por confirmar",TRIM('DATOS'!L315&amp;"")&lt;&gt;"No consta",TRIM('DATOS'!L315&amp;"")&lt;&gt;"Desconocido",TRIM('DATOS'!L315&amp;"")&lt;&gt;"Sin confirmar",TRIM('DATOS'!L315&amp;"")&lt;&gt;"Por decidir",TRIM('DATOS'!L315&amp;"")&lt;&gt;"Por comprobar")),0,1),0))))),2)</f>
      </c>
      <c r="R315" s="29">
        <f>IFERROR(IF(N315=0,"",IF(OR(NOT(AND(LEN(TRIM('DATOS'!D315&amp;""))&gt;0,TRIM('DATOS'!D315&amp;"")&lt;&gt;"Pendiente",TRIM('DATOS'!D315&amp;"")&lt;&gt;"Por confirmar",TRIM('DATOS'!D315&amp;"")&lt;&gt;"No consta",TRIM('DATOS'!D315&amp;"")&lt;&gt;"Desconocido",TRIM('DATOS'!D315&amp;"")&lt;&gt;"Sin confirmar",TRIM('DATOS'!D315&amp;"")&lt;&gt;"Por decidir",TRIM('DATOS'!D315&amp;"")&lt;&gt;"Por comprobar")),NOT(AND(LEN(TRIM('DATOS'!E315&amp;""))&gt;0,TRIM('DATOS'!E315&amp;"")&lt;&gt;"Pendiente",TRIM('DATOS'!E315&amp;"")&lt;&gt;"Por confirmar",TRIM('DATOS'!E315&amp;"")&lt;&gt;"No consta",TRIM('DATOS'!E315&amp;"")&lt;&gt;"Desconocido",TRIM('DATOS'!E315&amp;"")&lt;&gt;"Sin confirmar",TRIM('DATOS'!E315&amp;"")&lt;&gt;"Por decidir",TRIM('DATOS'!E315&amp;"")&lt;&gt;"Por comprobar"))),2,IF('DATOS'!M315="No",2,IF('DATOS'!M315="Sí",0,IF(OR('DATOS'!D315&lt;&gt;'DATOS'!E315,LEN('DATOS'!E315)&gt;300,RIGHT(TRIM('DATOS'!E315),3)="...",RIGHT(TRIM('DATOS'!E315),1)="…"),1,0))))),2)</f>
      </c>
      <c r="S315" s="29">
        <f>IFERROR(IF(N315=0,"",IF('REFERENCIAS'!$Q$8&lt;&gt;1,2,IF(NOT(Y315=1),1,IF(OR(ABS('DATOS'!G315-ROUND('DATOS'!G315,'REFERENCIAS'!$E$8))&gt;0.00000001,ABS('DATOS'!H315-ROUND('DATOS'!H315,'REFERENCIAS'!$H$8))&gt;0.00000001,ABS('DATOS'!J315-ROUND('DATOS'!J315,'REFERENCIAS'!$K$8))&gt;0.00000001,IF(ISNUMBER('DATOS'!I315),ABS('DATOS'!I315-ROUND('DATOS'!I315,'REFERENCIAS'!$H$8))&gt;0.00000001,FALSE)),1,0)))),2)</f>
      </c>
      <c r="T315" s="29">
        <f>IFERROR(IF(N315=0,"",IF(NOT(AND(LEN(TRIM('DATOS'!F315&amp;""))&gt;0,TRIM('DATOS'!F315&amp;"")&lt;&gt;"Pendiente",TRIM('DATOS'!F315&amp;"")&lt;&gt;"Por confirmar",TRIM('DATOS'!F315&amp;"")&lt;&gt;"No consta",TRIM('DATOS'!F315&amp;"")&lt;&gt;"Desconocido",TRIM('DATOS'!F315&amp;"")&lt;&gt;"Sin confirmar",TRIM('DATOS'!F315&amp;"")&lt;&gt;"Por decidir",TRIM('DATOS'!F315&amp;"")&lt;&gt;"Por comprobar")),2,IF(COUNTIFS('REFERENCIAS'!$T$15:$T$34,"ID:"&amp;SUBSTITUTE(SUBSTITUTE(SUBSTITUTE(SUBSTITUTE(UPPER(TRIM('DATOS'!F315&amp;"")),"!","!E"),"*","!A"),"?","!B"),"~","!C"),'REFERENCIAS'!$H$15:$H$34,"&lt;&gt;")&gt;0,0,1))),2)</f>
      </c>
      <c r="U315" s="29" t="str">
        <f>'DATOS'!R315</f>
        <v>ID:</v>
      </c>
      <c r="V315" s="29" t="str">
        <f>'DATOS'!S315</f>
        <v>ID:</v>
      </c>
      <c r="W315" s="29" t="n">
        <f>IF(N315=0,0,COUNTIFS('REFERENCIAS'!$R$15:$R$64,U315))</f>
        <v>0</v>
      </c>
      <c r="X315" s="29" t="n">
        <f>IF(N315=0,0,COUNTIFS('DATOS'!$R$10:$R$509,U315,'DATOS'!$S$10:$S$509,V315))</f>
        <v>0</v>
      </c>
      <c r="Y315" s="29" t="n">
        <f>IF(AND(ISNUMBER('DATOS'!G315),ISNUMBER('DATOS'!H315),ISNUMBER('DATOS'!J315)),1,0)</f>
        <v>0</v>
      </c>
    </row>
    <row r="316" ht="64" customHeight="1">
      <c r="B316" s="26">
        <f>IF(N316=1,307,"")</f>
      </c>
      <c r="C316" s="26">
        <f>IF(AND(N316=1,LEN(TRIM('DATOS'!B316&amp;""))&gt;0),'DATOS'!B316,"")</f>
      </c>
      <c r="D316" s="26">
        <f>IF(AND(N316=1,LEN(TRIM('DATOS'!C316&amp;""))&gt;0),'DATOS'!C316,"")</f>
      </c>
      <c r="E316" s="26">
        <f>IF(NOT(ISNUMBER(P316)),"",IF(P316=2,"ROJO",IF(P316=1,"ÁMBAR","VERDE")))</f>
      </c>
      <c r="F316" s="26">
        <f>IF(NOT(ISNUMBER(Q316)),"",IF(Q316=2,"ROJO",IF(Q316=1,"ÁMBAR","VERDE")))</f>
      </c>
      <c r="G316" s="26">
        <f>IF(NOT(ISNUMBER(R316)),"",IF(R316=2,"ROJO",IF(R316=1,"ÁMBAR","VERDE")))</f>
      </c>
      <c r="H316" s="26">
        <f>IF(NOT(ISNUMBER(S316)),"",IF(S316=2,"ROJO",IF(S316=1,"ÁMBAR","VERDE")))</f>
      </c>
      <c r="I316" s="26">
        <f>IF(NOT(ISNUMBER(T316)),"",IF(T316=2,"ROJO",IF(T316=1,"ÁMBAR","VERDE")))</f>
      </c>
      <c r="J316" s="26">
        <f>IF(NOT(ISNUMBER(O316)),"",IF(O316=2,"ROJO",IF(O316=1,"ÁMBAR","VERDE")))</f>
      </c>
      <c r="K316" s="26">
        <f>IFERROR(IF(AND(N316=1,LEN(TRIM('DATOS'!N316&amp;""))&gt;0),'DATOS'!N316,""),"Hay una entrada con error. Corregimos el dato antes de cerrar la comprobación.")</f>
      </c>
      <c r="L316" s="26">
        <f>IFERROR(IF(N316=0,"",IF(O316&gt;0,"Completamos datos, claves o motivo. ","")&amp;IF(P316&gt;0,"Cotejamos precios e importe. ","")&amp;IF(Q316&gt;0,"Aclaramos el cero. ","")&amp;IF(R316&gt;0,"Comprobamos el texto. ","")&amp;IF(S316&gt;0,"Revisamos decimales visibles. ","")&amp;IF(T316&gt;0,"Confirmamos la unidad.","")),"Hay una entrada con error. Corregimos el dato antes de cerrar la comprobación.")</f>
      </c>
      <c r="N316" s="29" t="n">
        <f>IF(COUNTA('DATOS'!B316:O316)&gt;0,1,0)</f>
        <v>0</v>
      </c>
      <c r="O316" s="29">
        <f>IFERROR(IF(N316=0,"",IF(OR(NOT(AND(LEN(TRIM('DATOS'!B316&amp;""))&gt;0,TRIM('DATOS'!B316&amp;"")&lt;&gt;"Pendiente",TRIM('DATOS'!B316&amp;"")&lt;&gt;"Por confirmar",TRIM('DATOS'!B316&amp;"")&lt;&gt;"No consta",TRIM('DATOS'!B316&amp;"")&lt;&gt;"Desconocido",TRIM('DATOS'!B316&amp;"")&lt;&gt;"Sin confirmar",TRIM('DATOS'!B316&amp;"")&lt;&gt;"Por decidir",TRIM('DATOS'!B316&amp;"")&lt;&gt;"Por comprobar")),NOT(AND(LEN(TRIM('DATOS'!C316&amp;""))&gt;0,TRIM('DATOS'!C316&amp;"")&lt;&gt;"Pendiente",TRIM('DATOS'!C316&amp;"")&lt;&gt;"Por confirmar",TRIM('DATOS'!C316&amp;"")&lt;&gt;"No consta",TRIM('DATOS'!C316&amp;"")&lt;&gt;"Desconocido",TRIM('DATOS'!C316&amp;"")&lt;&gt;"Sin confirmar",TRIM('DATOS'!C316&amp;"")&lt;&gt;"Por decidir",TRIM('DATOS'!C316&amp;"")&lt;&gt;"Por comprobar")),NOT(AND(LEN(TRIM('DATOS'!D316&amp;""))&gt;0,TRIM('DATOS'!D316&amp;"")&lt;&gt;"Pendiente",TRIM('DATOS'!D316&amp;"")&lt;&gt;"Por confirmar",TRIM('DATOS'!D316&amp;"")&lt;&gt;"No consta",TRIM('DATOS'!D316&amp;"")&lt;&gt;"Desconocido",TRIM('DATOS'!D316&amp;"")&lt;&gt;"Sin confirmar",TRIM('DATOS'!D316&amp;"")&lt;&gt;"Por decidir",TRIM('DATOS'!D316&amp;"")&lt;&gt;"Por comprobar")),NOT(AND(LEN(TRIM('DATOS'!E316&amp;""))&gt;0,TRIM('DATOS'!E316&amp;"")&lt;&gt;"Pendiente",TRIM('DATOS'!E316&amp;"")&lt;&gt;"Por confirmar",TRIM('DATOS'!E316&amp;"")&lt;&gt;"No consta",TRIM('DATOS'!E316&amp;"")&lt;&gt;"Desconocido",TRIM('DATOS'!E316&amp;"")&lt;&gt;"Sin confirmar",TRIM('DATOS'!E316&amp;"")&lt;&gt;"Por decidir",TRIM('DATOS'!E316&amp;"")&lt;&gt;"Por comprobar")),NOT(AND(LEN(TRIM('DATOS'!F316&amp;""))&gt;0,TRIM('DATOS'!F316&amp;"")&lt;&gt;"Pendiente",TRIM('DATOS'!F316&amp;"")&lt;&gt;"Por confirmar",TRIM('DATOS'!F316&amp;"")&lt;&gt;"No consta",TRIM('DATOS'!F316&amp;"")&lt;&gt;"Desconocido",TRIM('DATOS'!F316&amp;"")&lt;&gt;"Sin confirmar",TRIM('DATOS'!F316&amp;"")&lt;&gt;"Por decidir",TRIM('DATOS'!F316&amp;"")&lt;&gt;"Por comprobar")),NOT(AND(LEN(TRIM('DATOS'!N316&amp;""))&gt;0,TRIM('DATOS'!N316&amp;"")&lt;&gt;"Pendiente",TRIM('DATOS'!N316&amp;"")&lt;&gt;"Por confirmar",TRIM('DATOS'!N316&amp;"")&lt;&gt;"No consta",TRIM('DATOS'!N316&amp;"")&lt;&gt;"Desconocido",TRIM('DATOS'!N316&amp;"")&lt;&gt;"Sin confirmar",TRIM('DATOS'!N316&amp;"")&lt;&gt;"Por decidir",TRIM('DATOS'!N316&amp;"")&lt;&gt;"Por comprobar")),NOT(Y316=1),W316&lt;&gt;1,X316&gt;1,NOT(OR(LEN(TRIM('DATOS'!K316&amp;""))=0,'DATOS'!K316="Sin valorar",'DATOS'!K316="Sin coste documentado",'DATOS'!K316="Incluido en otra partida",'DATOS'!K316="Por confirmar")),NOT(OR(LEN(TRIM('DATOS'!M316&amp;""))=0,'DATOS'!M316="Sí",'DATOS'!M316="No",'DATOS'!M316="Por confirmar")),NOT(OR(LEN(TRIM('DATOS'!O316&amp;""))=0,'DATOS'!O316="Comparamos",'DATOS'!O316="No existe",'DATOS'!O316="Por confirmar"))),2,IF(AND(OR('DATOS'!G316&lt;0,'DATOS'!H316&lt;0,'DATOS'!J316&lt;0),NOT(AND(LEN(TRIM('DATOS'!L316&amp;""))&gt;0,TRIM('DATOS'!L316&amp;"")&lt;&gt;"Pendiente",TRIM('DATOS'!L316&amp;"")&lt;&gt;"Por confirmar",TRIM('DATOS'!L316&amp;"")&lt;&gt;"No consta",TRIM('DATOS'!L316&amp;"")&lt;&gt;"Desconocido",TRIM('DATOS'!L316&amp;"")&lt;&gt;"Sin confirmar",TRIM('DATOS'!L316&amp;"")&lt;&gt;"Por decidir",TRIM('DATOS'!L316&amp;"")&lt;&gt;"Por comprobar"))),1,0))),2)</f>
      </c>
      <c r="P316" s="29">
        <f>IFERROR(IF(N316=0,"",IF(NOT(Y316=1),1,IF('REFERENCIAS'!$Q$8&lt;&gt;1,2,IF(ABS('DATOS'!J316-ROUND('DATOS'!G316*'DATOS'!H316,'REFERENCIAS'!$K$8))&gt;0.00000001,2,IF('DATOS'!O316="No existe",IF(LEN(TRIM('DATOS'!I316&amp;""))=0,0,2),IF('DATOS'!O316="Comparamos",IF(LEN(TRIM('DATOS'!I316&amp;""))=0,1,IF(ISNUMBER('DATOS'!I316),IF(ABS('DATOS'!H316-'DATOS'!I316)&gt;0.00000001,2,0),2)),1)))))),2)</f>
      </c>
      <c r="Q316" s="29">
        <f>IFERROR(IF(N316=0,"",IF(NOT(Y316=1),1,IF('DATOS'!K316="Sin valorar",2,IF('DATOS'!G316=0,1,IF(OR('DATOS'!H316=0,'DATOS'!J316=0),IF(AND(OR('DATOS'!K316="Sin coste documentado",'DATOS'!K316="Incluido en otra partida"),AND(LEN(TRIM('DATOS'!L316&amp;""))&gt;0,TRIM('DATOS'!L316&amp;"")&lt;&gt;"Pendiente",TRIM('DATOS'!L316&amp;"")&lt;&gt;"Por confirmar",TRIM('DATOS'!L316&amp;"")&lt;&gt;"No consta",TRIM('DATOS'!L316&amp;"")&lt;&gt;"Desconocido",TRIM('DATOS'!L316&amp;"")&lt;&gt;"Sin confirmar",TRIM('DATOS'!L316&amp;"")&lt;&gt;"Por decidir",TRIM('DATOS'!L316&amp;"")&lt;&gt;"Por comprobar")),0,1),0))))),2)</f>
      </c>
      <c r="R316" s="29">
        <f>IFERROR(IF(N316=0,"",IF(OR(NOT(AND(LEN(TRIM('DATOS'!D316&amp;""))&gt;0,TRIM('DATOS'!D316&amp;"")&lt;&gt;"Pendiente",TRIM('DATOS'!D316&amp;"")&lt;&gt;"Por confirmar",TRIM('DATOS'!D316&amp;"")&lt;&gt;"No consta",TRIM('DATOS'!D316&amp;"")&lt;&gt;"Desconocido",TRIM('DATOS'!D316&amp;"")&lt;&gt;"Sin confirmar",TRIM('DATOS'!D316&amp;"")&lt;&gt;"Por decidir",TRIM('DATOS'!D316&amp;"")&lt;&gt;"Por comprobar")),NOT(AND(LEN(TRIM('DATOS'!E316&amp;""))&gt;0,TRIM('DATOS'!E316&amp;"")&lt;&gt;"Pendiente",TRIM('DATOS'!E316&amp;"")&lt;&gt;"Por confirmar",TRIM('DATOS'!E316&amp;"")&lt;&gt;"No consta",TRIM('DATOS'!E316&amp;"")&lt;&gt;"Desconocido",TRIM('DATOS'!E316&amp;"")&lt;&gt;"Sin confirmar",TRIM('DATOS'!E316&amp;"")&lt;&gt;"Por decidir",TRIM('DATOS'!E316&amp;"")&lt;&gt;"Por comprobar"))),2,IF('DATOS'!M316="No",2,IF('DATOS'!M316="Sí",0,IF(OR('DATOS'!D316&lt;&gt;'DATOS'!E316,LEN('DATOS'!E316)&gt;300,RIGHT(TRIM('DATOS'!E316),3)="...",RIGHT(TRIM('DATOS'!E316),1)="…"),1,0))))),2)</f>
      </c>
      <c r="S316" s="29">
        <f>IFERROR(IF(N316=0,"",IF('REFERENCIAS'!$Q$8&lt;&gt;1,2,IF(NOT(Y316=1),1,IF(OR(ABS('DATOS'!G316-ROUND('DATOS'!G316,'REFERENCIAS'!$E$8))&gt;0.00000001,ABS('DATOS'!H316-ROUND('DATOS'!H316,'REFERENCIAS'!$H$8))&gt;0.00000001,ABS('DATOS'!J316-ROUND('DATOS'!J316,'REFERENCIAS'!$K$8))&gt;0.00000001,IF(ISNUMBER('DATOS'!I316),ABS('DATOS'!I316-ROUND('DATOS'!I316,'REFERENCIAS'!$H$8))&gt;0.00000001,FALSE)),1,0)))),2)</f>
      </c>
      <c r="T316" s="29">
        <f>IFERROR(IF(N316=0,"",IF(NOT(AND(LEN(TRIM('DATOS'!F316&amp;""))&gt;0,TRIM('DATOS'!F316&amp;"")&lt;&gt;"Pendiente",TRIM('DATOS'!F316&amp;"")&lt;&gt;"Por confirmar",TRIM('DATOS'!F316&amp;"")&lt;&gt;"No consta",TRIM('DATOS'!F316&amp;"")&lt;&gt;"Desconocido",TRIM('DATOS'!F316&amp;"")&lt;&gt;"Sin confirmar",TRIM('DATOS'!F316&amp;"")&lt;&gt;"Por decidir",TRIM('DATOS'!F316&amp;"")&lt;&gt;"Por comprobar")),2,IF(COUNTIFS('REFERENCIAS'!$T$15:$T$34,"ID:"&amp;SUBSTITUTE(SUBSTITUTE(SUBSTITUTE(SUBSTITUTE(UPPER(TRIM('DATOS'!F316&amp;"")),"!","!E"),"*","!A"),"?","!B"),"~","!C"),'REFERENCIAS'!$H$15:$H$34,"&lt;&gt;")&gt;0,0,1))),2)</f>
      </c>
      <c r="U316" s="29" t="str">
        <f>'DATOS'!R316</f>
        <v>ID:</v>
      </c>
      <c r="V316" s="29" t="str">
        <f>'DATOS'!S316</f>
        <v>ID:</v>
      </c>
      <c r="W316" s="29" t="n">
        <f>IF(N316=0,0,COUNTIFS('REFERENCIAS'!$R$15:$R$64,U316))</f>
        <v>0</v>
      </c>
      <c r="X316" s="29" t="n">
        <f>IF(N316=0,0,COUNTIFS('DATOS'!$R$10:$R$509,U316,'DATOS'!$S$10:$S$509,V316))</f>
        <v>0</v>
      </c>
      <c r="Y316" s="29" t="n">
        <f>IF(AND(ISNUMBER('DATOS'!G316),ISNUMBER('DATOS'!H316),ISNUMBER('DATOS'!J316)),1,0)</f>
        <v>0</v>
      </c>
    </row>
    <row r="317" ht="64" customHeight="1">
      <c r="B317" s="26">
        <f>IF(N317=1,308,"")</f>
      </c>
      <c r="C317" s="26">
        <f>IF(AND(N317=1,LEN(TRIM('DATOS'!B317&amp;""))&gt;0),'DATOS'!B317,"")</f>
      </c>
      <c r="D317" s="26">
        <f>IF(AND(N317=1,LEN(TRIM('DATOS'!C317&amp;""))&gt;0),'DATOS'!C317,"")</f>
      </c>
      <c r="E317" s="26">
        <f>IF(NOT(ISNUMBER(P317)),"",IF(P317=2,"ROJO",IF(P317=1,"ÁMBAR","VERDE")))</f>
      </c>
      <c r="F317" s="26">
        <f>IF(NOT(ISNUMBER(Q317)),"",IF(Q317=2,"ROJO",IF(Q317=1,"ÁMBAR","VERDE")))</f>
      </c>
      <c r="G317" s="26">
        <f>IF(NOT(ISNUMBER(R317)),"",IF(R317=2,"ROJO",IF(R317=1,"ÁMBAR","VERDE")))</f>
      </c>
      <c r="H317" s="26">
        <f>IF(NOT(ISNUMBER(S317)),"",IF(S317=2,"ROJO",IF(S317=1,"ÁMBAR","VERDE")))</f>
      </c>
      <c r="I317" s="26">
        <f>IF(NOT(ISNUMBER(T317)),"",IF(T317=2,"ROJO",IF(T317=1,"ÁMBAR","VERDE")))</f>
      </c>
      <c r="J317" s="26">
        <f>IF(NOT(ISNUMBER(O317)),"",IF(O317=2,"ROJO",IF(O317=1,"ÁMBAR","VERDE")))</f>
      </c>
      <c r="K317" s="26">
        <f>IFERROR(IF(AND(N317=1,LEN(TRIM('DATOS'!N317&amp;""))&gt;0),'DATOS'!N317,""),"Hay una entrada con error. Corregimos el dato antes de cerrar la comprobación.")</f>
      </c>
      <c r="L317" s="26">
        <f>IFERROR(IF(N317=0,"",IF(O317&gt;0,"Completamos datos, claves o motivo. ","")&amp;IF(P317&gt;0,"Cotejamos precios e importe. ","")&amp;IF(Q317&gt;0,"Aclaramos el cero. ","")&amp;IF(R317&gt;0,"Comprobamos el texto. ","")&amp;IF(S317&gt;0,"Revisamos decimales visibles. ","")&amp;IF(T317&gt;0,"Confirmamos la unidad.","")),"Hay una entrada con error. Corregimos el dato antes de cerrar la comprobación.")</f>
      </c>
      <c r="N317" s="29" t="n">
        <f>IF(COUNTA('DATOS'!B317:O317)&gt;0,1,0)</f>
        <v>0</v>
      </c>
      <c r="O317" s="29">
        <f>IFERROR(IF(N317=0,"",IF(OR(NOT(AND(LEN(TRIM('DATOS'!B317&amp;""))&gt;0,TRIM('DATOS'!B317&amp;"")&lt;&gt;"Pendiente",TRIM('DATOS'!B317&amp;"")&lt;&gt;"Por confirmar",TRIM('DATOS'!B317&amp;"")&lt;&gt;"No consta",TRIM('DATOS'!B317&amp;"")&lt;&gt;"Desconocido",TRIM('DATOS'!B317&amp;"")&lt;&gt;"Sin confirmar",TRIM('DATOS'!B317&amp;"")&lt;&gt;"Por decidir",TRIM('DATOS'!B317&amp;"")&lt;&gt;"Por comprobar")),NOT(AND(LEN(TRIM('DATOS'!C317&amp;""))&gt;0,TRIM('DATOS'!C317&amp;"")&lt;&gt;"Pendiente",TRIM('DATOS'!C317&amp;"")&lt;&gt;"Por confirmar",TRIM('DATOS'!C317&amp;"")&lt;&gt;"No consta",TRIM('DATOS'!C317&amp;"")&lt;&gt;"Desconocido",TRIM('DATOS'!C317&amp;"")&lt;&gt;"Sin confirmar",TRIM('DATOS'!C317&amp;"")&lt;&gt;"Por decidir",TRIM('DATOS'!C317&amp;"")&lt;&gt;"Por comprobar")),NOT(AND(LEN(TRIM('DATOS'!D317&amp;""))&gt;0,TRIM('DATOS'!D317&amp;"")&lt;&gt;"Pendiente",TRIM('DATOS'!D317&amp;"")&lt;&gt;"Por confirmar",TRIM('DATOS'!D317&amp;"")&lt;&gt;"No consta",TRIM('DATOS'!D317&amp;"")&lt;&gt;"Desconocido",TRIM('DATOS'!D317&amp;"")&lt;&gt;"Sin confirmar",TRIM('DATOS'!D317&amp;"")&lt;&gt;"Por decidir",TRIM('DATOS'!D317&amp;"")&lt;&gt;"Por comprobar")),NOT(AND(LEN(TRIM('DATOS'!E317&amp;""))&gt;0,TRIM('DATOS'!E317&amp;"")&lt;&gt;"Pendiente",TRIM('DATOS'!E317&amp;"")&lt;&gt;"Por confirmar",TRIM('DATOS'!E317&amp;"")&lt;&gt;"No consta",TRIM('DATOS'!E317&amp;"")&lt;&gt;"Desconocido",TRIM('DATOS'!E317&amp;"")&lt;&gt;"Sin confirmar",TRIM('DATOS'!E317&amp;"")&lt;&gt;"Por decidir",TRIM('DATOS'!E317&amp;"")&lt;&gt;"Por comprobar")),NOT(AND(LEN(TRIM('DATOS'!F317&amp;""))&gt;0,TRIM('DATOS'!F317&amp;"")&lt;&gt;"Pendiente",TRIM('DATOS'!F317&amp;"")&lt;&gt;"Por confirmar",TRIM('DATOS'!F317&amp;"")&lt;&gt;"No consta",TRIM('DATOS'!F317&amp;"")&lt;&gt;"Desconocido",TRIM('DATOS'!F317&amp;"")&lt;&gt;"Sin confirmar",TRIM('DATOS'!F317&amp;"")&lt;&gt;"Por decidir",TRIM('DATOS'!F317&amp;"")&lt;&gt;"Por comprobar")),NOT(AND(LEN(TRIM('DATOS'!N317&amp;""))&gt;0,TRIM('DATOS'!N317&amp;"")&lt;&gt;"Pendiente",TRIM('DATOS'!N317&amp;"")&lt;&gt;"Por confirmar",TRIM('DATOS'!N317&amp;"")&lt;&gt;"No consta",TRIM('DATOS'!N317&amp;"")&lt;&gt;"Desconocido",TRIM('DATOS'!N317&amp;"")&lt;&gt;"Sin confirmar",TRIM('DATOS'!N317&amp;"")&lt;&gt;"Por decidir",TRIM('DATOS'!N317&amp;"")&lt;&gt;"Por comprobar")),NOT(Y317=1),W317&lt;&gt;1,X317&gt;1,NOT(OR(LEN(TRIM('DATOS'!K317&amp;""))=0,'DATOS'!K317="Sin valorar",'DATOS'!K317="Sin coste documentado",'DATOS'!K317="Incluido en otra partida",'DATOS'!K317="Por confirmar")),NOT(OR(LEN(TRIM('DATOS'!M317&amp;""))=0,'DATOS'!M317="Sí",'DATOS'!M317="No",'DATOS'!M317="Por confirmar")),NOT(OR(LEN(TRIM('DATOS'!O317&amp;""))=0,'DATOS'!O317="Comparamos",'DATOS'!O317="No existe",'DATOS'!O317="Por confirmar"))),2,IF(AND(OR('DATOS'!G317&lt;0,'DATOS'!H317&lt;0,'DATOS'!J317&lt;0),NOT(AND(LEN(TRIM('DATOS'!L317&amp;""))&gt;0,TRIM('DATOS'!L317&amp;"")&lt;&gt;"Pendiente",TRIM('DATOS'!L317&amp;"")&lt;&gt;"Por confirmar",TRIM('DATOS'!L317&amp;"")&lt;&gt;"No consta",TRIM('DATOS'!L317&amp;"")&lt;&gt;"Desconocido",TRIM('DATOS'!L317&amp;"")&lt;&gt;"Sin confirmar",TRIM('DATOS'!L317&amp;"")&lt;&gt;"Por decidir",TRIM('DATOS'!L317&amp;"")&lt;&gt;"Por comprobar"))),1,0))),2)</f>
      </c>
      <c r="P317" s="29">
        <f>IFERROR(IF(N317=0,"",IF(NOT(Y317=1),1,IF('REFERENCIAS'!$Q$8&lt;&gt;1,2,IF(ABS('DATOS'!J317-ROUND('DATOS'!G317*'DATOS'!H317,'REFERENCIAS'!$K$8))&gt;0.00000001,2,IF('DATOS'!O317="No existe",IF(LEN(TRIM('DATOS'!I317&amp;""))=0,0,2),IF('DATOS'!O317="Comparamos",IF(LEN(TRIM('DATOS'!I317&amp;""))=0,1,IF(ISNUMBER('DATOS'!I317),IF(ABS('DATOS'!H317-'DATOS'!I317)&gt;0.00000001,2,0),2)),1)))))),2)</f>
      </c>
      <c r="Q317" s="29">
        <f>IFERROR(IF(N317=0,"",IF(NOT(Y317=1),1,IF('DATOS'!K317="Sin valorar",2,IF('DATOS'!G317=0,1,IF(OR('DATOS'!H317=0,'DATOS'!J317=0),IF(AND(OR('DATOS'!K317="Sin coste documentado",'DATOS'!K317="Incluido en otra partida"),AND(LEN(TRIM('DATOS'!L317&amp;""))&gt;0,TRIM('DATOS'!L317&amp;"")&lt;&gt;"Pendiente",TRIM('DATOS'!L317&amp;"")&lt;&gt;"Por confirmar",TRIM('DATOS'!L317&amp;"")&lt;&gt;"No consta",TRIM('DATOS'!L317&amp;"")&lt;&gt;"Desconocido",TRIM('DATOS'!L317&amp;"")&lt;&gt;"Sin confirmar",TRIM('DATOS'!L317&amp;"")&lt;&gt;"Por decidir",TRIM('DATOS'!L317&amp;"")&lt;&gt;"Por comprobar")),0,1),0))))),2)</f>
      </c>
      <c r="R317" s="29">
        <f>IFERROR(IF(N317=0,"",IF(OR(NOT(AND(LEN(TRIM('DATOS'!D317&amp;""))&gt;0,TRIM('DATOS'!D317&amp;"")&lt;&gt;"Pendiente",TRIM('DATOS'!D317&amp;"")&lt;&gt;"Por confirmar",TRIM('DATOS'!D317&amp;"")&lt;&gt;"No consta",TRIM('DATOS'!D317&amp;"")&lt;&gt;"Desconocido",TRIM('DATOS'!D317&amp;"")&lt;&gt;"Sin confirmar",TRIM('DATOS'!D317&amp;"")&lt;&gt;"Por decidir",TRIM('DATOS'!D317&amp;"")&lt;&gt;"Por comprobar")),NOT(AND(LEN(TRIM('DATOS'!E317&amp;""))&gt;0,TRIM('DATOS'!E317&amp;"")&lt;&gt;"Pendiente",TRIM('DATOS'!E317&amp;"")&lt;&gt;"Por confirmar",TRIM('DATOS'!E317&amp;"")&lt;&gt;"No consta",TRIM('DATOS'!E317&amp;"")&lt;&gt;"Desconocido",TRIM('DATOS'!E317&amp;"")&lt;&gt;"Sin confirmar",TRIM('DATOS'!E317&amp;"")&lt;&gt;"Por decidir",TRIM('DATOS'!E317&amp;"")&lt;&gt;"Por comprobar"))),2,IF('DATOS'!M317="No",2,IF('DATOS'!M317="Sí",0,IF(OR('DATOS'!D317&lt;&gt;'DATOS'!E317,LEN('DATOS'!E317)&gt;300,RIGHT(TRIM('DATOS'!E317),3)="...",RIGHT(TRIM('DATOS'!E317),1)="…"),1,0))))),2)</f>
      </c>
      <c r="S317" s="29">
        <f>IFERROR(IF(N317=0,"",IF('REFERENCIAS'!$Q$8&lt;&gt;1,2,IF(NOT(Y317=1),1,IF(OR(ABS('DATOS'!G317-ROUND('DATOS'!G317,'REFERENCIAS'!$E$8))&gt;0.00000001,ABS('DATOS'!H317-ROUND('DATOS'!H317,'REFERENCIAS'!$H$8))&gt;0.00000001,ABS('DATOS'!J317-ROUND('DATOS'!J317,'REFERENCIAS'!$K$8))&gt;0.00000001,IF(ISNUMBER('DATOS'!I317),ABS('DATOS'!I317-ROUND('DATOS'!I317,'REFERENCIAS'!$H$8))&gt;0.00000001,FALSE)),1,0)))),2)</f>
      </c>
      <c r="T317" s="29">
        <f>IFERROR(IF(N317=0,"",IF(NOT(AND(LEN(TRIM('DATOS'!F317&amp;""))&gt;0,TRIM('DATOS'!F317&amp;"")&lt;&gt;"Pendiente",TRIM('DATOS'!F317&amp;"")&lt;&gt;"Por confirmar",TRIM('DATOS'!F317&amp;"")&lt;&gt;"No consta",TRIM('DATOS'!F317&amp;"")&lt;&gt;"Desconocido",TRIM('DATOS'!F317&amp;"")&lt;&gt;"Sin confirmar",TRIM('DATOS'!F317&amp;"")&lt;&gt;"Por decidir",TRIM('DATOS'!F317&amp;"")&lt;&gt;"Por comprobar")),2,IF(COUNTIFS('REFERENCIAS'!$T$15:$T$34,"ID:"&amp;SUBSTITUTE(SUBSTITUTE(SUBSTITUTE(SUBSTITUTE(UPPER(TRIM('DATOS'!F317&amp;"")),"!","!E"),"*","!A"),"?","!B"),"~","!C"),'REFERENCIAS'!$H$15:$H$34,"&lt;&gt;")&gt;0,0,1))),2)</f>
      </c>
      <c r="U317" s="29" t="str">
        <f>'DATOS'!R317</f>
        <v>ID:</v>
      </c>
      <c r="V317" s="29" t="str">
        <f>'DATOS'!S317</f>
        <v>ID:</v>
      </c>
      <c r="W317" s="29" t="n">
        <f>IF(N317=0,0,COUNTIFS('REFERENCIAS'!$R$15:$R$64,U317))</f>
        <v>0</v>
      </c>
      <c r="X317" s="29" t="n">
        <f>IF(N317=0,0,COUNTIFS('DATOS'!$R$10:$R$509,U317,'DATOS'!$S$10:$S$509,V317))</f>
        <v>0</v>
      </c>
      <c r="Y317" s="29" t="n">
        <f>IF(AND(ISNUMBER('DATOS'!G317),ISNUMBER('DATOS'!H317),ISNUMBER('DATOS'!J317)),1,0)</f>
        <v>0</v>
      </c>
    </row>
    <row r="318" ht="64" customHeight="1">
      <c r="B318" s="26">
        <f>IF(N318=1,309,"")</f>
      </c>
      <c r="C318" s="26">
        <f>IF(AND(N318=1,LEN(TRIM('DATOS'!B318&amp;""))&gt;0),'DATOS'!B318,"")</f>
      </c>
      <c r="D318" s="26">
        <f>IF(AND(N318=1,LEN(TRIM('DATOS'!C318&amp;""))&gt;0),'DATOS'!C318,"")</f>
      </c>
      <c r="E318" s="26">
        <f>IF(NOT(ISNUMBER(P318)),"",IF(P318=2,"ROJO",IF(P318=1,"ÁMBAR","VERDE")))</f>
      </c>
      <c r="F318" s="26">
        <f>IF(NOT(ISNUMBER(Q318)),"",IF(Q318=2,"ROJO",IF(Q318=1,"ÁMBAR","VERDE")))</f>
      </c>
      <c r="G318" s="26">
        <f>IF(NOT(ISNUMBER(R318)),"",IF(R318=2,"ROJO",IF(R318=1,"ÁMBAR","VERDE")))</f>
      </c>
      <c r="H318" s="26">
        <f>IF(NOT(ISNUMBER(S318)),"",IF(S318=2,"ROJO",IF(S318=1,"ÁMBAR","VERDE")))</f>
      </c>
      <c r="I318" s="26">
        <f>IF(NOT(ISNUMBER(T318)),"",IF(T318=2,"ROJO",IF(T318=1,"ÁMBAR","VERDE")))</f>
      </c>
      <c r="J318" s="26">
        <f>IF(NOT(ISNUMBER(O318)),"",IF(O318=2,"ROJO",IF(O318=1,"ÁMBAR","VERDE")))</f>
      </c>
      <c r="K318" s="26">
        <f>IFERROR(IF(AND(N318=1,LEN(TRIM('DATOS'!N318&amp;""))&gt;0),'DATOS'!N318,""),"Hay una entrada con error. Corregimos el dato antes de cerrar la comprobación.")</f>
      </c>
      <c r="L318" s="26">
        <f>IFERROR(IF(N318=0,"",IF(O318&gt;0,"Completamos datos, claves o motivo. ","")&amp;IF(P318&gt;0,"Cotejamos precios e importe. ","")&amp;IF(Q318&gt;0,"Aclaramos el cero. ","")&amp;IF(R318&gt;0,"Comprobamos el texto. ","")&amp;IF(S318&gt;0,"Revisamos decimales visibles. ","")&amp;IF(T318&gt;0,"Confirmamos la unidad.","")),"Hay una entrada con error. Corregimos el dato antes de cerrar la comprobación.")</f>
      </c>
      <c r="N318" s="29" t="n">
        <f>IF(COUNTA('DATOS'!B318:O318)&gt;0,1,0)</f>
        <v>0</v>
      </c>
      <c r="O318" s="29">
        <f>IFERROR(IF(N318=0,"",IF(OR(NOT(AND(LEN(TRIM('DATOS'!B318&amp;""))&gt;0,TRIM('DATOS'!B318&amp;"")&lt;&gt;"Pendiente",TRIM('DATOS'!B318&amp;"")&lt;&gt;"Por confirmar",TRIM('DATOS'!B318&amp;"")&lt;&gt;"No consta",TRIM('DATOS'!B318&amp;"")&lt;&gt;"Desconocido",TRIM('DATOS'!B318&amp;"")&lt;&gt;"Sin confirmar",TRIM('DATOS'!B318&amp;"")&lt;&gt;"Por decidir",TRIM('DATOS'!B318&amp;"")&lt;&gt;"Por comprobar")),NOT(AND(LEN(TRIM('DATOS'!C318&amp;""))&gt;0,TRIM('DATOS'!C318&amp;"")&lt;&gt;"Pendiente",TRIM('DATOS'!C318&amp;"")&lt;&gt;"Por confirmar",TRIM('DATOS'!C318&amp;"")&lt;&gt;"No consta",TRIM('DATOS'!C318&amp;"")&lt;&gt;"Desconocido",TRIM('DATOS'!C318&amp;"")&lt;&gt;"Sin confirmar",TRIM('DATOS'!C318&amp;"")&lt;&gt;"Por decidir",TRIM('DATOS'!C318&amp;"")&lt;&gt;"Por comprobar")),NOT(AND(LEN(TRIM('DATOS'!D318&amp;""))&gt;0,TRIM('DATOS'!D318&amp;"")&lt;&gt;"Pendiente",TRIM('DATOS'!D318&amp;"")&lt;&gt;"Por confirmar",TRIM('DATOS'!D318&amp;"")&lt;&gt;"No consta",TRIM('DATOS'!D318&amp;"")&lt;&gt;"Desconocido",TRIM('DATOS'!D318&amp;"")&lt;&gt;"Sin confirmar",TRIM('DATOS'!D318&amp;"")&lt;&gt;"Por decidir",TRIM('DATOS'!D318&amp;"")&lt;&gt;"Por comprobar")),NOT(AND(LEN(TRIM('DATOS'!E318&amp;""))&gt;0,TRIM('DATOS'!E318&amp;"")&lt;&gt;"Pendiente",TRIM('DATOS'!E318&amp;"")&lt;&gt;"Por confirmar",TRIM('DATOS'!E318&amp;"")&lt;&gt;"No consta",TRIM('DATOS'!E318&amp;"")&lt;&gt;"Desconocido",TRIM('DATOS'!E318&amp;"")&lt;&gt;"Sin confirmar",TRIM('DATOS'!E318&amp;"")&lt;&gt;"Por decidir",TRIM('DATOS'!E318&amp;"")&lt;&gt;"Por comprobar")),NOT(AND(LEN(TRIM('DATOS'!F318&amp;""))&gt;0,TRIM('DATOS'!F318&amp;"")&lt;&gt;"Pendiente",TRIM('DATOS'!F318&amp;"")&lt;&gt;"Por confirmar",TRIM('DATOS'!F318&amp;"")&lt;&gt;"No consta",TRIM('DATOS'!F318&amp;"")&lt;&gt;"Desconocido",TRIM('DATOS'!F318&amp;"")&lt;&gt;"Sin confirmar",TRIM('DATOS'!F318&amp;"")&lt;&gt;"Por decidir",TRIM('DATOS'!F318&amp;"")&lt;&gt;"Por comprobar")),NOT(AND(LEN(TRIM('DATOS'!N318&amp;""))&gt;0,TRIM('DATOS'!N318&amp;"")&lt;&gt;"Pendiente",TRIM('DATOS'!N318&amp;"")&lt;&gt;"Por confirmar",TRIM('DATOS'!N318&amp;"")&lt;&gt;"No consta",TRIM('DATOS'!N318&amp;"")&lt;&gt;"Desconocido",TRIM('DATOS'!N318&amp;"")&lt;&gt;"Sin confirmar",TRIM('DATOS'!N318&amp;"")&lt;&gt;"Por decidir",TRIM('DATOS'!N318&amp;"")&lt;&gt;"Por comprobar")),NOT(Y318=1),W318&lt;&gt;1,X318&gt;1,NOT(OR(LEN(TRIM('DATOS'!K318&amp;""))=0,'DATOS'!K318="Sin valorar",'DATOS'!K318="Sin coste documentado",'DATOS'!K318="Incluido en otra partida",'DATOS'!K318="Por confirmar")),NOT(OR(LEN(TRIM('DATOS'!M318&amp;""))=0,'DATOS'!M318="Sí",'DATOS'!M318="No",'DATOS'!M318="Por confirmar")),NOT(OR(LEN(TRIM('DATOS'!O318&amp;""))=0,'DATOS'!O318="Comparamos",'DATOS'!O318="No existe",'DATOS'!O318="Por confirmar"))),2,IF(AND(OR('DATOS'!G318&lt;0,'DATOS'!H318&lt;0,'DATOS'!J318&lt;0),NOT(AND(LEN(TRIM('DATOS'!L318&amp;""))&gt;0,TRIM('DATOS'!L318&amp;"")&lt;&gt;"Pendiente",TRIM('DATOS'!L318&amp;"")&lt;&gt;"Por confirmar",TRIM('DATOS'!L318&amp;"")&lt;&gt;"No consta",TRIM('DATOS'!L318&amp;"")&lt;&gt;"Desconocido",TRIM('DATOS'!L318&amp;"")&lt;&gt;"Sin confirmar",TRIM('DATOS'!L318&amp;"")&lt;&gt;"Por decidir",TRIM('DATOS'!L318&amp;"")&lt;&gt;"Por comprobar"))),1,0))),2)</f>
      </c>
      <c r="P318" s="29">
        <f>IFERROR(IF(N318=0,"",IF(NOT(Y318=1),1,IF('REFERENCIAS'!$Q$8&lt;&gt;1,2,IF(ABS('DATOS'!J318-ROUND('DATOS'!G318*'DATOS'!H318,'REFERENCIAS'!$K$8))&gt;0.00000001,2,IF('DATOS'!O318="No existe",IF(LEN(TRIM('DATOS'!I318&amp;""))=0,0,2),IF('DATOS'!O318="Comparamos",IF(LEN(TRIM('DATOS'!I318&amp;""))=0,1,IF(ISNUMBER('DATOS'!I318),IF(ABS('DATOS'!H318-'DATOS'!I318)&gt;0.00000001,2,0),2)),1)))))),2)</f>
      </c>
      <c r="Q318" s="29">
        <f>IFERROR(IF(N318=0,"",IF(NOT(Y318=1),1,IF('DATOS'!K318="Sin valorar",2,IF('DATOS'!G318=0,1,IF(OR('DATOS'!H318=0,'DATOS'!J318=0),IF(AND(OR('DATOS'!K318="Sin coste documentado",'DATOS'!K318="Incluido en otra partida"),AND(LEN(TRIM('DATOS'!L318&amp;""))&gt;0,TRIM('DATOS'!L318&amp;"")&lt;&gt;"Pendiente",TRIM('DATOS'!L318&amp;"")&lt;&gt;"Por confirmar",TRIM('DATOS'!L318&amp;"")&lt;&gt;"No consta",TRIM('DATOS'!L318&amp;"")&lt;&gt;"Desconocido",TRIM('DATOS'!L318&amp;"")&lt;&gt;"Sin confirmar",TRIM('DATOS'!L318&amp;"")&lt;&gt;"Por decidir",TRIM('DATOS'!L318&amp;"")&lt;&gt;"Por comprobar")),0,1),0))))),2)</f>
      </c>
      <c r="R318" s="29">
        <f>IFERROR(IF(N318=0,"",IF(OR(NOT(AND(LEN(TRIM('DATOS'!D318&amp;""))&gt;0,TRIM('DATOS'!D318&amp;"")&lt;&gt;"Pendiente",TRIM('DATOS'!D318&amp;"")&lt;&gt;"Por confirmar",TRIM('DATOS'!D318&amp;"")&lt;&gt;"No consta",TRIM('DATOS'!D318&amp;"")&lt;&gt;"Desconocido",TRIM('DATOS'!D318&amp;"")&lt;&gt;"Sin confirmar",TRIM('DATOS'!D318&amp;"")&lt;&gt;"Por decidir",TRIM('DATOS'!D318&amp;"")&lt;&gt;"Por comprobar")),NOT(AND(LEN(TRIM('DATOS'!E318&amp;""))&gt;0,TRIM('DATOS'!E318&amp;"")&lt;&gt;"Pendiente",TRIM('DATOS'!E318&amp;"")&lt;&gt;"Por confirmar",TRIM('DATOS'!E318&amp;"")&lt;&gt;"No consta",TRIM('DATOS'!E318&amp;"")&lt;&gt;"Desconocido",TRIM('DATOS'!E318&amp;"")&lt;&gt;"Sin confirmar",TRIM('DATOS'!E318&amp;"")&lt;&gt;"Por decidir",TRIM('DATOS'!E318&amp;"")&lt;&gt;"Por comprobar"))),2,IF('DATOS'!M318="No",2,IF('DATOS'!M318="Sí",0,IF(OR('DATOS'!D318&lt;&gt;'DATOS'!E318,LEN('DATOS'!E318)&gt;300,RIGHT(TRIM('DATOS'!E318),3)="...",RIGHT(TRIM('DATOS'!E318),1)="…"),1,0))))),2)</f>
      </c>
      <c r="S318" s="29">
        <f>IFERROR(IF(N318=0,"",IF('REFERENCIAS'!$Q$8&lt;&gt;1,2,IF(NOT(Y318=1),1,IF(OR(ABS('DATOS'!G318-ROUND('DATOS'!G318,'REFERENCIAS'!$E$8))&gt;0.00000001,ABS('DATOS'!H318-ROUND('DATOS'!H318,'REFERENCIAS'!$H$8))&gt;0.00000001,ABS('DATOS'!J318-ROUND('DATOS'!J318,'REFERENCIAS'!$K$8))&gt;0.00000001,IF(ISNUMBER('DATOS'!I318),ABS('DATOS'!I318-ROUND('DATOS'!I318,'REFERENCIAS'!$H$8))&gt;0.00000001,FALSE)),1,0)))),2)</f>
      </c>
      <c r="T318" s="29">
        <f>IFERROR(IF(N318=0,"",IF(NOT(AND(LEN(TRIM('DATOS'!F318&amp;""))&gt;0,TRIM('DATOS'!F318&amp;"")&lt;&gt;"Pendiente",TRIM('DATOS'!F318&amp;"")&lt;&gt;"Por confirmar",TRIM('DATOS'!F318&amp;"")&lt;&gt;"No consta",TRIM('DATOS'!F318&amp;"")&lt;&gt;"Desconocido",TRIM('DATOS'!F318&amp;"")&lt;&gt;"Sin confirmar",TRIM('DATOS'!F318&amp;"")&lt;&gt;"Por decidir",TRIM('DATOS'!F318&amp;"")&lt;&gt;"Por comprobar")),2,IF(COUNTIFS('REFERENCIAS'!$T$15:$T$34,"ID:"&amp;SUBSTITUTE(SUBSTITUTE(SUBSTITUTE(SUBSTITUTE(UPPER(TRIM('DATOS'!F318&amp;"")),"!","!E"),"*","!A"),"?","!B"),"~","!C"),'REFERENCIAS'!$H$15:$H$34,"&lt;&gt;")&gt;0,0,1))),2)</f>
      </c>
      <c r="U318" s="29" t="str">
        <f>'DATOS'!R318</f>
        <v>ID:</v>
      </c>
      <c r="V318" s="29" t="str">
        <f>'DATOS'!S318</f>
        <v>ID:</v>
      </c>
      <c r="W318" s="29" t="n">
        <f>IF(N318=0,0,COUNTIFS('REFERENCIAS'!$R$15:$R$64,U318))</f>
        <v>0</v>
      </c>
      <c r="X318" s="29" t="n">
        <f>IF(N318=0,0,COUNTIFS('DATOS'!$R$10:$R$509,U318,'DATOS'!$S$10:$S$509,V318))</f>
        <v>0</v>
      </c>
      <c r="Y318" s="29" t="n">
        <f>IF(AND(ISNUMBER('DATOS'!G318),ISNUMBER('DATOS'!H318),ISNUMBER('DATOS'!J318)),1,0)</f>
        <v>0</v>
      </c>
    </row>
    <row r="319" ht="64" customHeight="1">
      <c r="B319" s="26">
        <f>IF(N319=1,310,"")</f>
      </c>
      <c r="C319" s="26">
        <f>IF(AND(N319=1,LEN(TRIM('DATOS'!B319&amp;""))&gt;0),'DATOS'!B319,"")</f>
      </c>
      <c r="D319" s="26">
        <f>IF(AND(N319=1,LEN(TRIM('DATOS'!C319&amp;""))&gt;0),'DATOS'!C319,"")</f>
      </c>
      <c r="E319" s="26">
        <f>IF(NOT(ISNUMBER(P319)),"",IF(P319=2,"ROJO",IF(P319=1,"ÁMBAR","VERDE")))</f>
      </c>
      <c r="F319" s="26">
        <f>IF(NOT(ISNUMBER(Q319)),"",IF(Q319=2,"ROJO",IF(Q319=1,"ÁMBAR","VERDE")))</f>
      </c>
      <c r="G319" s="26">
        <f>IF(NOT(ISNUMBER(R319)),"",IF(R319=2,"ROJO",IF(R319=1,"ÁMBAR","VERDE")))</f>
      </c>
      <c r="H319" s="26">
        <f>IF(NOT(ISNUMBER(S319)),"",IF(S319=2,"ROJO",IF(S319=1,"ÁMBAR","VERDE")))</f>
      </c>
      <c r="I319" s="26">
        <f>IF(NOT(ISNUMBER(T319)),"",IF(T319=2,"ROJO",IF(T319=1,"ÁMBAR","VERDE")))</f>
      </c>
      <c r="J319" s="26">
        <f>IF(NOT(ISNUMBER(O319)),"",IF(O319=2,"ROJO",IF(O319=1,"ÁMBAR","VERDE")))</f>
      </c>
      <c r="K319" s="26">
        <f>IFERROR(IF(AND(N319=1,LEN(TRIM('DATOS'!N319&amp;""))&gt;0),'DATOS'!N319,""),"Hay una entrada con error. Corregimos el dato antes de cerrar la comprobación.")</f>
      </c>
      <c r="L319" s="26">
        <f>IFERROR(IF(N319=0,"",IF(O319&gt;0,"Completamos datos, claves o motivo. ","")&amp;IF(P319&gt;0,"Cotejamos precios e importe. ","")&amp;IF(Q319&gt;0,"Aclaramos el cero. ","")&amp;IF(R319&gt;0,"Comprobamos el texto. ","")&amp;IF(S319&gt;0,"Revisamos decimales visibles. ","")&amp;IF(T319&gt;0,"Confirmamos la unidad.","")),"Hay una entrada con error. Corregimos el dato antes de cerrar la comprobación.")</f>
      </c>
      <c r="N319" s="29" t="n">
        <f>IF(COUNTA('DATOS'!B319:O319)&gt;0,1,0)</f>
        <v>0</v>
      </c>
      <c r="O319" s="29">
        <f>IFERROR(IF(N319=0,"",IF(OR(NOT(AND(LEN(TRIM('DATOS'!B319&amp;""))&gt;0,TRIM('DATOS'!B319&amp;"")&lt;&gt;"Pendiente",TRIM('DATOS'!B319&amp;"")&lt;&gt;"Por confirmar",TRIM('DATOS'!B319&amp;"")&lt;&gt;"No consta",TRIM('DATOS'!B319&amp;"")&lt;&gt;"Desconocido",TRIM('DATOS'!B319&amp;"")&lt;&gt;"Sin confirmar",TRIM('DATOS'!B319&amp;"")&lt;&gt;"Por decidir",TRIM('DATOS'!B319&amp;"")&lt;&gt;"Por comprobar")),NOT(AND(LEN(TRIM('DATOS'!C319&amp;""))&gt;0,TRIM('DATOS'!C319&amp;"")&lt;&gt;"Pendiente",TRIM('DATOS'!C319&amp;"")&lt;&gt;"Por confirmar",TRIM('DATOS'!C319&amp;"")&lt;&gt;"No consta",TRIM('DATOS'!C319&amp;"")&lt;&gt;"Desconocido",TRIM('DATOS'!C319&amp;"")&lt;&gt;"Sin confirmar",TRIM('DATOS'!C319&amp;"")&lt;&gt;"Por decidir",TRIM('DATOS'!C319&amp;"")&lt;&gt;"Por comprobar")),NOT(AND(LEN(TRIM('DATOS'!D319&amp;""))&gt;0,TRIM('DATOS'!D319&amp;"")&lt;&gt;"Pendiente",TRIM('DATOS'!D319&amp;"")&lt;&gt;"Por confirmar",TRIM('DATOS'!D319&amp;"")&lt;&gt;"No consta",TRIM('DATOS'!D319&amp;"")&lt;&gt;"Desconocido",TRIM('DATOS'!D319&amp;"")&lt;&gt;"Sin confirmar",TRIM('DATOS'!D319&amp;"")&lt;&gt;"Por decidir",TRIM('DATOS'!D319&amp;"")&lt;&gt;"Por comprobar")),NOT(AND(LEN(TRIM('DATOS'!E319&amp;""))&gt;0,TRIM('DATOS'!E319&amp;"")&lt;&gt;"Pendiente",TRIM('DATOS'!E319&amp;"")&lt;&gt;"Por confirmar",TRIM('DATOS'!E319&amp;"")&lt;&gt;"No consta",TRIM('DATOS'!E319&amp;"")&lt;&gt;"Desconocido",TRIM('DATOS'!E319&amp;"")&lt;&gt;"Sin confirmar",TRIM('DATOS'!E319&amp;"")&lt;&gt;"Por decidir",TRIM('DATOS'!E319&amp;"")&lt;&gt;"Por comprobar")),NOT(AND(LEN(TRIM('DATOS'!F319&amp;""))&gt;0,TRIM('DATOS'!F319&amp;"")&lt;&gt;"Pendiente",TRIM('DATOS'!F319&amp;"")&lt;&gt;"Por confirmar",TRIM('DATOS'!F319&amp;"")&lt;&gt;"No consta",TRIM('DATOS'!F319&amp;"")&lt;&gt;"Desconocido",TRIM('DATOS'!F319&amp;"")&lt;&gt;"Sin confirmar",TRIM('DATOS'!F319&amp;"")&lt;&gt;"Por decidir",TRIM('DATOS'!F319&amp;"")&lt;&gt;"Por comprobar")),NOT(AND(LEN(TRIM('DATOS'!N319&amp;""))&gt;0,TRIM('DATOS'!N319&amp;"")&lt;&gt;"Pendiente",TRIM('DATOS'!N319&amp;"")&lt;&gt;"Por confirmar",TRIM('DATOS'!N319&amp;"")&lt;&gt;"No consta",TRIM('DATOS'!N319&amp;"")&lt;&gt;"Desconocido",TRIM('DATOS'!N319&amp;"")&lt;&gt;"Sin confirmar",TRIM('DATOS'!N319&amp;"")&lt;&gt;"Por decidir",TRIM('DATOS'!N319&amp;"")&lt;&gt;"Por comprobar")),NOT(Y319=1),W319&lt;&gt;1,X319&gt;1,NOT(OR(LEN(TRIM('DATOS'!K319&amp;""))=0,'DATOS'!K319="Sin valorar",'DATOS'!K319="Sin coste documentado",'DATOS'!K319="Incluido en otra partida",'DATOS'!K319="Por confirmar")),NOT(OR(LEN(TRIM('DATOS'!M319&amp;""))=0,'DATOS'!M319="Sí",'DATOS'!M319="No",'DATOS'!M319="Por confirmar")),NOT(OR(LEN(TRIM('DATOS'!O319&amp;""))=0,'DATOS'!O319="Comparamos",'DATOS'!O319="No existe",'DATOS'!O319="Por confirmar"))),2,IF(AND(OR('DATOS'!G319&lt;0,'DATOS'!H319&lt;0,'DATOS'!J319&lt;0),NOT(AND(LEN(TRIM('DATOS'!L319&amp;""))&gt;0,TRIM('DATOS'!L319&amp;"")&lt;&gt;"Pendiente",TRIM('DATOS'!L319&amp;"")&lt;&gt;"Por confirmar",TRIM('DATOS'!L319&amp;"")&lt;&gt;"No consta",TRIM('DATOS'!L319&amp;"")&lt;&gt;"Desconocido",TRIM('DATOS'!L319&amp;"")&lt;&gt;"Sin confirmar",TRIM('DATOS'!L319&amp;"")&lt;&gt;"Por decidir",TRIM('DATOS'!L319&amp;"")&lt;&gt;"Por comprobar"))),1,0))),2)</f>
      </c>
      <c r="P319" s="29">
        <f>IFERROR(IF(N319=0,"",IF(NOT(Y319=1),1,IF('REFERENCIAS'!$Q$8&lt;&gt;1,2,IF(ABS('DATOS'!J319-ROUND('DATOS'!G319*'DATOS'!H319,'REFERENCIAS'!$K$8))&gt;0.00000001,2,IF('DATOS'!O319="No existe",IF(LEN(TRIM('DATOS'!I319&amp;""))=0,0,2),IF('DATOS'!O319="Comparamos",IF(LEN(TRIM('DATOS'!I319&amp;""))=0,1,IF(ISNUMBER('DATOS'!I319),IF(ABS('DATOS'!H319-'DATOS'!I319)&gt;0.00000001,2,0),2)),1)))))),2)</f>
      </c>
      <c r="Q319" s="29">
        <f>IFERROR(IF(N319=0,"",IF(NOT(Y319=1),1,IF('DATOS'!K319="Sin valorar",2,IF('DATOS'!G319=0,1,IF(OR('DATOS'!H319=0,'DATOS'!J319=0),IF(AND(OR('DATOS'!K319="Sin coste documentado",'DATOS'!K319="Incluido en otra partida"),AND(LEN(TRIM('DATOS'!L319&amp;""))&gt;0,TRIM('DATOS'!L319&amp;"")&lt;&gt;"Pendiente",TRIM('DATOS'!L319&amp;"")&lt;&gt;"Por confirmar",TRIM('DATOS'!L319&amp;"")&lt;&gt;"No consta",TRIM('DATOS'!L319&amp;"")&lt;&gt;"Desconocido",TRIM('DATOS'!L319&amp;"")&lt;&gt;"Sin confirmar",TRIM('DATOS'!L319&amp;"")&lt;&gt;"Por decidir",TRIM('DATOS'!L319&amp;"")&lt;&gt;"Por comprobar")),0,1),0))))),2)</f>
      </c>
      <c r="R319" s="29">
        <f>IFERROR(IF(N319=0,"",IF(OR(NOT(AND(LEN(TRIM('DATOS'!D319&amp;""))&gt;0,TRIM('DATOS'!D319&amp;"")&lt;&gt;"Pendiente",TRIM('DATOS'!D319&amp;"")&lt;&gt;"Por confirmar",TRIM('DATOS'!D319&amp;"")&lt;&gt;"No consta",TRIM('DATOS'!D319&amp;"")&lt;&gt;"Desconocido",TRIM('DATOS'!D319&amp;"")&lt;&gt;"Sin confirmar",TRIM('DATOS'!D319&amp;"")&lt;&gt;"Por decidir",TRIM('DATOS'!D319&amp;"")&lt;&gt;"Por comprobar")),NOT(AND(LEN(TRIM('DATOS'!E319&amp;""))&gt;0,TRIM('DATOS'!E319&amp;"")&lt;&gt;"Pendiente",TRIM('DATOS'!E319&amp;"")&lt;&gt;"Por confirmar",TRIM('DATOS'!E319&amp;"")&lt;&gt;"No consta",TRIM('DATOS'!E319&amp;"")&lt;&gt;"Desconocido",TRIM('DATOS'!E319&amp;"")&lt;&gt;"Sin confirmar",TRIM('DATOS'!E319&amp;"")&lt;&gt;"Por decidir",TRIM('DATOS'!E319&amp;"")&lt;&gt;"Por comprobar"))),2,IF('DATOS'!M319="No",2,IF('DATOS'!M319="Sí",0,IF(OR('DATOS'!D319&lt;&gt;'DATOS'!E319,LEN('DATOS'!E319)&gt;300,RIGHT(TRIM('DATOS'!E319),3)="...",RIGHT(TRIM('DATOS'!E319),1)="…"),1,0))))),2)</f>
      </c>
      <c r="S319" s="29">
        <f>IFERROR(IF(N319=0,"",IF('REFERENCIAS'!$Q$8&lt;&gt;1,2,IF(NOT(Y319=1),1,IF(OR(ABS('DATOS'!G319-ROUND('DATOS'!G319,'REFERENCIAS'!$E$8))&gt;0.00000001,ABS('DATOS'!H319-ROUND('DATOS'!H319,'REFERENCIAS'!$H$8))&gt;0.00000001,ABS('DATOS'!J319-ROUND('DATOS'!J319,'REFERENCIAS'!$K$8))&gt;0.00000001,IF(ISNUMBER('DATOS'!I319),ABS('DATOS'!I319-ROUND('DATOS'!I319,'REFERENCIAS'!$H$8))&gt;0.00000001,FALSE)),1,0)))),2)</f>
      </c>
      <c r="T319" s="29">
        <f>IFERROR(IF(N319=0,"",IF(NOT(AND(LEN(TRIM('DATOS'!F319&amp;""))&gt;0,TRIM('DATOS'!F319&amp;"")&lt;&gt;"Pendiente",TRIM('DATOS'!F319&amp;"")&lt;&gt;"Por confirmar",TRIM('DATOS'!F319&amp;"")&lt;&gt;"No consta",TRIM('DATOS'!F319&amp;"")&lt;&gt;"Desconocido",TRIM('DATOS'!F319&amp;"")&lt;&gt;"Sin confirmar",TRIM('DATOS'!F319&amp;"")&lt;&gt;"Por decidir",TRIM('DATOS'!F319&amp;"")&lt;&gt;"Por comprobar")),2,IF(COUNTIFS('REFERENCIAS'!$T$15:$T$34,"ID:"&amp;SUBSTITUTE(SUBSTITUTE(SUBSTITUTE(SUBSTITUTE(UPPER(TRIM('DATOS'!F319&amp;"")),"!","!E"),"*","!A"),"?","!B"),"~","!C"),'REFERENCIAS'!$H$15:$H$34,"&lt;&gt;")&gt;0,0,1))),2)</f>
      </c>
      <c r="U319" s="29" t="str">
        <f>'DATOS'!R319</f>
        <v>ID:</v>
      </c>
      <c r="V319" s="29" t="str">
        <f>'DATOS'!S319</f>
        <v>ID:</v>
      </c>
      <c r="W319" s="29" t="n">
        <f>IF(N319=0,0,COUNTIFS('REFERENCIAS'!$R$15:$R$64,U319))</f>
        <v>0</v>
      </c>
      <c r="X319" s="29" t="n">
        <f>IF(N319=0,0,COUNTIFS('DATOS'!$R$10:$R$509,U319,'DATOS'!$S$10:$S$509,V319))</f>
        <v>0</v>
      </c>
      <c r="Y319" s="29" t="n">
        <f>IF(AND(ISNUMBER('DATOS'!G319),ISNUMBER('DATOS'!H319),ISNUMBER('DATOS'!J319)),1,0)</f>
        <v>0</v>
      </c>
    </row>
    <row r="320" ht="64" customHeight="1">
      <c r="B320" s="26">
        <f>IF(N320=1,311,"")</f>
      </c>
      <c r="C320" s="26">
        <f>IF(AND(N320=1,LEN(TRIM('DATOS'!B320&amp;""))&gt;0),'DATOS'!B320,"")</f>
      </c>
      <c r="D320" s="26">
        <f>IF(AND(N320=1,LEN(TRIM('DATOS'!C320&amp;""))&gt;0),'DATOS'!C320,"")</f>
      </c>
      <c r="E320" s="26">
        <f>IF(NOT(ISNUMBER(P320)),"",IF(P320=2,"ROJO",IF(P320=1,"ÁMBAR","VERDE")))</f>
      </c>
      <c r="F320" s="26">
        <f>IF(NOT(ISNUMBER(Q320)),"",IF(Q320=2,"ROJO",IF(Q320=1,"ÁMBAR","VERDE")))</f>
      </c>
      <c r="G320" s="26">
        <f>IF(NOT(ISNUMBER(R320)),"",IF(R320=2,"ROJO",IF(R320=1,"ÁMBAR","VERDE")))</f>
      </c>
      <c r="H320" s="26">
        <f>IF(NOT(ISNUMBER(S320)),"",IF(S320=2,"ROJO",IF(S320=1,"ÁMBAR","VERDE")))</f>
      </c>
      <c r="I320" s="26">
        <f>IF(NOT(ISNUMBER(T320)),"",IF(T320=2,"ROJO",IF(T320=1,"ÁMBAR","VERDE")))</f>
      </c>
      <c r="J320" s="26">
        <f>IF(NOT(ISNUMBER(O320)),"",IF(O320=2,"ROJO",IF(O320=1,"ÁMBAR","VERDE")))</f>
      </c>
      <c r="K320" s="26">
        <f>IFERROR(IF(AND(N320=1,LEN(TRIM('DATOS'!N320&amp;""))&gt;0),'DATOS'!N320,""),"Hay una entrada con error. Corregimos el dato antes de cerrar la comprobación.")</f>
      </c>
      <c r="L320" s="26">
        <f>IFERROR(IF(N320=0,"",IF(O320&gt;0,"Completamos datos, claves o motivo. ","")&amp;IF(P320&gt;0,"Cotejamos precios e importe. ","")&amp;IF(Q320&gt;0,"Aclaramos el cero. ","")&amp;IF(R320&gt;0,"Comprobamos el texto. ","")&amp;IF(S320&gt;0,"Revisamos decimales visibles. ","")&amp;IF(T320&gt;0,"Confirmamos la unidad.","")),"Hay una entrada con error. Corregimos el dato antes de cerrar la comprobación.")</f>
      </c>
      <c r="N320" s="29" t="n">
        <f>IF(COUNTA('DATOS'!B320:O320)&gt;0,1,0)</f>
        <v>0</v>
      </c>
      <c r="O320" s="29">
        <f>IFERROR(IF(N320=0,"",IF(OR(NOT(AND(LEN(TRIM('DATOS'!B320&amp;""))&gt;0,TRIM('DATOS'!B320&amp;"")&lt;&gt;"Pendiente",TRIM('DATOS'!B320&amp;"")&lt;&gt;"Por confirmar",TRIM('DATOS'!B320&amp;"")&lt;&gt;"No consta",TRIM('DATOS'!B320&amp;"")&lt;&gt;"Desconocido",TRIM('DATOS'!B320&amp;"")&lt;&gt;"Sin confirmar",TRIM('DATOS'!B320&amp;"")&lt;&gt;"Por decidir",TRIM('DATOS'!B320&amp;"")&lt;&gt;"Por comprobar")),NOT(AND(LEN(TRIM('DATOS'!C320&amp;""))&gt;0,TRIM('DATOS'!C320&amp;"")&lt;&gt;"Pendiente",TRIM('DATOS'!C320&amp;"")&lt;&gt;"Por confirmar",TRIM('DATOS'!C320&amp;"")&lt;&gt;"No consta",TRIM('DATOS'!C320&amp;"")&lt;&gt;"Desconocido",TRIM('DATOS'!C320&amp;"")&lt;&gt;"Sin confirmar",TRIM('DATOS'!C320&amp;"")&lt;&gt;"Por decidir",TRIM('DATOS'!C320&amp;"")&lt;&gt;"Por comprobar")),NOT(AND(LEN(TRIM('DATOS'!D320&amp;""))&gt;0,TRIM('DATOS'!D320&amp;"")&lt;&gt;"Pendiente",TRIM('DATOS'!D320&amp;"")&lt;&gt;"Por confirmar",TRIM('DATOS'!D320&amp;"")&lt;&gt;"No consta",TRIM('DATOS'!D320&amp;"")&lt;&gt;"Desconocido",TRIM('DATOS'!D320&amp;"")&lt;&gt;"Sin confirmar",TRIM('DATOS'!D320&amp;"")&lt;&gt;"Por decidir",TRIM('DATOS'!D320&amp;"")&lt;&gt;"Por comprobar")),NOT(AND(LEN(TRIM('DATOS'!E320&amp;""))&gt;0,TRIM('DATOS'!E320&amp;"")&lt;&gt;"Pendiente",TRIM('DATOS'!E320&amp;"")&lt;&gt;"Por confirmar",TRIM('DATOS'!E320&amp;"")&lt;&gt;"No consta",TRIM('DATOS'!E320&amp;"")&lt;&gt;"Desconocido",TRIM('DATOS'!E320&amp;"")&lt;&gt;"Sin confirmar",TRIM('DATOS'!E320&amp;"")&lt;&gt;"Por decidir",TRIM('DATOS'!E320&amp;"")&lt;&gt;"Por comprobar")),NOT(AND(LEN(TRIM('DATOS'!F320&amp;""))&gt;0,TRIM('DATOS'!F320&amp;"")&lt;&gt;"Pendiente",TRIM('DATOS'!F320&amp;"")&lt;&gt;"Por confirmar",TRIM('DATOS'!F320&amp;"")&lt;&gt;"No consta",TRIM('DATOS'!F320&amp;"")&lt;&gt;"Desconocido",TRIM('DATOS'!F320&amp;"")&lt;&gt;"Sin confirmar",TRIM('DATOS'!F320&amp;"")&lt;&gt;"Por decidir",TRIM('DATOS'!F320&amp;"")&lt;&gt;"Por comprobar")),NOT(AND(LEN(TRIM('DATOS'!N320&amp;""))&gt;0,TRIM('DATOS'!N320&amp;"")&lt;&gt;"Pendiente",TRIM('DATOS'!N320&amp;"")&lt;&gt;"Por confirmar",TRIM('DATOS'!N320&amp;"")&lt;&gt;"No consta",TRIM('DATOS'!N320&amp;"")&lt;&gt;"Desconocido",TRIM('DATOS'!N320&amp;"")&lt;&gt;"Sin confirmar",TRIM('DATOS'!N320&amp;"")&lt;&gt;"Por decidir",TRIM('DATOS'!N320&amp;"")&lt;&gt;"Por comprobar")),NOT(Y320=1),W320&lt;&gt;1,X320&gt;1,NOT(OR(LEN(TRIM('DATOS'!K320&amp;""))=0,'DATOS'!K320="Sin valorar",'DATOS'!K320="Sin coste documentado",'DATOS'!K320="Incluido en otra partida",'DATOS'!K320="Por confirmar")),NOT(OR(LEN(TRIM('DATOS'!M320&amp;""))=0,'DATOS'!M320="Sí",'DATOS'!M320="No",'DATOS'!M320="Por confirmar")),NOT(OR(LEN(TRIM('DATOS'!O320&amp;""))=0,'DATOS'!O320="Comparamos",'DATOS'!O320="No existe",'DATOS'!O320="Por confirmar"))),2,IF(AND(OR('DATOS'!G320&lt;0,'DATOS'!H320&lt;0,'DATOS'!J320&lt;0),NOT(AND(LEN(TRIM('DATOS'!L320&amp;""))&gt;0,TRIM('DATOS'!L320&amp;"")&lt;&gt;"Pendiente",TRIM('DATOS'!L320&amp;"")&lt;&gt;"Por confirmar",TRIM('DATOS'!L320&amp;"")&lt;&gt;"No consta",TRIM('DATOS'!L320&amp;"")&lt;&gt;"Desconocido",TRIM('DATOS'!L320&amp;"")&lt;&gt;"Sin confirmar",TRIM('DATOS'!L320&amp;"")&lt;&gt;"Por decidir",TRIM('DATOS'!L320&amp;"")&lt;&gt;"Por comprobar"))),1,0))),2)</f>
      </c>
      <c r="P320" s="29">
        <f>IFERROR(IF(N320=0,"",IF(NOT(Y320=1),1,IF('REFERENCIAS'!$Q$8&lt;&gt;1,2,IF(ABS('DATOS'!J320-ROUND('DATOS'!G320*'DATOS'!H320,'REFERENCIAS'!$K$8))&gt;0.00000001,2,IF('DATOS'!O320="No existe",IF(LEN(TRIM('DATOS'!I320&amp;""))=0,0,2),IF('DATOS'!O320="Comparamos",IF(LEN(TRIM('DATOS'!I320&amp;""))=0,1,IF(ISNUMBER('DATOS'!I320),IF(ABS('DATOS'!H320-'DATOS'!I320)&gt;0.00000001,2,0),2)),1)))))),2)</f>
      </c>
      <c r="Q320" s="29">
        <f>IFERROR(IF(N320=0,"",IF(NOT(Y320=1),1,IF('DATOS'!K320="Sin valorar",2,IF('DATOS'!G320=0,1,IF(OR('DATOS'!H320=0,'DATOS'!J320=0),IF(AND(OR('DATOS'!K320="Sin coste documentado",'DATOS'!K320="Incluido en otra partida"),AND(LEN(TRIM('DATOS'!L320&amp;""))&gt;0,TRIM('DATOS'!L320&amp;"")&lt;&gt;"Pendiente",TRIM('DATOS'!L320&amp;"")&lt;&gt;"Por confirmar",TRIM('DATOS'!L320&amp;"")&lt;&gt;"No consta",TRIM('DATOS'!L320&amp;"")&lt;&gt;"Desconocido",TRIM('DATOS'!L320&amp;"")&lt;&gt;"Sin confirmar",TRIM('DATOS'!L320&amp;"")&lt;&gt;"Por decidir",TRIM('DATOS'!L320&amp;"")&lt;&gt;"Por comprobar")),0,1),0))))),2)</f>
      </c>
      <c r="R320" s="29">
        <f>IFERROR(IF(N320=0,"",IF(OR(NOT(AND(LEN(TRIM('DATOS'!D320&amp;""))&gt;0,TRIM('DATOS'!D320&amp;"")&lt;&gt;"Pendiente",TRIM('DATOS'!D320&amp;"")&lt;&gt;"Por confirmar",TRIM('DATOS'!D320&amp;"")&lt;&gt;"No consta",TRIM('DATOS'!D320&amp;"")&lt;&gt;"Desconocido",TRIM('DATOS'!D320&amp;"")&lt;&gt;"Sin confirmar",TRIM('DATOS'!D320&amp;"")&lt;&gt;"Por decidir",TRIM('DATOS'!D320&amp;"")&lt;&gt;"Por comprobar")),NOT(AND(LEN(TRIM('DATOS'!E320&amp;""))&gt;0,TRIM('DATOS'!E320&amp;"")&lt;&gt;"Pendiente",TRIM('DATOS'!E320&amp;"")&lt;&gt;"Por confirmar",TRIM('DATOS'!E320&amp;"")&lt;&gt;"No consta",TRIM('DATOS'!E320&amp;"")&lt;&gt;"Desconocido",TRIM('DATOS'!E320&amp;"")&lt;&gt;"Sin confirmar",TRIM('DATOS'!E320&amp;"")&lt;&gt;"Por decidir",TRIM('DATOS'!E320&amp;"")&lt;&gt;"Por comprobar"))),2,IF('DATOS'!M320="No",2,IF('DATOS'!M320="Sí",0,IF(OR('DATOS'!D320&lt;&gt;'DATOS'!E320,LEN('DATOS'!E320)&gt;300,RIGHT(TRIM('DATOS'!E320),3)="...",RIGHT(TRIM('DATOS'!E320),1)="…"),1,0))))),2)</f>
      </c>
      <c r="S320" s="29">
        <f>IFERROR(IF(N320=0,"",IF('REFERENCIAS'!$Q$8&lt;&gt;1,2,IF(NOT(Y320=1),1,IF(OR(ABS('DATOS'!G320-ROUND('DATOS'!G320,'REFERENCIAS'!$E$8))&gt;0.00000001,ABS('DATOS'!H320-ROUND('DATOS'!H320,'REFERENCIAS'!$H$8))&gt;0.00000001,ABS('DATOS'!J320-ROUND('DATOS'!J320,'REFERENCIAS'!$K$8))&gt;0.00000001,IF(ISNUMBER('DATOS'!I320),ABS('DATOS'!I320-ROUND('DATOS'!I320,'REFERENCIAS'!$H$8))&gt;0.00000001,FALSE)),1,0)))),2)</f>
      </c>
      <c r="T320" s="29">
        <f>IFERROR(IF(N320=0,"",IF(NOT(AND(LEN(TRIM('DATOS'!F320&amp;""))&gt;0,TRIM('DATOS'!F320&amp;"")&lt;&gt;"Pendiente",TRIM('DATOS'!F320&amp;"")&lt;&gt;"Por confirmar",TRIM('DATOS'!F320&amp;"")&lt;&gt;"No consta",TRIM('DATOS'!F320&amp;"")&lt;&gt;"Desconocido",TRIM('DATOS'!F320&amp;"")&lt;&gt;"Sin confirmar",TRIM('DATOS'!F320&amp;"")&lt;&gt;"Por decidir",TRIM('DATOS'!F320&amp;"")&lt;&gt;"Por comprobar")),2,IF(COUNTIFS('REFERENCIAS'!$T$15:$T$34,"ID:"&amp;SUBSTITUTE(SUBSTITUTE(SUBSTITUTE(SUBSTITUTE(UPPER(TRIM('DATOS'!F320&amp;"")),"!","!E"),"*","!A"),"?","!B"),"~","!C"),'REFERENCIAS'!$H$15:$H$34,"&lt;&gt;")&gt;0,0,1))),2)</f>
      </c>
      <c r="U320" s="29" t="str">
        <f>'DATOS'!R320</f>
        <v>ID:</v>
      </c>
      <c r="V320" s="29" t="str">
        <f>'DATOS'!S320</f>
        <v>ID:</v>
      </c>
      <c r="W320" s="29" t="n">
        <f>IF(N320=0,0,COUNTIFS('REFERENCIAS'!$R$15:$R$64,U320))</f>
        <v>0</v>
      </c>
      <c r="X320" s="29" t="n">
        <f>IF(N320=0,0,COUNTIFS('DATOS'!$R$10:$R$509,U320,'DATOS'!$S$10:$S$509,V320))</f>
        <v>0</v>
      </c>
      <c r="Y320" s="29" t="n">
        <f>IF(AND(ISNUMBER('DATOS'!G320),ISNUMBER('DATOS'!H320),ISNUMBER('DATOS'!J320)),1,0)</f>
        <v>0</v>
      </c>
    </row>
    <row r="321" ht="64" customHeight="1">
      <c r="B321" s="26">
        <f>IF(N321=1,312,"")</f>
      </c>
      <c r="C321" s="26">
        <f>IF(AND(N321=1,LEN(TRIM('DATOS'!B321&amp;""))&gt;0),'DATOS'!B321,"")</f>
      </c>
      <c r="D321" s="26">
        <f>IF(AND(N321=1,LEN(TRIM('DATOS'!C321&amp;""))&gt;0),'DATOS'!C321,"")</f>
      </c>
      <c r="E321" s="26">
        <f>IF(NOT(ISNUMBER(P321)),"",IF(P321=2,"ROJO",IF(P321=1,"ÁMBAR","VERDE")))</f>
      </c>
      <c r="F321" s="26">
        <f>IF(NOT(ISNUMBER(Q321)),"",IF(Q321=2,"ROJO",IF(Q321=1,"ÁMBAR","VERDE")))</f>
      </c>
      <c r="G321" s="26">
        <f>IF(NOT(ISNUMBER(R321)),"",IF(R321=2,"ROJO",IF(R321=1,"ÁMBAR","VERDE")))</f>
      </c>
      <c r="H321" s="26">
        <f>IF(NOT(ISNUMBER(S321)),"",IF(S321=2,"ROJO",IF(S321=1,"ÁMBAR","VERDE")))</f>
      </c>
      <c r="I321" s="26">
        <f>IF(NOT(ISNUMBER(T321)),"",IF(T321=2,"ROJO",IF(T321=1,"ÁMBAR","VERDE")))</f>
      </c>
      <c r="J321" s="26">
        <f>IF(NOT(ISNUMBER(O321)),"",IF(O321=2,"ROJO",IF(O321=1,"ÁMBAR","VERDE")))</f>
      </c>
      <c r="K321" s="26">
        <f>IFERROR(IF(AND(N321=1,LEN(TRIM('DATOS'!N321&amp;""))&gt;0),'DATOS'!N321,""),"Hay una entrada con error. Corregimos el dato antes de cerrar la comprobación.")</f>
      </c>
      <c r="L321" s="26">
        <f>IFERROR(IF(N321=0,"",IF(O321&gt;0,"Completamos datos, claves o motivo. ","")&amp;IF(P321&gt;0,"Cotejamos precios e importe. ","")&amp;IF(Q321&gt;0,"Aclaramos el cero. ","")&amp;IF(R321&gt;0,"Comprobamos el texto. ","")&amp;IF(S321&gt;0,"Revisamos decimales visibles. ","")&amp;IF(T321&gt;0,"Confirmamos la unidad.","")),"Hay una entrada con error. Corregimos el dato antes de cerrar la comprobación.")</f>
      </c>
      <c r="N321" s="29" t="n">
        <f>IF(COUNTA('DATOS'!B321:O321)&gt;0,1,0)</f>
        <v>0</v>
      </c>
      <c r="O321" s="29">
        <f>IFERROR(IF(N321=0,"",IF(OR(NOT(AND(LEN(TRIM('DATOS'!B321&amp;""))&gt;0,TRIM('DATOS'!B321&amp;"")&lt;&gt;"Pendiente",TRIM('DATOS'!B321&amp;"")&lt;&gt;"Por confirmar",TRIM('DATOS'!B321&amp;"")&lt;&gt;"No consta",TRIM('DATOS'!B321&amp;"")&lt;&gt;"Desconocido",TRIM('DATOS'!B321&amp;"")&lt;&gt;"Sin confirmar",TRIM('DATOS'!B321&amp;"")&lt;&gt;"Por decidir",TRIM('DATOS'!B321&amp;"")&lt;&gt;"Por comprobar")),NOT(AND(LEN(TRIM('DATOS'!C321&amp;""))&gt;0,TRIM('DATOS'!C321&amp;"")&lt;&gt;"Pendiente",TRIM('DATOS'!C321&amp;"")&lt;&gt;"Por confirmar",TRIM('DATOS'!C321&amp;"")&lt;&gt;"No consta",TRIM('DATOS'!C321&amp;"")&lt;&gt;"Desconocido",TRIM('DATOS'!C321&amp;"")&lt;&gt;"Sin confirmar",TRIM('DATOS'!C321&amp;"")&lt;&gt;"Por decidir",TRIM('DATOS'!C321&amp;"")&lt;&gt;"Por comprobar")),NOT(AND(LEN(TRIM('DATOS'!D321&amp;""))&gt;0,TRIM('DATOS'!D321&amp;"")&lt;&gt;"Pendiente",TRIM('DATOS'!D321&amp;"")&lt;&gt;"Por confirmar",TRIM('DATOS'!D321&amp;"")&lt;&gt;"No consta",TRIM('DATOS'!D321&amp;"")&lt;&gt;"Desconocido",TRIM('DATOS'!D321&amp;"")&lt;&gt;"Sin confirmar",TRIM('DATOS'!D321&amp;"")&lt;&gt;"Por decidir",TRIM('DATOS'!D321&amp;"")&lt;&gt;"Por comprobar")),NOT(AND(LEN(TRIM('DATOS'!E321&amp;""))&gt;0,TRIM('DATOS'!E321&amp;"")&lt;&gt;"Pendiente",TRIM('DATOS'!E321&amp;"")&lt;&gt;"Por confirmar",TRIM('DATOS'!E321&amp;"")&lt;&gt;"No consta",TRIM('DATOS'!E321&amp;"")&lt;&gt;"Desconocido",TRIM('DATOS'!E321&amp;"")&lt;&gt;"Sin confirmar",TRIM('DATOS'!E321&amp;"")&lt;&gt;"Por decidir",TRIM('DATOS'!E321&amp;"")&lt;&gt;"Por comprobar")),NOT(AND(LEN(TRIM('DATOS'!F321&amp;""))&gt;0,TRIM('DATOS'!F321&amp;"")&lt;&gt;"Pendiente",TRIM('DATOS'!F321&amp;"")&lt;&gt;"Por confirmar",TRIM('DATOS'!F321&amp;"")&lt;&gt;"No consta",TRIM('DATOS'!F321&amp;"")&lt;&gt;"Desconocido",TRIM('DATOS'!F321&amp;"")&lt;&gt;"Sin confirmar",TRIM('DATOS'!F321&amp;"")&lt;&gt;"Por decidir",TRIM('DATOS'!F321&amp;"")&lt;&gt;"Por comprobar")),NOT(AND(LEN(TRIM('DATOS'!N321&amp;""))&gt;0,TRIM('DATOS'!N321&amp;"")&lt;&gt;"Pendiente",TRIM('DATOS'!N321&amp;"")&lt;&gt;"Por confirmar",TRIM('DATOS'!N321&amp;"")&lt;&gt;"No consta",TRIM('DATOS'!N321&amp;"")&lt;&gt;"Desconocido",TRIM('DATOS'!N321&amp;"")&lt;&gt;"Sin confirmar",TRIM('DATOS'!N321&amp;"")&lt;&gt;"Por decidir",TRIM('DATOS'!N321&amp;"")&lt;&gt;"Por comprobar")),NOT(Y321=1),W321&lt;&gt;1,X321&gt;1,NOT(OR(LEN(TRIM('DATOS'!K321&amp;""))=0,'DATOS'!K321="Sin valorar",'DATOS'!K321="Sin coste documentado",'DATOS'!K321="Incluido en otra partida",'DATOS'!K321="Por confirmar")),NOT(OR(LEN(TRIM('DATOS'!M321&amp;""))=0,'DATOS'!M321="Sí",'DATOS'!M321="No",'DATOS'!M321="Por confirmar")),NOT(OR(LEN(TRIM('DATOS'!O321&amp;""))=0,'DATOS'!O321="Comparamos",'DATOS'!O321="No existe",'DATOS'!O321="Por confirmar"))),2,IF(AND(OR('DATOS'!G321&lt;0,'DATOS'!H321&lt;0,'DATOS'!J321&lt;0),NOT(AND(LEN(TRIM('DATOS'!L321&amp;""))&gt;0,TRIM('DATOS'!L321&amp;"")&lt;&gt;"Pendiente",TRIM('DATOS'!L321&amp;"")&lt;&gt;"Por confirmar",TRIM('DATOS'!L321&amp;"")&lt;&gt;"No consta",TRIM('DATOS'!L321&amp;"")&lt;&gt;"Desconocido",TRIM('DATOS'!L321&amp;"")&lt;&gt;"Sin confirmar",TRIM('DATOS'!L321&amp;"")&lt;&gt;"Por decidir",TRIM('DATOS'!L321&amp;"")&lt;&gt;"Por comprobar"))),1,0))),2)</f>
      </c>
      <c r="P321" s="29">
        <f>IFERROR(IF(N321=0,"",IF(NOT(Y321=1),1,IF('REFERENCIAS'!$Q$8&lt;&gt;1,2,IF(ABS('DATOS'!J321-ROUND('DATOS'!G321*'DATOS'!H321,'REFERENCIAS'!$K$8))&gt;0.00000001,2,IF('DATOS'!O321="No existe",IF(LEN(TRIM('DATOS'!I321&amp;""))=0,0,2),IF('DATOS'!O321="Comparamos",IF(LEN(TRIM('DATOS'!I321&amp;""))=0,1,IF(ISNUMBER('DATOS'!I321),IF(ABS('DATOS'!H321-'DATOS'!I321)&gt;0.00000001,2,0),2)),1)))))),2)</f>
      </c>
      <c r="Q321" s="29">
        <f>IFERROR(IF(N321=0,"",IF(NOT(Y321=1),1,IF('DATOS'!K321="Sin valorar",2,IF('DATOS'!G321=0,1,IF(OR('DATOS'!H321=0,'DATOS'!J321=0),IF(AND(OR('DATOS'!K321="Sin coste documentado",'DATOS'!K321="Incluido en otra partida"),AND(LEN(TRIM('DATOS'!L321&amp;""))&gt;0,TRIM('DATOS'!L321&amp;"")&lt;&gt;"Pendiente",TRIM('DATOS'!L321&amp;"")&lt;&gt;"Por confirmar",TRIM('DATOS'!L321&amp;"")&lt;&gt;"No consta",TRIM('DATOS'!L321&amp;"")&lt;&gt;"Desconocido",TRIM('DATOS'!L321&amp;"")&lt;&gt;"Sin confirmar",TRIM('DATOS'!L321&amp;"")&lt;&gt;"Por decidir",TRIM('DATOS'!L321&amp;"")&lt;&gt;"Por comprobar")),0,1),0))))),2)</f>
      </c>
      <c r="R321" s="29">
        <f>IFERROR(IF(N321=0,"",IF(OR(NOT(AND(LEN(TRIM('DATOS'!D321&amp;""))&gt;0,TRIM('DATOS'!D321&amp;"")&lt;&gt;"Pendiente",TRIM('DATOS'!D321&amp;"")&lt;&gt;"Por confirmar",TRIM('DATOS'!D321&amp;"")&lt;&gt;"No consta",TRIM('DATOS'!D321&amp;"")&lt;&gt;"Desconocido",TRIM('DATOS'!D321&amp;"")&lt;&gt;"Sin confirmar",TRIM('DATOS'!D321&amp;"")&lt;&gt;"Por decidir",TRIM('DATOS'!D321&amp;"")&lt;&gt;"Por comprobar")),NOT(AND(LEN(TRIM('DATOS'!E321&amp;""))&gt;0,TRIM('DATOS'!E321&amp;"")&lt;&gt;"Pendiente",TRIM('DATOS'!E321&amp;"")&lt;&gt;"Por confirmar",TRIM('DATOS'!E321&amp;"")&lt;&gt;"No consta",TRIM('DATOS'!E321&amp;"")&lt;&gt;"Desconocido",TRIM('DATOS'!E321&amp;"")&lt;&gt;"Sin confirmar",TRIM('DATOS'!E321&amp;"")&lt;&gt;"Por decidir",TRIM('DATOS'!E321&amp;"")&lt;&gt;"Por comprobar"))),2,IF('DATOS'!M321="No",2,IF('DATOS'!M321="Sí",0,IF(OR('DATOS'!D321&lt;&gt;'DATOS'!E321,LEN('DATOS'!E321)&gt;300,RIGHT(TRIM('DATOS'!E321),3)="...",RIGHT(TRIM('DATOS'!E321),1)="…"),1,0))))),2)</f>
      </c>
      <c r="S321" s="29">
        <f>IFERROR(IF(N321=0,"",IF('REFERENCIAS'!$Q$8&lt;&gt;1,2,IF(NOT(Y321=1),1,IF(OR(ABS('DATOS'!G321-ROUND('DATOS'!G321,'REFERENCIAS'!$E$8))&gt;0.00000001,ABS('DATOS'!H321-ROUND('DATOS'!H321,'REFERENCIAS'!$H$8))&gt;0.00000001,ABS('DATOS'!J321-ROUND('DATOS'!J321,'REFERENCIAS'!$K$8))&gt;0.00000001,IF(ISNUMBER('DATOS'!I321),ABS('DATOS'!I321-ROUND('DATOS'!I321,'REFERENCIAS'!$H$8))&gt;0.00000001,FALSE)),1,0)))),2)</f>
      </c>
      <c r="T321" s="29">
        <f>IFERROR(IF(N321=0,"",IF(NOT(AND(LEN(TRIM('DATOS'!F321&amp;""))&gt;0,TRIM('DATOS'!F321&amp;"")&lt;&gt;"Pendiente",TRIM('DATOS'!F321&amp;"")&lt;&gt;"Por confirmar",TRIM('DATOS'!F321&amp;"")&lt;&gt;"No consta",TRIM('DATOS'!F321&amp;"")&lt;&gt;"Desconocido",TRIM('DATOS'!F321&amp;"")&lt;&gt;"Sin confirmar",TRIM('DATOS'!F321&amp;"")&lt;&gt;"Por decidir",TRIM('DATOS'!F321&amp;"")&lt;&gt;"Por comprobar")),2,IF(COUNTIFS('REFERENCIAS'!$T$15:$T$34,"ID:"&amp;SUBSTITUTE(SUBSTITUTE(SUBSTITUTE(SUBSTITUTE(UPPER(TRIM('DATOS'!F321&amp;"")),"!","!E"),"*","!A"),"?","!B"),"~","!C"),'REFERENCIAS'!$H$15:$H$34,"&lt;&gt;")&gt;0,0,1))),2)</f>
      </c>
      <c r="U321" s="29" t="str">
        <f>'DATOS'!R321</f>
        <v>ID:</v>
      </c>
      <c r="V321" s="29" t="str">
        <f>'DATOS'!S321</f>
        <v>ID:</v>
      </c>
      <c r="W321" s="29" t="n">
        <f>IF(N321=0,0,COUNTIFS('REFERENCIAS'!$R$15:$R$64,U321))</f>
        <v>0</v>
      </c>
      <c r="X321" s="29" t="n">
        <f>IF(N321=0,0,COUNTIFS('DATOS'!$R$10:$R$509,U321,'DATOS'!$S$10:$S$509,V321))</f>
        <v>0</v>
      </c>
      <c r="Y321" s="29" t="n">
        <f>IF(AND(ISNUMBER('DATOS'!G321),ISNUMBER('DATOS'!H321),ISNUMBER('DATOS'!J321)),1,0)</f>
        <v>0</v>
      </c>
    </row>
    <row r="322" ht="64" customHeight="1">
      <c r="B322" s="26">
        <f>IF(N322=1,313,"")</f>
      </c>
      <c r="C322" s="26">
        <f>IF(AND(N322=1,LEN(TRIM('DATOS'!B322&amp;""))&gt;0),'DATOS'!B322,"")</f>
      </c>
      <c r="D322" s="26">
        <f>IF(AND(N322=1,LEN(TRIM('DATOS'!C322&amp;""))&gt;0),'DATOS'!C322,"")</f>
      </c>
      <c r="E322" s="26">
        <f>IF(NOT(ISNUMBER(P322)),"",IF(P322=2,"ROJO",IF(P322=1,"ÁMBAR","VERDE")))</f>
      </c>
      <c r="F322" s="26">
        <f>IF(NOT(ISNUMBER(Q322)),"",IF(Q322=2,"ROJO",IF(Q322=1,"ÁMBAR","VERDE")))</f>
      </c>
      <c r="G322" s="26">
        <f>IF(NOT(ISNUMBER(R322)),"",IF(R322=2,"ROJO",IF(R322=1,"ÁMBAR","VERDE")))</f>
      </c>
      <c r="H322" s="26">
        <f>IF(NOT(ISNUMBER(S322)),"",IF(S322=2,"ROJO",IF(S322=1,"ÁMBAR","VERDE")))</f>
      </c>
      <c r="I322" s="26">
        <f>IF(NOT(ISNUMBER(T322)),"",IF(T322=2,"ROJO",IF(T322=1,"ÁMBAR","VERDE")))</f>
      </c>
      <c r="J322" s="26">
        <f>IF(NOT(ISNUMBER(O322)),"",IF(O322=2,"ROJO",IF(O322=1,"ÁMBAR","VERDE")))</f>
      </c>
      <c r="K322" s="26">
        <f>IFERROR(IF(AND(N322=1,LEN(TRIM('DATOS'!N322&amp;""))&gt;0),'DATOS'!N322,""),"Hay una entrada con error. Corregimos el dato antes de cerrar la comprobación.")</f>
      </c>
      <c r="L322" s="26">
        <f>IFERROR(IF(N322=0,"",IF(O322&gt;0,"Completamos datos, claves o motivo. ","")&amp;IF(P322&gt;0,"Cotejamos precios e importe. ","")&amp;IF(Q322&gt;0,"Aclaramos el cero. ","")&amp;IF(R322&gt;0,"Comprobamos el texto. ","")&amp;IF(S322&gt;0,"Revisamos decimales visibles. ","")&amp;IF(T322&gt;0,"Confirmamos la unidad.","")),"Hay una entrada con error. Corregimos el dato antes de cerrar la comprobación.")</f>
      </c>
      <c r="N322" s="29" t="n">
        <f>IF(COUNTA('DATOS'!B322:O322)&gt;0,1,0)</f>
        <v>0</v>
      </c>
      <c r="O322" s="29">
        <f>IFERROR(IF(N322=0,"",IF(OR(NOT(AND(LEN(TRIM('DATOS'!B322&amp;""))&gt;0,TRIM('DATOS'!B322&amp;"")&lt;&gt;"Pendiente",TRIM('DATOS'!B322&amp;"")&lt;&gt;"Por confirmar",TRIM('DATOS'!B322&amp;"")&lt;&gt;"No consta",TRIM('DATOS'!B322&amp;"")&lt;&gt;"Desconocido",TRIM('DATOS'!B322&amp;"")&lt;&gt;"Sin confirmar",TRIM('DATOS'!B322&amp;"")&lt;&gt;"Por decidir",TRIM('DATOS'!B322&amp;"")&lt;&gt;"Por comprobar")),NOT(AND(LEN(TRIM('DATOS'!C322&amp;""))&gt;0,TRIM('DATOS'!C322&amp;"")&lt;&gt;"Pendiente",TRIM('DATOS'!C322&amp;"")&lt;&gt;"Por confirmar",TRIM('DATOS'!C322&amp;"")&lt;&gt;"No consta",TRIM('DATOS'!C322&amp;"")&lt;&gt;"Desconocido",TRIM('DATOS'!C322&amp;"")&lt;&gt;"Sin confirmar",TRIM('DATOS'!C322&amp;"")&lt;&gt;"Por decidir",TRIM('DATOS'!C322&amp;"")&lt;&gt;"Por comprobar")),NOT(AND(LEN(TRIM('DATOS'!D322&amp;""))&gt;0,TRIM('DATOS'!D322&amp;"")&lt;&gt;"Pendiente",TRIM('DATOS'!D322&amp;"")&lt;&gt;"Por confirmar",TRIM('DATOS'!D322&amp;"")&lt;&gt;"No consta",TRIM('DATOS'!D322&amp;"")&lt;&gt;"Desconocido",TRIM('DATOS'!D322&amp;"")&lt;&gt;"Sin confirmar",TRIM('DATOS'!D322&amp;"")&lt;&gt;"Por decidir",TRIM('DATOS'!D322&amp;"")&lt;&gt;"Por comprobar")),NOT(AND(LEN(TRIM('DATOS'!E322&amp;""))&gt;0,TRIM('DATOS'!E322&amp;"")&lt;&gt;"Pendiente",TRIM('DATOS'!E322&amp;"")&lt;&gt;"Por confirmar",TRIM('DATOS'!E322&amp;"")&lt;&gt;"No consta",TRIM('DATOS'!E322&amp;"")&lt;&gt;"Desconocido",TRIM('DATOS'!E322&amp;"")&lt;&gt;"Sin confirmar",TRIM('DATOS'!E322&amp;"")&lt;&gt;"Por decidir",TRIM('DATOS'!E322&amp;"")&lt;&gt;"Por comprobar")),NOT(AND(LEN(TRIM('DATOS'!F322&amp;""))&gt;0,TRIM('DATOS'!F322&amp;"")&lt;&gt;"Pendiente",TRIM('DATOS'!F322&amp;"")&lt;&gt;"Por confirmar",TRIM('DATOS'!F322&amp;"")&lt;&gt;"No consta",TRIM('DATOS'!F322&amp;"")&lt;&gt;"Desconocido",TRIM('DATOS'!F322&amp;"")&lt;&gt;"Sin confirmar",TRIM('DATOS'!F322&amp;"")&lt;&gt;"Por decidir",TRIM('DATOS'!F322&amp;"")&lt;&gt;"Por comprobar")),NOT(AND(LEN(TRIM('DATOS'!N322&amp;""))&gt;0,TRIM('DATOS'!N322&amp;"")&lt;&gt;"Pendiente",TRIM('DATOS'!N322&amp;"")&lt;&gt;"Por confirmar",TRIM('DATOS'!N322&amp;"")&lt;&gt;"No consta",TRIM('DATOS'!N322&amp;"")&lt;&gt;"Desconocido",TRIM('DATOS'!N322&amp;"")&lt;&gt;"Sin confirmar",TRIM('DATOS'!N322&amp;"")&lt;&gt;"Por decidir",TRIM('DATOS'!N322&amp;"")&lt;&gt;"Por comprobar")),NOT(Y322=1),W322&lt;&gt;1,X322&gt;1,NOT(OR(LEN(TRIM('DATOS'!K322&amp;""))=0,'DATOS'!K322="Sin valorar",'DATOS'!K322="Sin coste documentado",'DATOS'!K322="Incluido en otra partida",'DATOS'!K322="Por confirmar")),NOT(OR(LEN(TRIM('DATOS'!M322&amp;""))=0,'DATOS'!M322="Sí",'DATOS'!M322="No",'DATOS'!M322="Por confirmar")),NOT(OR(LEN(TRIM('DATOS'!O322&amp;""))=0,'DATOS'!O322="Comparamos",'DATOS'!O322="No existe",'DATOS'!O322="Por confirmar"))),2,IF(AND(OR('DATOS'!G322&lt;0,'DATOS'!H322&lt;0,'DATOS'!J322&lt;0),NOT(AND(LEN(TRIM('DATOS'!L322&amp;""))&gt;0,TRIM('DATOS'!L322&amp;"")&lt;&gt;"Pendiente",TRIM('DATOS'!L322&amp;"")&lt;&gt;"Por confirmar",TRIM('DATOS'!L322&amp;"")&lt;&gt;"No consta",TRIM('DATOS'!L322&amp;"")&lt;&gt;"Desconocido",TRIM('DATOS'!L322&amp;"")&lt;&gt;"Sin confirmar",TRIM('DATOS'!L322&amp;"")&lt;&gt;"Por decidir",TRIM('DATOS'!L322&amp;"")&lt;&gt;"Por comprobar"))),1,0))),2)</f>
      </c>
      <c r="P322" s="29">
        <f>IFERROR(IF(N322=0,"",IF(NOT(Y322=1),1,IF('REFERENCIAS'!$Q$8&lt;&gt;1,2,IF(ABS('DATOS'!J322-ROUND('DATOS'!G322*'DATOS'!H322,'REFERENCIAS'!$K$8))&gt;0.00000001,2,IF('DATOS'!O322="No existe",IF(LEN(TRIM('DATOS'!I322&amp;""))=0,0,2),IF('DATOS'!O322="Comparamos",IF(LEN(TRIM('DATOS'!I322&amp;""))=0,1,IF(ISNUMBER('DATOS'!I322),IF(ABS('DATOS'!H322-'DATOS'!I322)&gt;0.00000001,2,0),2)),1)))))),2)</f>
      </c>
      <c r="Q322" s="29">
        <f>IFERROR(IF(N322=0,"",IF(NOT(Y322=1),1,IF('DATOS'!K322="Sin valorar",2,IF('DATOS'!G322=0,1,IF(OR('DATOS'!H322=0,'DATOS'!J322=0),IF(AND(OR('DATOS'!K322="Sin coste documentado",'DATOS'!K322="Incluido en otra partida"),AND(LEN(TRIM('DATOS'!L322&amp;""))&gt;0,TRIM('DATOS'!L322&amp;"")&lt;&gt;"Pendiente",TRIM('DATOS'!L322&amp;"")&lt;&gt;"Por confirmar",TRIM('DATOS'!L322&amp;"")&lt;&gt;"No consta",TRIM('DATOS'!L322&amp;"")&lt;&gt;"Desconocido",TRIM('DATOS'!L322&amp;"")&lt;&gt;"Sin confirmar",TRIM('DATOS'!L322&amp;"")&lt;&gt;"Por decidir",TRIM('DATOS'!L322&amp;"")&lt;&gt;"Por comprobar")),0,1),0))))),2)</f>
      </c>
      <c r="R322" s="29">
        <f>IFERROR(IF(N322=0,"",IF(OR(NOT(AND(LEN(TRIM('DATOS'!D322&amp;""))&gt;0,TRIM('DATOS'!D322&amp;"")&lt;&gt;"Pendiente",TRIM('DATOS'!D322&amp;"")&lt;&gt;"Por confirmar",TRIM('DATOS'!D322&amp;"")&lt;&gt;"No consta",TRIM('DATOS'!D322&amp;"")&lt;&gt;"Desconocido",TRIM('DATOS'!D322&amp;"")&lt;&gt;"Sin confirmar",TRIM('DATOS'!D322&amp;"")&lt;&gt;"Por decidir",TRIM('DATOS'!D322&amp;"")&lt;&gt;"Por comprobar")),NOT(AND(LEN(TRIM('DATOS'!E322&amp;""))&gt;0,TRIM('DATOS'!E322&amp;"")&lt;&gt;"Pendiente",TRIM('DATOS'!E322&amp;"")&lt;&gt;"Por confirmar",TRIM('DATOS'!E322&amp;"")&lt;&gt;"No consta",TRIM('DATOS'!E322&amp;"")&lt;&gt;"Desconocido",TRIM('DATOS'!E322&amp;"")&lt;&gt;"Sin confirmar",TRIM('DATOS'!E322&amp;"")&lt;&gt;"Por decidir",TRIM('DATOS'!E322&amp;"")&lt;&gt;"Por comprobar"))),2,IF('DATOS'!M322="No",2,IF('DATOS'!M322="Sí",0,IF(OR('DATOS'!D322&lt;&gt;'DATOS'!E322,LEN('DATOS'!E322)&gt;300,RIGHT(TRIM('DATOS'!E322),3)="...",RIGHT(TRIM('DATOS'!E322),1)="…"),1,0))))),2)</f>
      </c>
      <c r="S322" s="29">
        <f>IFERROR(IF(N322=0,"",IF('REFERENCIAS'!$Q$8&lt;&gt;1,2,IF(NOT(Y322=1),1,IF(OR(ABS('DATOS'!G322-ROUND('DATOS'!G322,'REFERENCIAS'!$E$8))&gt;0.00000001,ABS('DATOS'!H322-ROUND('DATOS'!H322,'REFERENCIAS'!$H$8))&gt;0.00000001,ABS('DATOS'!J322-ROUND('DATOS'!J322,'REFERENCIAS'!$K$8))&gt;0.00000001,IF(ISNUMBER('DATOS'!I322),ABS('DATOS'!I322-ROUND('DATOS'!I322,'REFERENCIAS'!$H$8))&gt;0.00000001,FALSE)),1,0)))),2)</f>
      </c>
      <c r="T322" s="29">
        <f>IFERROR(IF(N322=0,"",IF(NOT(AND(LEN(TRIM('DATOS'!F322&amp;""))&gt;0,TRIM('DATOS'!F322&amp;"")&lt;&gt;"Pendiente",TRIM('DATOS'!F322&amp;"")&lt;&gt;"Por confirmar",TRIM('DATOS'!F322&amp;"")&lt;&gt;"No consta",TRIM('DATOS'!F322&amp;"")&lt;&gt;"Desconocido",TRIM('DATOS'!F322&amp;"")&lt;&gt;"Sin confirmar",TRIM('DATOS'!F322&amp;"")&lt;&gt;"Por decidir",TRIM('DATOS'!F322&amp;"")&lt;&gt;"Por comprobar")),2,IF(COUNTIFS('REFERENCIAS'!$T$15:$T$34,"ID:"&amp;SUBSTITUTE(SUBSTITUTE(SUBSTITUTE(SUBSTITUTE(UPPER(TRIM('DATOS'!F322&amp;"")),"!","!E"),"*","!A"),"?","!B"),"~","!C"),'REFERENCIAS'!$H$15:$H$34,"&lt;&gt;")&gt;0,0,1))),2)</f>
      </c>
      <c r="U322" s="29" t="str">
        <f>'DATOS'!R322</f>
        <v>ID:</v>
      </c>
      <c r="V322" s="29" t="str">
        <f>'DATOS'!S322</f>
        <v>ID:</v>
      </c>
      <c r="W322" s="29" t="n">
        <f>IF(N322=0,0,COUNTIFS('REFERENCIAS'!$R$15:$R$64,U322))</f>
        <v>0</v>
      </c>
      <c r="X322" s="29" t="n">
        <f>IF(N322=0,0,COUNTIFS('DATOS'!$R$10:$R$509,U322,'DATOS'!$S$10:$S$509,V322))</f>
        <v>0</v>
      </c>
      <c r="Y322" s="29" t="n">
        <f>IF(AND(ISNUMBER('DATOS'!G322),ISNUMBER('DATOS'!H322),ISNUMBER('DATOS'!J322)),1,0)</f>
        <v>0</v>
      </c>
    </row>
    <row r="323" ht="64" customHeight="1">
      <c r="B323" s="26">
        <f>IF(N323=1,314,"")</f>
      </c>
      <c r="C323" s="26">
        <f>IF(AND(N323=1,LEN(TRIM('DATOS'!B323&amp;""))&gt;0),'DATOS'!B323,"")</f>
      </c>
      <c r="D323" s="26">
        <f>IF(AND(N323=1,LEN(TRIM('DATOS'!C323&amp;""))&gt;0),'DATOS'!C323,"")</f>
      </c>
      <c r="E323" s="26">
        <f>IF(NOT(ISNUMBER(P323)),"",IF(P323=2,"ROJO",IF(P323=1,"ÁMBAR","VERDE")))</f>
      </c>
      <c r="F323" s="26">
        <f>IF(NOT(ISNUMBER(Q323)),"",IF(Q323=2,"ROJO",IF(Q323=1,"ÁMBAR","VERDE")))</f>
      </c>
      <c r="G323" s="26">
        <f>IF(NOT(ISNUMBER(R323)),"",IF(R323=2,"ROJO",IF(R323=1,"ÁMBAR","VERDE")))</f>
      </c>
      <c r="H323" s="26">
        <f>IF(NOT(ISNUMBER(S323)),"",IF(S323=2,"ROJO",IF(S323=1,"ÁMBAR","VERDE")))</f>
      </c>
      <c r="I323" s="26">
        <f>IF(NOT(ISNUMBER(T323)),"",IF(T323=2,"ROJO",IF(T323=1,"ÁMBAR","VERDE")))</f>
      </c>
      <c r="J323" s="26">
        <f>IF(NOT(ISNUMBER(O323)),"",IF(O323=2,"ROJO",IF(O323=1,"ÁMBAR","VERDE")))</f>
      </c>
      <c r="K323" s="26">
        <f>IFERROR(IF(AND(N323=1,LEN(TRIM('DATOS'!N323&amp;""))&gt;0),'DATOS'!N323,""),"Hay una entrada con error. Corregimos el dato antes de cerrar la comprobación.")</f>
      </c>
      <c r="L323" s="26">
        <f>IFERROR(IF(N323=0,"",IF(O323&gt;0,"Completamos datos, claves o motivo. ","")&amp;IF(P323&gt;0,"Cotejamos precios e importe. ","")&amp;IF(Q323&gt;0,"Aclaramos el cero. ","")&amp;IF(R323&gt;0,"Comprobamos el texto. ","")&amp;IF(S323&gt;0,"Revisamos decimales visibles. ","")&amp;IF(T323&gt;0,"Confirmamos la unidad.","")),"Hay una entrada con error. Corregimos el dato antes de cerrar la comprobación.")</f>
      </c>
      <c r="N323" s="29" t="n">
        <f>IF(COUNTA('DATOS'!B323:O323)&gt;0,1,0)</f>
        <v>0</v>
      </c>
      <c r="O323" s="29">
        <f>IFERROR(IF(N323=0,"",IF(OR(NOT(AND(LEN(TRIM('DATOS'!B323&amp;""))&gt;0,TRIM('DATOS'!B323&amp;"")&lt;&gt;"Pendiente",TRIM('DATOS'!B323&amp;"")&lt;&gt;"Por confirmar",TRIM('DATOS'!B323&amp;"")&lt;&gt;"No consta",TRIM('DATOS'!B323&amp;"")&lt;&gt;"Desconocido",TRIM('DATOS'!B323&amp;"")&lt;&gt;"Sin confirmar",TRIM('DATOS'!B323&amp;"")&lt;&gt;"Por decidir",TRIM('DATOS'!B323&amp;"")&lt;&gt;"Por comprobar")),NOT(AND(LEN(TRIM('DATOS'!C323&amp;""))&gt;0,TRIM('DATOS'!C323&amp;"")&lt;&gt;"Pendiente",TRIM('DATOS'!C323&amp;"")&lt;&gt;"Por confirmar",TRIM('DATOS'!C323&amp;"")&lt;&gt;"No consta",TRIM('DATOS'!C323&amp;"")&lt;&gt;"Desconocido",TRIM('DATOS'!C323&amp;"")&lt;&gt;"Sin confirmar",TRIM('DATOS'!C323&amp;"")&lt;&gt;"Por decidir",TRIM('DATOS'!C323&amp;"")&lt;&gt;"Por comprobar")),NOT(AND(LEN(TRIM('DATOS'!D323&amp;""))&gt;0,TRIM('DATOS'!D323&amp;"")&lt;&gt;"Pendiente",TRIM('DATOS'!D323&amp;"")&lt;&gt;"Por confirmar",TRIM('DATOS'!D323&amp;"")&lt;&gt;"No consta",TRIM('DATOS'!D323&amp;"")&lt;&gt;"Desconocido",TRIM('DATOS'!D323&amp;"")&lt;&gt;"Sin confirmar",TRIM('DATOS'!D323&amp;"")&lt;&gt;"Por decidir",TRIM('DATOS'!D323&amp;"")&lt;&gt;"Por comprobar")),NOT(AND(LEN(TRIM('DATOS'!E323&amp;""))&gt;0,TRIM('DATOS'!E323&amp;"")&lt;&gt;"Pendiente",TRIM('DATOS'!E323&amp;"")&lt;&gt;"Por confirmar",TRIM('DATOS'!E323&amp;"")&lt;&gt;"No consta",TRIM('DATOS'!E323&amp;"")&lt;&gt;"Desconocido",TRIM('DATOS'!E323&amp;"")&lt;&gt;"Sin confirmar",TRIM('DATOS'!E323&amp;"")&lt;&gt;"Por decidir",TRIM('DATOS'!E323&amp;"")&lt;&gt;"Por comprobar")),NOT(AND(LEN(TRIM('DATOS'!F323&amp;""))&gt;0,TRIM('DATOS'!F323&amp;"")&lt;&gt;"Pendiente",TRIM('DATOS'!F323&amp;"")&lt;&gt;"Por confirmar",TRIM('DATOS'!F323&amp;"")&lt;&gt;"No consta",TRIM('DATOS'!F323&amp;"")&lt;&gt;"Desconocido",TRIM('DATOS'!F323&amp;"")&lt;&gt;"Sin confirmar",TRIM('DATOS'!F323&amp;"")&lt;&gt;"Por decidir",TRIM('DATOS'!F323&amp;"")&lt;&gt;"Por comprobar")),NOT(AND(LEN(TRIM('DATOS'!N323&amp;""))&gt;0,TRIM('DATOS'!N323&amp;"")&lt;&gt;"Pendiente",TRIM('DATOS'!N323&amp;"")&lt;&gt;"Por confirmar",TRIM('DATOS'!N323&amp;"")&lt;&gt;"No consta",TRIM('DATOS'!N323&amp;"")&lt;&gt;"Desconocido",TRIM('DATOS'!N323&amp;"")&lt;&gt;"Sin confirmar",TRIM('DATOS'!N323&amp;"")&lt;&gt;"Por decidir",TRIM('DATOS'!N323&amp;"")&lt;&gt;"Por comprobar")),NOT(Y323=1),W323&lt;&gt;1,X323&gt;1,NOT(OR(LEN(TRIM('DATOS'!K323&amp;""))=0,'DATOS'!K323="Sin valorar",'DATOS'!K323="Sin coste documentado",'DATOS'!K323="Incluido en otra partida",'DATOS'!K323="Por confirmar")),NOT(OR(LEN(TRIM('DATOS'!M323&amp;""))=0,'DATOS'!M323="Sí",'DATOS'!M323="No",'DATOS'!M323="Por confirmar")),NOT(OR(LEN(TRIM('DATOS'!O323&amp;""))=0,'DATOS'!O323="Comparamos",'DATOS'!O323="No existe",'DATOS'!O323="Por confirmar"))),2,IF(AND(OR('DATOS'!G323&lt;0,'DATOS'!H323&lt;0,'DATOS'!J323&lt;0),NOT(AND(LEN(TRIM('DATOS'!L323&amp;""))&gt;0,TRIM('DATOS'!L323&amp;"")&lt;&gt;"Pendiente",TRIM('DATOS'!L323&amp;"")&lt;&gt;"Por confirmar",TRIM('DATOS'!L323&amp;"")&lt;&gt;"No consta",TRIM('DATOS'!L323&amp;"")&lt;&gt;"Desconocido",TRIM('DATOS'!L323&amp;"")&lt;&gt;"Sin confirmar",TRIM('DATOS'!L323&amp;"")&lt;&gt;"Por decidir",TRIM('DATOS'!L323&amp;"")&lt;&gt;"Por comprobar"))),1,0))),2)</f>
      </c>
      <c r="P323" s="29">
        <f>IFERROR(IF(N323=0,"",IF(NOT(Y323=1),1,IF('REFERENCIAS'!$Q$8&lt;&gt;1,2,IF(ABS('DATOS'!J323-ROUND('DATOS'!G323*'DATOS'!H323,'REFERENCIAS'!$K$8))&gt;0.00000001,2,IF('DATOS'!O323="No existe",IF(LEN(TRIM('DATOS'!I323&amp;""))=0,0,2),IF('DATOS'!O323="Comparamos",IF(LEN(TRIM('DATOS'!I323&amp;""))=0,1,IF(ISNUMBER('DATOS'!I323),IF(ABS('DATOS'!H323-'DATOS'!I323)&gt;0.00000001,2,0),2)),1)))))),2)</f>
      </c>
      <c r="Q323" s="29">
        <f>IFERROR(IF(N323=0,"",IF(NOT(Y323=1),1,IF('DATOS'!K323="Sin valorar",2,IF('DATOS'!G323=0,1,IF(OR('DATOS'!H323=0,'DATOS'!J323=0),IF(AND(OR('DATOS'!K323="Sin coste documentado",'DATOS'!K323="Incluido en otra partida"),AND(LEN(TRIM('DATOS'!L323&amp;""))&gt;0,TRIM('DATOS'!L323&amp;"")&lt;&gt;"Pendiente",TRIM('DATOS'!L323&amp;"")&lt;&gt;"Por confirmar",TRIM('DATOS'!L323&amp;"")&lt;&gt;"No consta",TRIM('DATOS'!L323&amp;"")&lt;&gt;"Desconocido",TRIM('DATOS'!L323&amp;"")&lt;&gt;"Sin confirmar",TRIM('DATOS'!L323&amp;"")&lt;&gt;"Por decidir",TRIM('DATOS'!L323&amp;"")&lt;&gt;"Por comprobar")),0,1),0))))),2)</f>
      </c>
      <c r="R323" s="29">
        <f>IFERROR(IF(N323=0,"",IF(OR(NOT(AND(LEN(TRIM('DATOS'!D323&amp;""))&gt;0,TRIM('DATOS'!D323&amp;"")&lt;&gt;"Pendiente",TRIM('DATOS'!D323&amp;"")&lt;&gt;"Por confirmar",TRIM('DATOS'!D323&amp;"")&lt;&gt;"No consta",TRIM('DATOS'!D323&amp;"")&lt;&gt;"Desconocido",TRIM('DATOS'!D323&amp;"")&lt;&gt;"Sin confirmar",TRIM('DATOS'!D323&amp;"")&lt;&gt;"Por decidir",TRIM('DATOS'!D323&amp;"")&lt;&gt;"Por comprobar")),NOT(AND(LEN(TRIM('DATOS'!E323&amp;""))&gt;0,TRIM('DATOS'!E323&amp;"")&lt;&gt;"Pendiente",TRIM('DATOS'!E323&amp;"")&lt;&gt;"Por confirmar",TRIM('DATOS'!E323&amp;"")&lt;&gt;"No consta",TRIM('DATOS'!E323&amp;"")&lt;&gt;"Desconocido",TRIM('DATOS'!E323&amp;"")&lt;&gt;"Sin confirmar",TRIM('DATOS'!E323&amp;"")&lt;&gt;"Por decidir",TRIM('DATOS'!E323&amp;"")&lt;&gt;"Por comprobar"))),2,IF('DATOS'!M323="No",2,IF('DATOS'!M323="Sí",0,IF(OR('DATOS'!D323&lt;&gt;'DATOS'!E323,LEN('DATOS'!E323)&gt;300,RIGHT(TRIM('DATOS'!E323),3)="...",RIGHT(TRIM('DATOS'!E323),1)="…"),1,0))))),2)</f>
      </c>
      <c r="S323" s="29">
        <f>IFERROR(IF(N323=0,"",IF('REFERENCIAS'!$Q$8&lt;&gt;1,2,IF(NOT(Y323=1),1,IF(OR(ABS('DATOS'!G323-ROUND('DATOS'!G323,'REFERENCIAS'!$E$8))&gt;0.00000001,ABS('DATOS'!H323-ROUND('DATOS'!H323,'REFERENCIAS'!$H$8))&gt;0.00000001,ABS('DATOS'!J323-ROUND('DATOS'!J323,'REFERENCIAS'!$K$8))&gt;0.00000001,IF(ISNUMBER('DATOS'!I323),ABS('DATOS'!I323-ROUND('DATOS'!I323,'REFERENCIAS'!$H$8))&gt;0.00000001,FALSE)),1,0)))),2)</f>
      </c>
      <c r="T323" s="29">
        <f>IFERROR(IF(N323=0,"",IF(NOT(AND(LEN(TRIM('DATOS'!F323&amp;""))&gt;0,TRIM('DATOS'!F323&amp;"")&lt;&gt;"Pendiente",TRIM('DATOS'!F323&amp;"")&lt;&gt;"Por confirmar",TRIM('DATOS'!F323&amp;"")&lt;&gt;"No consta",TRIM('DATOS'!F323&amp;"")&lt;&gt;"Desconocido",TRIM('DATOS'!F323&amp;"")&lt;&gt;"Sin confirmar",TRIM('DATOS'!F323&amp;"")&lt;&gt;"Por decidir",TRIM('DATOS'!F323&amp;"")&lt;&gt;"Por comprobar")),2,IF(COUNTIFS('REFERENCIAS'!$T$15:$T$34,"ID:"&amp;SUBSTITUTE(SUBSTITUTE(SUBSTITUTE(SUBSTITUTE(UPPER(TRIM('DATOS'!F323&amp;"")),"!","!E"),"*","!A"),"?","!B"),"~","!C"),'REFERENCIAS'!$H$15:$H$34,"&lt;&gt;")&gt;0,0,1))),2)</f>
      </c>
      <c r="U323" s="29" t="str">
        <f>'DATOS'!R323</f>
        <v>ID:</v>
      </c>
      <c r="V323" s="29" t="str">
        <f>'DATOS'!S323</f>
        <v>ID:</v>
      </c>
      <c r="W323" s="29" t="n">
        <f>IF(N323=0,0,COUNTIFS('REFERENCIAS'!$R$15:$R$64,U323))</f>
        <v>0</v>
      </c>
      <c r="X323" s="29" t="n">
        <f>IF(N323=0,0,COUNTIFS('DATOS'!$R$10:$R$509,U323,'DATOS'!$S$10:$S$509,V323))</f>
        <v>0</v>
      </c>
      <c r="Y323" s="29" t="n">
        <f>IF(AND(ISNUMBER('DATOS'!G323),ISNUMBER('DATOS'!H323),ISNUMBER('DATOS'!J323)),1,0)</f>
        <v>0</v>
      </c>
    </row>
    <row r="324" ht="64" customHeight="1">
      <c r="B324" s="26">
        <f>IF(N324=1,315,"")</f>
      </c>
      <c r="C324" s="26">
        <f>IF(AND(N324=1,LEN(TRIM('DATOS'!B324&amp;""))&gt;0),'DATOS'!B324,"")</f>
      </c>
      <c r="D324" s="26">
        <f>IF(AND(N324=1,LEN(TRIM('DATOS'!C324&amp;""))&gt;0),'DATOS'!C324,"")</f>
      </c>
      <c r="E324" s="26">
        <f>IF(NOT(ISNUMBER(P324)),"",IF(P324=2,"ROJO",IF(P324=1,"ÁMBAR","VERDE")))</f>
      </c>
      <c r="F324" s="26">
        <f>IF(NOT(ISNUMBER(Q324)),"",IF(Q324=2,"ROJO",IF(Q324=1,"ÁMBAR","VERDE")))</f>
      </c>
      <c r="G324" s="26">
        <f>IF(NOT(ISNUMBER(R324)),"",IF(R324=2,"ROJO",IF(R324=1,"ÁMBAR","VERDE")))</f>
      </c>
      <c r="H324" s="26">
        <f>IF(NOT(ISNUMBER(S324)),"",IF(S324=2,"ROJO",IF(S324=1,"ÁMBAR","VERDE")))</f>
      </c>
      <c r="I324" s="26">
        <f>IF(NOT(ISNUMBER(T324)),"",IF(T324=2,"ROJO",IF(T324=1,"ÁMBAR","VERDE")))</f>
      </c>
      <c r="J324" s="26">
        <f>IF(NOT(ISNUMBER(O324)),"",IF(O324=2,"ROJO",IF(O324=1,"ÁMBAR","VERDE")))</f>
      </c>
      <c r="K324" s="26">
        <f>IFERROR(IF(AND(N324=1,LEN(TRIM('DATOS'!N324&amp;""))&gt;0),'DATOS'!N324,""),"Hay una entrada con error. Corregimos el dato antes de cerrar la comprobación.")</f>
      </c>
      <c r="L324" s="26">
        <f>IFERROR(IF(N324=0,"",IF(O324&gt;0,"Completamos datos, claves o motivo. ","")&amp;IF(P324&gt;0,"Cotejamos precios e importe. ","")&amp;IF(Q324&gt;0,"Aclaramos el cero. ","")&amp;IF(R324&gt;0,"Comprobamos el texto. ","")&amp;IF(S324&gt;0,"Revisamos decimales visibles. ","")&amp;IF(T324&gt;0,"Confirmamos la unidad.","")),"Hay una entrada con error. Corregimos el dato antes de cerrar la comprobación.")</f>
      </c>
      <c r="N324" s="29" t="n">
        <f>IF(COUNTA('DATOS'!B324:O324)&gt;0,1,0)</f>
        <v>0</v>
      </c>
      <c r="O324" s="29">
        <f>IFERROR(IF(N324=0,"",IF(OR(NOT(AND(LEN(TRIM('DATOS'!B324&amp;""))&gt;0,TRIM('DATOS'!B324&amp;"")&lt;&gt;"Pendiente",TRIM('DATOS'!B324&amp;"")&lt;&gt;"Por confirmar",TRIM('DATOS'!B324&amp;"")&lt;&gt;"No consta",TRIM('DATOS'!B324&amp;"")&lt;&gt;"Desconocido",TRIM('DATOS'!B324&amp;"")&lt;&gt;"Sin confirmar",TRIM('DATOS'!B324&amp;"")&lt;&gt;"Por decidir",TRIM('DATOS'!B324&amp;"")&lt;&gt;"Por comprobar")),NOT(AND(LEN(TRIM('DATOS'!C324&amp;""))&gt;0,TRIM('DATOS'!C324&amp;"")&lt;&gt;"Pendiente",TRIM('DATOS'!C324&amp;"")&lt;&gt;"Por confirmar",TRIM('DATOS'!C324&amp;"")&lt;&gt;"No consta",TRIM('DATOS'!C324&amp;"")&lt;&gt;"Desconocido",TRIM('DATOS'!C324&amp;"")&lt;&gt;"Sin confirmar",TRIM('DATOS'!C324&amp;"")&lt;&gt;"Por decidir",TRIM('DATOS'!C324&amp;"")&lt;&gt;"Por comprobar")),NOT(AND(LEN(TRIM('DATOS'!D324&amp;""))&gt;0,TRIM('DATOS'!D324&amp;"")&lt;&gt;"Pendiente",TRIM('DATOS'!D324&amp;"")&lt;&gt;"Por confirmar",TRIM('DATOS'!D324&amp;"")&lt;&gt;"No consta",TRIM('DATOS'!D324&amp;"")&lt;&gt;"Desconocido",TRIM('DATOS'!D324&amp;"")&lt;&gt;"Sin confirmar",TRIM('DATOS'!D324&amp;"")&lt;&gt;"Por decidir",TRIM('DATOS'!D324&amp;"")&lt;&gt;"Por comprobar")),NOT(AND(LEN(TRIM('DATOS'!E324&amp;""))&gt;0,TRIM('DATOS'!E324&amp;"")&lt;&gt;"Pendiente",TRIM('DATOS'!E324&amp;"")&lt;&gt;"Por confirmar",TRIM('DATOS'!E324&amp;"")&lt;&gt;"No consta",TRIM('DATOS'!E324&amp;"")&lt;&gt;"Desconocido",TRIM('DATOS'!E324&amp;"")&lt;&gt;"Sin confirmar",TRIM('DATOS'!E324&amp;"")&lt;&gt;"Por decidir",TRIM('DATOS'!E324&amp;"")&lt;&gt;"Por comprobar")),NOT(AND(LEN(TRIM('DATOS'!F324&amp;""))&gt;0,TRIM('DATOS'!F324&amp;"")&lt;&gt;"Pendiente",TRIM('DATOS'!F324&amp;"")&lt;&gt;"Por confirmar",TRIM('DATOS'!F324&amp;"")&lt;&gt;"No consta",TRIM('DATOS'!F324&amp;"")&lt;&gt;"Desconocido",TRIM('DATOS'!F324&amp;"")&lt;&gt;"Sin confirmar",TRIM('DATOS'!F324&amp;"")&lt;&gt;"Por decidir",TRIM('DATOS'!F324&amp;"")&lt;&gt;"Por comprobar")),NOT(AND(LEN(TRIM('DATOS'!N324&amp;""))&gt;0,TRIM('DATOS'!N324&amp;"")&lt;&gt;"Pendiente",TRIM('DATOS'!N324&amp;"")&lt;&gt;"Por confirmar",TRIM('DATOS'!N324&amp;"")&lt;&gt;"No consta",TRIM('DATOS'!N324&amp;"")&lt;&gt;"Desconocido",TRIM('DATOS'!N324&amp;"")&lt;&gt;"Sin confirmar",TRIM('DATOS'!N324&amp;"")&lt;&gt;"Por decidir",TRIM('DATOS'!N324&amp;"")&lt;&gt;"Por comprobar")),NOT(Y324=1),W324&lt;&gt;1,X324&gt;1,NOT(OR(LEN(TRIM('DATOS'!K324&amp;""))=0,'DATOS'!K324="Sin valorar",'DATOS'!K324="Sin coste documentado",'DATOS'!K324="Incluido en otra partida",'DATOS'!K324="Por confirmar")),NOT(OR(LEN(TRIM('DATOS'!M324&amp;""))=0,'DATOS'!M324="Sí",'DATOS'!M324="No",'DATOS'!M324="Por confirmar")),NOT(OR(LEN(TRIM('DATOS'!O324&amp;""))=0,'DATOS'!O324="Comparamos",'DATOS'!O324="No existe",'DATOS'!O324="Por confirmar"))),2,IF(AND(OR('DATOS'!G324&lt;0,'DATOS'!H324&lt;0,'DATOS'!J324&lt;0),NOT(AND(LEN(TRIM('DATOS'!L324&amp;""))&gt;0,TRIM('DATOS'!L324&amp;"")&lt;&gt;"Pendiente",TRIM('DATOS'!L324&amp;"")&lt;&gt;"Por confirmar",TRIM('DATOS'!L324&amp;"")&lt;&gt;"No consta",TRIM('DATOS'!L324&amp;"")&lt;&gt;"Desconocido",TRIM('DATOS'!L324&amp;"")&lt;&gt;"Sin confirmar",TRIM('DATOS'!L324&amp;"")&lt;&gt;"Por decidir",TRIM('DATOS'!L324&amp;"")&lt;&gt;"Por comprobar"))),1,0))),2)</f>
      </c>
      <c r="P324" s="29">
        <f>IFERROR(IF(N324=0,"",IF(NOT(Y324=1),1,IF('REFERENCIAS'!$Q$8&lt;&gt;1,2,IF(ABS('DATOS'!J324-ROUND('DATOS'!G324*'DATOS'!H324,'REFERENCIAS'!$K$8))&gt;0.00000001,2,IF('DATOS'!O324="No existe",IF(LEN(TRIM('DATOS'!I324&amp;""))=0,0,2),IF('DATOS'!O324="Comparamos",IF(LEN(TRIM('DATOS'!I324&amp;""))=0,1,IF(ISNUMBER('DATOS'!I324),IF(ABS('DATOS'!H324-'DATOS'!I324)&gt;0.00000001,2,0),2)),1)))))),2)</f>
      </c>
      <c r="Q324" s="29">
        <f>IFERROR(IF(N324=0,"",IF(NOT(Y324=1),1,IF('DATOS'!K324="Sin valorar",2,IF('DATOS'!G324=0,1,IF(OR('DATOS'!H324=0,'DATOS'!J324=0),IF(AND(OR('DATOS'!K324="Sin coste documentado",'DATOS'!K324="Incluido en otra partida"),AND(LEN(TRIM('DATOS'!L324&amp;""))&gt;0,TRIM('DATOS'!L324&amp;"")&lt;&gt;"Pendiente",TRIM('DATOS'!L324&amp;"")&lt;&gt;"Por confirmar",TRIM('DATOS'!L324&amp;"")&lt;&gt;"No consta",TRIM('DATOS'!L324&amp;"")&lt;&gt;"Desconocido",TRIM('DATOS'!L324&amp;"")&lt;&gt;"Sin confirmar",TRIM('DATOS'!L324&amp;"")&lt;&gt;"Por decidir",TRIM('DATOS'!L324&amp;"")&lt;&gt;"Por comprobar")),0,1),0))))),2)</f>
      </c>
      <c r="R324" s="29">
        <f>IFERROR(IF(N324=0,"",IF(OR(NOT(AND(LEN(TRIM('DATOS'!D324&amp;""))&gt;0,TRIM('DATOS'!D324&amp;"")&lt;&gt;"Pendiente",TRIM('DATOS'!D324&amp;"")&lt;&gt;"Por confirmar",TRIM('DATOS'!D324&amp;"")&lt;&gt;"No consta",TRIM('DATOS'!D324&amp;"")&lt;&gt;"Desconocido",TRIM('DATOS'!D324&amp;"")&lt;&gt;"Sin confirmar",TRIM('DATOS'!D324&amp;"")&lt;&gt;"Por decidir",TRIM('DATOS'!D324&amp;"")&lt;&gt;"Por comprobar")),NOT(AND(LEN(TRIM('DATOS'!E324&amp;""))&gt;0,TRIM('DATOS'!E324&amp;"")&lt;&gt;"Pendiente",TRIM('DATOS'!E324&amp;"")&lt;&gt;"Por confirmar",TRIM('DATOS'!E324&amp;"")&lt;&gt;"No consta",TRIM('DATOS'!E324&amp;"")&lt;&gt;"Desconocido",TRIM('DATOS'!E324&amp;"")&lt;&gt;"Sin confirmar",TRIM('DATOS'!E324&amp;"")&lt;&gt;"Por decidir",TRIM('DATOS'!E324&amp;"")&lt;&gt;"Por comprobar"))),2,IF('DATOS'!M324="No",2,IF('DATOS'!M324="Sí",0,IF(OR('DATOS'!D324&lt;&gt;'DATOS'!E324,LEN('DATOS'!E324)&gt;300,RIGHT(TRIM('DATOS'!E324),3)="...",RIGHT(TRIM('DATOS'!E324),1)="…"),1,0))))),2)</f>
      </c>
      <c r="S324" s="29">
        <f>IFERROR(IF(N324=0,"",IF('REFERENCIAS'!$Q$8&lt;&gt;1,2,IF(NOT(Y324=1),1,IF(OR(ABS('DATOS'!G324-ROUND('DATOS'!G324,'REFERENCIAS'!$E$8))&gt;0.00000001,ABS('DATOS'!H324-ROUND('DATOS'!H324,'REFERENCIAS'!$H$8))&gt;0.00000001,ABS('DATOS'!J324-ROUND('DATOS'!J324,'REFERENCIAS'!$K$8))&gt;0.00000001,IF(ISNUMBER('DATOS'!I324),ABS('DATOS'!I324-ROUND('DATOS'!I324,'REFERENCIAS'!$H$8))&gt;0.00000001,FALSE)),1,0)))),2)</f>
      </c>
      <c r="T324" s="29">
        <f>IFERROR(IF(N324=0,"",IF(NOT(AND(LEN(TRIM('DATOS'!F324&amp;""))&gt;0,TRIM('DATOS'!F324&amp;"")&lt;&gt;"Pendiente",TRIM('DATOS'!F324&amp;"")&lt;&gt;"Por confirmar",TRIM('DATOS'!F324&amp;"")&lt;&gt;"No consta",TRIM('DATOS'!F324&amp;"")&lt;&gt;"Desconocido",TRIM('DATOS'!F324&amp;"")&lt;&gt;"Sin confirmar",TRIM('DATOS'!F324&amp;"")&lt;&gt;"Por decidir",TRIM('DATOS'!F324&amp;"")&lt;&gt;"Por comprobar")),2,IF(COUNTIFS('REFERENCIAS'!$T$15:$T$34,"ID:"&amp;SUBSTITUTE(SUBSTITUTE(SUBSTITUTE(SUBSTITUTE(UPPER(TRIM('DATOS'!F324&amp;"")),"!","!E"),"*","!A"),"?","!B"),"~","!C"),'REFERENCIAS'!$H$15:$H$34,"&lt;&gt;")&gt;0,0,1))),2)</f>
      </c>
      <c r="U324" s="29" t="str">
        <f>'DATOS'!R324</f>
        <v>ID:</v>
      </c>
      <c r="V324" s="29" t="str">
        <f>'DATOS'!S324</f>
        <v>ID:</v>
      </c>
      <c r="W324" s="29" t="n">
        <f>IF(N324=0,0,COUNTIFS('REFERENCIAS'!$R$15:$R$64,U324))</f>
        <v>0</v>
      </c>
      <c r="X324" s="29" t="n">
        <f>IF(N324=0,0,COUNTIFS('DATOS'!$R$10:$R$509,U324,'DATOS'!$S$10:$S$509,V324))</f>
        <v>0</v>
      </c>
      <c r="Y324" s="29" t="n">
        <f>IF(AND(ISNUMBER('DATOS'!G324),ISNUMBER('DATOS'!H324),ISNUMBER('DATOS'!J324)),1,0)</f>
        <v>0</v>
      </c>
    </row>
    <row r="325" ht="64" customHeight="1">
      <c r="B325" s="26">
        <f>IF(N325=1,316,"")</f>
      </c>
      <c r="C325" s="26">
        <f>IF(AND(N325=1,LEN(TRIM('DATOS'!B325&amp;""))&gt;0),'DATOS'!B325,"")</f>
      </c>
      <c r="D325" s="26">
        <f>IF(AND(N325=1,LEN(TRIM('DATOS'!C325&amp;""))&gt;0),'DATOS'!C325,"")</f>
      </c>
      <c r="E325" s="26">
        <f>IF(NOT(ISNUMBER(P325)),"",IF(P325=2,"ROJO",IF(P325=1,"ÁMBAR","VERDE")))</f>
      </c>
      <c r="F325" s="26">
        <f>IF(NOT(ISNUMBER(Q325)),"",IF(Q325=2,"ROJO",IF(Q325=1,"ÁMBAR","VERDE")))</f>
      </c>
      <c r="G325" s="26">
        <f>IF(NOT(ISNUMBER(R325)),"",IF(R325=2,"ROJO",IF(R325=1,"ÁMBAR","VERDE")))</f>
      </c>
      <c r="H325" s="26">
        <f>IF(NOT(ISNUMBER(S325)),"",IF(S325=2,"ROJO",IF(S325=1,"ÁMBAR","VERDE")))</f>
      </c>
      <c r="I325" s="26">
        <f>IF(NOT(ISNUMBER(T325)),"",IF(T325=2,"ROJO",IF(T325=1,"ÁMBAR","VERDE")))</f>
      </c>
      <c r="J325" s="26">
        <f>IF(NOT(ISNUMBER(O325)),"",IF(O325=2,"ROJO",IF(O325=1,"ÁMBAR","VERDE")))</f>
      </c>
      <c r="K325" s="26">
        <f>IFERROR(IF(AND(N325=1,LEN(TRIM('DATOS'!N325&amp;""))&gt;0),'DATOS'!N325,""),"Hay una entrada con error. Corregimos el dato antes de cerrar la comprobación.")</f>
      </c>
      <c r="L325" s="26">
        <f>IFERROR(IF(N325=0,"",IF(O325&gt;0,"Completamos datos, claves o motivo. ","")&amp;IF(P325&gt;0,"Cotejamos precios e importe. ","")&amp;IF(Q325&gt;0,"Aclaramos el cero. ","")&amp;IF(R325&gt;0,"Comprobamos el texto. ","")&amp;IF(S325&gt;0,"Revisamos decimales visibles. ","")&amp;IF(T325&gt;0,"Confirmamos la unidad.","")),"Hay una entrada con error. Corregimos el dato antes de cerrar la comprobación.")</f>
      </c>
      <c r="N325" s="29" t="n">
        <f>IF(COUNTA('DATOS'!B325:O325)&gt;0,1,0)</f>
        <v>0</v>
      </c>
      <c r="O325" s="29">
        <f>IFERROR(IF(N325=0,"",IF(OR(NOT(AND(LEN(TRIM('DATOS'!B325&amp;""))&gt;0,TRIM('DATOS'!B325&amp;"")&lt;&gt;"Pendiente",TRIM('DATOS'!B325&amp;"")&lt;&gt;"Por confirmar",TRIM('DATOS'!B325&amp;"")&lt;&gt;"No consta",TRIM('DATOS'!B325&amp;"")&lt;&gt;"Desconocido",TRIM('DATOS'!B325&amp;"")&lt;&gt;"Sin confirmar",TRIM('DATOS'!B325&amp;"")&lt;&gt;"Por decidir",TRIM('DATOS'!B325&amp;"")&lt;&gt;"Por comprobar")),NOT(AND(LEN(TRIM('DATOS'!C325&amp;""))&gt;0,TRIM('DATOS'!C325&amp;"")&lt;&gt;"Pendiente",TRIM('DATOS'!C325&amp;"")&lt;&gt;"Por confirmar",TRIM('DATOS'!C325&amp;"")&lt;&gt;"No consta",TRIM('DATOS'!C325&amp;"")&lt;&gt;"Desconocido",TRIM('DATOS'!C325&amp;"")&lt;&gt;"Sin confirmar",TRIM('DATOS'!C325&amp;"")&lt;&gt;"Por decidir",TRIM('DATOS'!C325&amp;"")&lt;&gt;"Por comprobar")),NOT(AND(LEN(TRIM('DATOS'!D325&amp;""))&gt;0,TRIM('DATOS'!D325&amp;"")&lt;&gt;"Pendiente",TRIM('DATOS'!D325&amp;"")&lt;&gt;"Por confirmar",TRIM('DATOS'!D325&amp;"")&lt;&gt;"No consta",TRIM('DATOS'!D325&amp;"")&lt;&gt;"Desconocido",TRIM('DATOS'!D325&amp;"")&lt;&gt;"Sin confirmar",TRIM('DATOS'!D325&amp;"")&lt;&gt;"Por decidir",TRIM('DATOS'!D325&amp;"")&lt;&gt;"Por comprobar")),NOT(AND(LEN(TRIM('DATOS'!E325&amp;""))&gt;0,TRIM('DATOS'!E325&amp;"")&lt;&gt;"Pendiente",TRIM('DATOS'!E325&amp;"")&lt;&gt;"Por confirmar",TRIM('DATOS'!E325&amp;"")&lt;&gt;"No consta",TRIM('DATOS'!E325&amp;"")&lt;&gt;"Desconocido",TRIM('DATOS'!E325&amp;"")&lt;&gt;"Sin confirmar",TRIM('DATOS'!E325&amp;"")&lt;&gt;"Por decidir",TRIM('DATOS'!E325&amp;"")&lt;&gt;"Por comprobar")),NOT(AND(LEN(TRIM('DATOS'!F325&amp;""))&gt;0,TRIM('DATOS'!F325&amp;"")&lt;&gt;"Pendiente",TRIM('DATOS'!F325&amp;"")&lt;&gt;"Por confirmar",TRIM('DATOS'!F325&amp;"")&lt;&gt;"No consta",TRIM('DATOS'!F325&amp;"")&lt;&gt;"Desconocido",TRIM('DATOS'!F325&amp;"")&lt;&gt;"Sin confirmar",TRIM('DATOS'!F325&amp;"")&lt;&gt;"Por decidir",TRIM('DATOS'!F325&amp;"")&lt;&gt;"Por comprobar")),NOT(AND(LEN(TRIM('DATOS'!N325&amp;""))&gt;0,TRIM('DATOS'!N325&amp;"")&lt;&gt;"Pendiente",TRIM('DATOS'!N325&amp;"")&lt;&gt;"Por confirmar",TRIM('DATOS'!N325&amp;"")&lt;&gt;"No consta",TRIM('DATOS'!N325&amp;"")&lt;&gt;"Desconocido",TRIM('DATOS'!N325&amp;"")&lt;&gt;"Sin confirmar",TRIM('DATOS'!N325&amp;"")&lt;&gt;"Por decidir",TRIM('DATOS'!N325&amp;"")&lt;&gt;"Por comprobar")),NOT(Y325=1),W325&lt;&gt;1,X325&gt;1,NOT(OR(LEN(TRIM('DATOS'!K325&amp;""))=0,'DATOS'!K325="Sin valorar",'DATOS'!K325="Sin coste documentado",'DATOS'!K325="Incluido en otra partida",'DATOS'!K325="Por confirmar")),NOT(OR(LEN(TRIM('DATOS'!M325&amp;""))=0,'DATOS'!M325="Sí",'DATOS'!M325="No",'DATOS'!M325="Por confirmar")),NOT(OR(LEN(TRIM('DATOS'!O325&amp;""))=0,'DATOS'!O325="Comparamos",'DATOS'!O325="No existe",'DATOS'!O325="Por confirmar"))),2,IF(AND(OR('DATOS'!G325&lt;0,'DATOS'!H325&lt;0,'DATOS'!J325&lt;0),NOT(AND(LEN(TRIM('DATOS'!L325&amp;""))&gt;0,TRIM('DATOS'!L325&amp;"")&lt;&gt;"Pendiente",TRIM('DATOS'!L325&amp;"")&lt;&gt;"Por confirmar",TRIM('DATOS'!L325&amp;"")&lt;&gt;"No consta",TRIM('DATOS'!L325&amp;"")&lt;&gt;"Desconocido",TRIM('DATOS'!L325&amp;"")&lt;&gt;"Sin confirmar",TRIM('DATOS'!L325&amp;"")&lt;&gt;"Por decidir",TRIM('DATOS'!L325&amp;"")&lt;&gt;"Por comprobar"))),1,0))),2)</f>
      </c>
      <c r="P325" s="29">
        <f>IFERROR(IF(N325=0,"",IF(NOT(Y325=1),1,IF('REFERENCIAS'!$Q$8&lt;&gt;1,2,IF(ABS('DATOS'!J325-ROUND('DATOS'!G325*'DATOS'!H325,'REFERENCIAS'!$K$8))&gt;0.00000001,2,IF('DATOS'!O325="No existe",IF(LEN(TRIM('DATOS'!I325&amp;""))=0,0,2),IF('DATOS'!O325="Comparamos",IF(LEN(TRIM('DATOS'!I325&amp;""))=0,1,IF(ISNUMBER('DATOS'!I325),IF(ABS('DATOS'!H325-'DATOS'!I325)&gt;0.00000001,2,0),2)),1)))))),2)</f>
      </c>
      <c r="Q325" s="29">
        <f>IFERROR(IF(N325=0,"",IF(NOT(Y325=1),1,IF('DATOS'!K325="Sin valorar",2,IF('DATOS'!G325=0,1,IF(OR('DATOS'!H325=0,'DATOS'!J325=0),IF(AND(OR('DATOS'!K325="Sin coste documentado",'DATOS'!K325="Incluido en otra partida"),AND(LEN(TRIM('DATOS'!L325&amp;""))&gt;0,TRIM('DATOS'!L325&amp;"")&lt;&gt;"Pendiente",TRIM('DATOS'!L325&amp;"")&lt;&gt;"Por confirmar",TRIM('DATOS'!L325&amp;"")&lt;&gt;"No consta",TRIM('DATOS'!L325&amp;"")&lt;&gt;"Desconocido",TRIM('DATOS'!L325&amp;"")&lt;&gt;"Sin confirmar",TRIM('DATOS'!L325&amp;"")&lt;&gt;"Por decidir",TRIM('DATOS'!L325&amp;"")&lt;&gt;"Por comprobar")),0,1),0))))),2)</f>
      </c>
      <c r="R325" s="29">
        <f>IFERROR(IF(N325=0,"",IF(OR(NOT(AND(LEN(TRIM('DATOS'!D325&amp;""))&gt;0,TRIM('DATOS'!D325&amp;"")&lt;&gt;"Pendiente",TRIM('DATOS'!D325&amp;"")&lt;&gt;"Por confirmar",TRIM('DATOS'!D325&amp;"")&lt;&gt;"No consta",TRIM('DATOS'!D325&amp;"")&lt;&gt;"Desconocido",TRIM('DATOS'!D325&amp;"")&lt;&gt;"Sin confirmar",TRIM('DATOS'!D325&amp;"")&lt;&gt;"Por decidir",TRIM('DATOS'!D325&amp;"")&lt;&gt;"Por comprobar")),NOT(AND(LEN(TRIM('DATOS'!E325&amp;""))&gt;0,TRIM('DATOS'!E325&amp;"")&lt;&gt;"Pendiente",TRIM('DATOS'!E325&amp;"")&lt;&gt;"Por confirmar",TRIM('DATOS'!E325&amp;"")&lt;&gt;"No consta",TRIM('DATOS'!E325&amp;"")&lt;&gt;"Desconocido",TRIM('DATOS'!E325&amp;"")&lt;&gt;"Sin confirmar",TRIM('DATOS'!E325&amp;"")&lt;&gt;"Por decidir",TRIM('DATOS'!E325&amp;"")&lt;&gt;"Por comprobar"))),2,IF('DATOS'!M325="No",2,IF('DATOS'!M325="Sí",0,IF(OR('DATOS'!D325&lt;&gt;'DATOS'!E325,LEN('DATOS'!E325)&gt;300,RIGHT(TRIM('DATOS'!E325),3)="...",RIGHT(TRIM('DATOS'!E325),1)="…"),1,0))))),2)</f>
      </c>
      <c r="S325" s="29">
        <f>IFERROR(IF(N325=0,"",IF('REFERENCIAS'!$Q$8&lt;&gt;1,2,IF(NOT(Y325=1),1,IF(OR(ABS('DATOS'!G325-ROUND('DATOS'!G325,'REFERENCIAS'!$E$8))&gt;0.00000001,ABS('DATOS'!H325-ROUND('DATOS'!H325,'REFERENCIAS'!$H$8))&gt;0.00000001,ABS('DATOS'!J325-ROUND('DATOS'!J325,'REFERENCIAS'!$K$8))&gt;0.00000001,IF(ISNUMBER('DATOS'!I325),ABS('DATOS'!I325-ROUND('DATOS'!I325,'REFERENCIAS'!$H$8))&gt;0.00000001,FALSE)),1,0)))),2)</f>
      </c>
      <c r="T325" s="29">
        <f>IFERROR(IF(N325=0,"",IF(NOT(AND(LEN(TRIM('DATOS'!F325&amp;""))&gt;0,TRIM('DATOS'!F325&amp;"")&lt;&gt;"Pendiente",TRIM('DATOS'!F325&amp;"")&lt;&gt;"Por confirmar",TRIM('DATOS'!F325&amp;"")&lt;&gt;"No consta",TRIM('DATOS'!F325&amp;"")&lt;&gt;"Desconocido",TRIM('DATOS'!F325&amp;"")&lt;&gt;"Sin confirmar",TRIM('DATOS'!F325&amp;"")&lt;&gt;"Por decidir",TRIM('DATOS'!F325&amp;"")&lt;&gt;"Por comprobar")),2,IF(COUNTIFS('REFERENCIAS'!$T$15:$T$34,"ID:"&amp;SUBSTITUTE(SUBSTITUTE(SUBSTITUTE(SUBSTITUTE(UPPER(TRIM('DATOS'!F325&amp;"")),"!","!E"),"*","!A"),"?","!B"),"~","!C"),'REFERENCIAS'!$H$15:$H$34,"&lt;&gt;")&gt;0,0,1))),2)</f>
      </c>
      <c r="U325" s="29" t="str">
        <f>'DATOS'!R325</f>
        <v>ID:</v>
      </c>
      <c r="V325" s="29" t="str">
        <f>'DATOS'!S325</f>
        <v>ID:</v>
      </c>
      <c r="W325" s="29" t="n">
        <f>IF(N325=0,0,COUNTIFS('REFERENCIAS'!$R$15:$R$64,U325))</f>
        <v>0</v>
      </c>
      <c r="X325" s="29" t="n">
        <f>IF(N325=0,0,COUNTIFS('DATOS'!$R$10:$R$509,U325,'DATOS'!$S$10:$S$509,V325))</f>
        <v>0</v>
      </c>
      <c r="Y325" s="29" t="n">
        <f>IF(AND(ISNUMBER('DATOS'!G325),ISNUMBER('DATOS'!H325),ISNUMBER('DATOS'!J325)),1,0)</f>
        <v>0</v>
      </c>
    </row>
    <row r="326" ht="64" customHeight="1">
      <c r="B326" s="26">
        <f>IF(N326=1,317,"")</f>
      </c>
      <c r="C326" s="26">
        <f>IF(AND(N326=1,LEN(TRIM('DATOS'!B326&amp;""))&gt;0),'DATOS'!B326,"")</f>
      </c>
      <c r="D326" s="26">
        <f>IF(AND(N326=1,LEN(TRIM('DATOS'!C326&amp;""))&gt;0),'DATOS'!C326,"")</f>
      </c>
      <c r="E326" s="26">
        <f>IF(NOT(ISNUMBER(P326)),"",IF(P326=2,"ROJO",IF(P326=1,"ÁMBAR","VERDE")))</f>
      </c>
      <c r="F326" s="26">
        <f>IF(NOT(ISNUMBER(Q326)),"",IF(Q326=2,"ROJO",IF(Q326=1,"ÁMBAR","VERDE")))</f>
      </c>
      <c r="G326" s="26">
        <f>IF(NOT(ISNUMBER(R326)),"",IF(R326=2,"ROJO",IF(R326=1,"ÁMBAR","VERDE")))</f>
      </c>
      <c r="H326" s="26">
        <f>IF(NOT(ISNUMBER(S326)),"",IF(S326=2,"ROJO",IF(S326=1,"ÁMBAR","VERDE")))</f>
      </c>
      <c r="I326" s="26">
        <f>IF(NOT(ISNUMBER(T326)),"",IF(T326=2,"ROJO",IF(T326=1,"ÁMBAR","VERDE")))</f>
      </c>
      <c r="J326" s="26">
        <f>IF(NOT(ISNUMBER(O326)),"",IF(O326=2,"ROJO",IF(O326=1,"ÁMBAR","VERDE")))</f>
      </c>
      <c r="K326" s="26">
        <f>IFERROR(IF(AND(N326=1,LEN(TRIM('DATOS'!N326&amp;""))&gt;0),'DATOS'!N326,""),"Hay una entrada con error. Corregimos el dato antes de cerrar la comprobación.")</f>
      </c>
      <c r="L326" s="26">
        <f>IFERROR(IF(N326=0,"",IF(O326&gt;0,"Completamos datos, claves o motivo. ","")&amp;IF(P326&gt;0,"Cotejamos precios e importe. ","")&amp;IF(Q326&gt;0,"Aclaramos el cero. ","")&amp;IF(R326&gt;0,"Comprobamos el texto. ","")&amp;IF(S326&gt;0,"Revisamos decimales visibles. ","")&amp;IF(T326&gt;0,"Confirmamos la unidad.","")),"Hay una entrada con error. Corregimos el dato antes de cerrar la comprobación.")</f>
      </c>
      <c r="N326" s="29" t="n">
        <f>IF(COUNTA('DATOS'!B326:O326)&gt;0,1,0)</f>
        <v>0</v>
      </c>
      <c r="O326" s="29">
        <f>IFERROR(IF(N326=0,"",IF(OR(NOT(AND(LEN(TRIM('DATOS'!B326&amp;""))&gt;0,TRIM('DATOS'!B326&amp;"")&lt;&gt;"Pendiente",TRIM('DATOS'!B326&amp;"")&lt;&gt;"Por confirmar",TRIM('DATOS'!B326&amp;"")&lt;&gt;"No consta",TRIM('DATOS'!B326&amp;"")&lt;&gt;"Desconocido",TRIM('DATOS'!B326&amp;"")&lt;&gt;"Sin confirmar",TRIM('DATOS'!B326&amp;"")&lt;&gt;"Por decidir",TRIM('DATOS'!B326&amp;"")&lt;&gt;"Por comprobar")),NOT(AND(LEN(TRIM('DATOS'!C326&amp;""))&gt;0,TRIM('DATOS'!C326&amp;"")&lt;&gt;"Pendiente",TRIM('DATOS'!C326&amp;"")&lt;&gt;"Por confirmar",TRIM('DATOS'!C326&amp;"")&lt;&gt;"No consta",TRIM('DATOS'!C326&amp;"")&lt;&gt;"Desconocido",TRIM('DATOS'!C326&amp;"")&lt;&gt;"Sin confirmar",TRIM('DATOS'!C326&amp;"")&lt;&gt;"Por decidir",TRIM('DATOS'!C326&amp;"")&lt;&gt;"Por comprobar")),NOT(AND(LEN(TRIM('DATOS'!D326&amp;""))&gt;0,TRIM('DATOS'!D326&amp;"")&lt;&gt;"Pendiente",TRIM('DATOS'!D326&amp;"")&lt;&gt;"Por confirmar",TRIM('DATOS'!D326&amp;"")&lt;&gt;"No consta",TRIM('DATOS'!D326&amp;"")&lt;&gt;"Desconocido",TRIM('DATOS'!D326&amp;"")&lt;&gt;"Sin confirmar",TRIM('DATOS'!D326&amp;"")&lt;&gt;"Por decidir",TRIM('DATOS'!D326&amp;"")&lt;&gt;"Por comprobar")),NOT(AND(LEN(TRIM('DATOS'!E326&amp;""))&gt;0,TRIM('DATOS'!E326&amp;"")&lt;&gt;"Pendiente",TRIM('DATOS'!E326&amp;"")&lt;&gt;"Por confirmar",TRIM('DATOS'!E326&amp;"")&lt;&gt;"No consta",TRIM('DATOS'!E326&amp;"")&lt;&gt;"Desconocido",TRIM('DATOS'!E326&amp;"")&lt;&gt;"Sin confirmar",TRIM('DATOS'!E326&amp;"")&lt;&gt;"Por decidir",TRIM('DATOS'!E326&amp;"")&lt;&gt;"Por comprobar")),NOT(AND(LEN(TRIM('DATOS'!F326&amp;""))&gt;0,TRIM('DATOS'!F326&amp;"")&lt;&gt;"Pendiente",TRIM('DATOS'!F326&amp;"")&lt;&gt;"Por confirmar",TRIM('DATOS'!F326&amp;"")&lt;&gt;"No consta",TRIM('DATOS'!F326&amp;"")&lt;&gt;"Desconocido",TRIM('DATOS'!F326&amp;"")&lt;&gt;"Sin confirmar",TRIM('DATOS'!F326&amp;"")&lt;&gt;"Por decidir",TRIM('DATOS'!F326&amp;"")&lt;&gt;"Por comprobar")),NOT(AND(LEN(TRIM('DATOS'!N326&amp;""))&gt;0,TRIM('DATOS'!N326&amp;"")&lt;&gt;"Pendiente",TRIM('DATOS'!N326&amp;"")&lt;&gt;"Por confirmar",TRIM('DATOS'!N326&amp;"")&lt;&gt;"No consta",TRIM('DATOS'!N326&amp;"")&lt;&gt;"Desconocido",TRIM('DATOS'!N326&amp;"")&lt;&gt;"Sin confirmar",TRIM('DATOS'!N326&amp;"")&lt;&gt;"Por decidir",TRIM('DATOS'!N326&amp;"")&lt;&gt;"Por comprobar")),NOT(Y326=1),W326&lt;&gt;1,X326&gt;1,NOT(OR(LEN(TRIM('DATOS'!K326&amp;""))=0,'DATOS'!K326="Sin valorar",'DATOS'!K326="Sin coste documentado",'DATOS'!K326="Incluido en otra partida",'DATOS'!K326="Por confirmar")),NOT(OR(LEN(TRIM('DATOS'!M326&amp;""))=0,'DATOS'!M326="Sí",'DATOS'!M326="No",'DATOS'!M326="Por confirmar")),NOT(OR(LEN(TRIM('DATOS'!O326&amp;""))=0,'DATOS'!O326="Comparamos",'DATOS'!O326="No existe",'DATOS'!O326="Por confirmar"))),2,IF(AND(OR('DATOS'!G326&lt;0,'DATOS'!H326&lt;0,'DATOS'!J326&lt;0),NOT(AND(LEN(TRIM('DATOS'!L326&amp;""))&gt;0,TRIM('DATOS'!L326&amp;"")&lt;&gt;"Pendiente",TRIM('DATOS'!L326&amp;"")&lt;&gt;"Por confirmar",TRIM('DATOS'!L326&amp;"")&lt;&gt;"No consta",TRIM('DATOS'!L326&amp;"")&lt;&gt;"Desconocido",TRIM('DATOS'!L326&amp;"")&lt;&gt;"Sin confirmar",TRIM('DATOS'!L326&amp;"")&lt;&gt;"Por decidir",TRIM('DATOS'!L326&amp;"")&lt;&gt;"Por comprobar"))),1,0))),2)</f>
      </c>
      <c r="P326" s="29">
        <f>IFERROR(IF(N326=0,"",IF(NOT(Y326=1),1,IF('REFERENCIAS'!$Q$8&lt;&gt;1,2,IF(ABS('DATOS'!J326-ROUND('DATOS'!G326*'DATOS'!H326,'REFERENCIAS'!$K$8))&gt;0.00000001,2,IF('DATOS'!O326="No existe",IF(LEN(TRIM('DATOS'!I326&amp;""))=0,0,2),IF('DATOS'!O326="Comparamos",IF(LEN(TRIM('DATOS'!I326&amp;""))=0,1,IF(ISNUMBER('DATOS'!I326),IF(ABS('DATOS'!H326-'DATOS'!I326)&gt;0.00000001,2,0),2)),1)))))),2)</f>
      </c>
      <c r="Q326" s="29">
        <f>IFERROR(IF(N326=0,"",IF(NOT(Y326=1),1,IF('DATOS'!K326="Sin valorar",2,IF('DATOS'!G326=0,1,IF(OR('DATOS'!H326=0,'DATOS'!J326=0),IF(AND(OR('DATOS'!K326="Sin coste documentado",'DATOS'!K326="Incluido en otra partida"),AND(LEN(TRIM('DATOS'!L326&amp;""))&gt;0,TRIM('DATOS'!L326&amp;"")&lt;&gt;"Pendiente",TRIM('DATOS'!L326&amp;"")&lt;&gt;"Por confirmar",TRIM('DATOS'!L326&amp;"")&lt;&gt;"No consta",TRIM('DATOS'!L326&amp;"")&lt;&gt;"Desconocido",TRIM('DATOS'!L326&amp;"")&lt;&gt;"Sin confirmar",TRIM('DATOS'!L326&amp;"")&lt;&gt;"Por decidir",TRIM('DATOS'!L326&amp;"")&lt;&gt;"Por comprobar")),0,1),0))))),2)</f>
      </c>
      <c r="R326" s="29">
        <f>IFERROR(IF(N326=0,"",IF(OR(NOT(AND(LEN(TRIM('DATOS'!D326&amp;""))&gt;0,TRIM('DATOS'!D326&amp;"")&lt;&gt;"Pendiente",TRIM('DATOS'!D326&amp;"")&lt;&gt;"Por confirmar",TRIM('DATOS'!D326&amp;"")&lt;&gt;"No consta",TRIM('DATOS'!D326&amp;"")&lt;&gt;"Desconocido",TRIM('DATOS'!D326&amp;"")&lt;&gt;"Sin confirmar",TRIM('DATOS'!D326&amp;"")&lt;&gt;"Por decidir",TRIM('DATOS'!D326&amp;"")&lt;&gt;"Por comprobar")),NOT(AND(LEN(TRIM('DATOS'!E326&amp;""))&gt;0,TRIM('DATOS'!E326&amp;"")&lt;&gt;"Pendiente",TRIM('DATOS'!E326&amp;"")&lt;&gt;"Por confirmar",TRIM('DATOS'!E326&amp;"")&lt;&gt;"No consta",TRIM('DATOS'!E326&amp;"")&lt;&gt;"Desconocido",TRIM('DATOS'!E326&amp;"")&lt;&gt;"Sin confirmar",TRIM('DATOS'!E326&amp;"")&lt;&gt;"Por decidir",TRIM('DATOS'!E326&amp;"")&lt;&gt;"Por comprobar"))),2,IF('DATOS'!M326="No",2,IF('DATOS'!M326="Sí",0,IF(OR('DATOS'!D326&lt;&gt;'DATOS'!E326,LEN('DATOS'!E326)&gt;300,RIGHT(TRIM('DATOS'!E326),3)="...",RIGHT(TRIM('DATOS'!E326),1)="…"),1,0))))),2)</f>
      </c>
      <c r="S326" s="29">
        <f>IFERROR(IF(N326=0,"",IF('REFERENCIAS'!$Q$8&lt;&gt;1,2,IF(NOT(Y326=1),1,IF(OR(ABS('DATOS'!G326-ROUND('DATOS'!G326,'REFERENCIAS'!$E$8))&gt;0.00000001,ABS('DATOS'!H326-ROUND('DATOS'!H326,'REFERENCIAS'!$H$8))&gt;0.00000001,ABS('DATOS'!J326-ROUND('DATOS'!J326,'REFERENCIAS'!$K$8))&gt;0.00000001,IF(ISNUMBER('DATOS'!I326),ABS('DATOS'!I326-ROUND('DATOS'!I326,'REFERENCIAS'!$H$8))&gt;0.00000001,FALSE)),1,0)))),2)</f>
      </c>
      <c r="T326" s="29">
        <f>IFERROR(IF(N326=0,"",IF(NOT(AND(LEN(TRIM('DATOS'!F326&amp;""))&gt;0,TRIM('DATOS'!F326&amp;"")&lt;&gt;"Pendiente",TRIM('DATOS'!F326&amp;"")&lt;&gt;"Por confirmar",TRIM('DATOS'!F326&amp;"")&lt;&gt;"No consta",TRIM('DATOS'!F326&amp;"")&lt;&gt;"Desconocido",TRIM('DATOS'!F326&amp;"")&lt;&gt;"Sin confirmar",TRIM('DATOS'!F326&amp;"")&lt;&gt;"Por decidir",TRIM('DATOS'!F326&amp;"")&lt;&gt;"Por comprobar")),2,IF(COUNTIFS('REFERENCIAS'!$T$15:$T$34,"ID:"&amp;SUBSTITUTE(SUBSTITUTE(SUBSTITUTE(SUBSTITUTE(UPPER(TRIM('DATOS'!F326&amp;"")),"!","!E"),"*","!A"),"?","!B"),"~","!C"),'REFERENCIAS'!$H$15:$H$34,"&lt;&gt;")&gt;0,0,1))),2)</f>
      </c>
      <c r="U326" s="29" t="str">
        <f>'DATOS'!R326</f>
        <v>ID:</v>
      </c>
      <c r="V326" s="29" t="str">
        <f>'DATOS'!S326</f>
        <v>ID:</v>
      </c>
      <c r="W326" s="29" t="n">
        <f>IF(N326=0,0,COUNTIFS('REFERENCIAS'!$R$15:$R$64,U326))</f>
        <v>0</v>
      </c>
      <c r="X326" s="29" t="n">
        <f>IF(N326=0,0,COUNTIFS('DATOS'!$R$10:$R$509,U326,'DATOS'!$S$10:$S$509,V326))</f>
        <v>0</v>
      </c>
      <c r="Y326" s="29" t="n">
        <f>IF(AND(ISNUMBER('DATOS'!G326),ISNUMBER('DATOS'!H326),ISNUMBER('DATOS'!J326)),1,0)</f>
        <v>0</v>
      </c>
    </row>
    <row r="327" ht="64" customHeight="1">
      <c r="B327" s="26">
        <f>IF(N327=1,318,"")</f>
      </c>
      <c r="C327" s="26">
        <f>IF(AND(N327=1,LEN(TRIM('DATOS'!B327&amp;""))&gt;0),'DATOS'!B327,"")</f>
      </c>
      <c r="D327" s="26">
        <f>IF(AND(N327=1,LEN(TRIM('DATOS'!C327&amp;""))&gt;0),'DATOS'!C327,"")</f>
      </c>
      <c r="E327" s="26">
        <f>IF(NOT(ISNUMBER(P327)),"",IF(P327=2,"ROJO",IF(P327=1,"ÁMBAR","VERDE")))</f>
      </c>
      <c r="F327" s="26">
        <f>IF(NOT(ISNUMBER(Q327)),"",IF(Q327=2,"ROJO",IF(Q327=1,"ÁMBAR","VERDE")))</f>
      </c>
      <c r="G327" s="26">
        <f>IF(NOT(ISNUMBER(R327)),"",IF(R327=2,"ROJO",IF(R327=1,"ÁMBAR","VERDE")))</f>
      </c>
      <c r="H327" s="26">
        <f>IF(NOT(ISNUMBER(S327)),"",IF(S327=2,"ROJO",IF(S327=1,"ÁMBAR","VERDE")))</f>
      </c>
      <c r="I327" s="26">
        <f>IF(NOT(ISNUMBER(T327)),"",IF(T327=2,"ROJO",IF(T327=1,"ÁMBAR","VERDE")))</f>
      </c>
      <c r="J327" s="26">
        <f>IF(NOT(ISNUMBER(O327)),"",IF(O327=2,"ROJO",IF(O327=1,"ÁMBAR","VERDE")))</f>
      </c>
      <c r="K327" s="26">
        <f>IFERROR(IF(AND(N327=1,LEN(TRIM('DATOS'!N327&amp;""))&gt;0),'DATOS'!N327,""),"Hay una entrada con error. Corregimos el dato antes de cerrar la comprobación.")</f>
      </c>
      <c r="L327" s="26">
        <f>IFERROR(IF(N327=0,"",IF(O327&gt;0,"Completamos datos, claves o motivo. ","")&amp;IF(P327&gt;0,"Cotejamos precios e importe. ","")&amp;IF(Q327&gt;0,"Aclaramos el cero. ","")&amp;IF(R327&gt;0,"Comprobamos el texto. ","")&amp;IF(S327&gt;0,"Revisamos decimales visibles. ","")&amp;IF(T327&gt;0,"Confirmamos la unidad.","")),"Hay una entrada con error. Corregimos el dato antes de cerrar la comprobación.")</f>
      </c>
      <c r="N327" s="29" t="n">
        <f>IF(COUNTA('DATOS'!B327:O327)&gt;0,1,0)</f>
        <v>0</v>
      </c>
      <c r="O327" s="29">
        <f>IFERROR(IF(N327=0,"",IF(OR(NOT(AND(LEN(TRIM('DATOS'!B327&amp;""))&gt;0,TRIM('DATOS'!B327&amp;"")&lt;&gt;"Pendiente",TRIM('DATOS'!B327&amp;"")&lt;&gt;"Por confirmar",TRIM('DATOS'!B327&amp;"")&lt;&gt;"No consta",TRIM('DATOS'!B327&amp;"")&lt;&gt;"Desconocido",TRIM('DATOS'!B327&amp;"")&lt;&gt;"Sin confirmar",TRIM('DATOS'!B327&amp;"")&lt;&gt;"Por decidir",TRIM('DATOS'!B327&amp;"")&lt;&gt;"Por comprobar")),NOT(AND(LEN(TRIM('DATOS'!C327&amp;""))&gt;0,TRIM('DATOS'!C327&amp;"")&lt;&gt;"Pendiente",TRIM('DATOS'!C327&amp;"")&lt;&gt;"Por confirmar",TRIM('DATOS'!C327&amp;"")&lt;&gt;"No consta",TRIM('DATOS'!C327&amp;"")&lt;&gt;"Desconocido",TRIM('DATOS'!C327&amp;"")&lt;&gt;"Sin confirmar",TRIM('DATOS'!C327&amp;"")&lt;&gt;"Por decidir",TRIM('DATOS'!C327&amp;"")&lt;&gt;"Por comprobar")),NOT(AND(LEN(TRIM('DATOS'!D327&amp;""))&gt;0,TRIM('DATOS'!D327&amp;"")&lt;&gt;"Pendiente",TRIM('DATOS'!D327&amp;"")&lt;&gt;"Por confirmar",TRIM('DATOS'!D327&amp;"")&lt;&gt;"No consta",TRIM('DATOS'!D327&amp;"")&lt;&gt;"Desconocido",TRIM('DATOS'!D327&amp;"")&lt;&gt;"Sin confirmar",TRIM('DATOS'!D327&amp;"")&lt;&gt;"Por decidir",TRIM('DATOS'!D327&amp;"")&lt;&gt;"Por comprobar")),NOT(AND(LEN(TRIM('DATOS'!E327&amp;""))&gt;0,TRIM('DATOS'!E327&amp;"")&lt;&gt;"Pendiente",TRIM('DATOS'!E327&amp;"")&lt;&gt;"Por confirmar",TRIM('DATOS'!E327&amp;"")&lt;&gt;"No consta",TRIM('DATOS'!E327&amp;"")&lt;&gt;"Desconocido",TRIM('DATOS'!E327&amp;"")&lt;&gt;"Sin confirmar",TRIM('DATOS'!E327&amp;"")&lt;&gt;"Por decidir",TRIM('DATOS'!E327&amp;"")&lt;&gt;"Por comprobar")),NOT(AND(LEN(TRIM('DATOS'!F327&amp;""))&gt;0,TRIM('DATOS'!F327&amp;"")&lt;&gt;"Pendiente",TRIM('DATOS'!F327&amp;"")&lt;&gt;"Por confirmar",TRIM('DATOS'!F327&amp;"")&lt;&gt;"No consta",TRIM('DATOS'!F327&amp;"")&lt;&gt;"Desconocido",TRIM('DATOS'!F327&amp;"")&lt;&gt;"Sin confirmar",TRIM('DATOS'!F327&amp;"")&lt;&gt;"Por decidir",TRIM('DATOS'!F327&amp;"")&lt;&gt;"Por comprobar")),NOT(AND(LEN(TRIM('DATOS'!N327&amp;""))&gt;0,TRIM('DATOS'!N327&amp;"")&lt;&gt;"Pendiente",TRIM('DATOS'!N327&amp;"")&lt;&gt;"Por confirmar",TRIM('DATOS'!N327&amp;"")&lt;&gt;"No consta",TRIM('DATOS'!N327&amp;"")&lt;&gt;"Desconocido",TRIM('DATOS'!N327&amp;"")&lt;&gt;"Sin confirmar",TRIM('DATOS'!N327&amp;"")&lt;&gt;"Por decidir",TRIM('DATOS'!N327&amp;"")&lt;&gt;"Por comprobar")),NOT(Y327=1),W327&lt;&gt;1,X327&gt;1,NOT(OR(LEN(TRIM('DATOS'!K327&amp;""))=0,'DATOS'!K327="Sin valorar",'DATOS'!K327="Sin coste documentado",'DATOS'!K327="Incluido en otra partida",'DATOS'!K327="Por confirmar")),NOT(OR(LEN(TRIM('DATOS'!M327&amp;""))=0,'DATOS'!M327="Sí",'DATOS'!M327="No",'DATOS'!M327="Por confirmar")),NOT(OR(LEN(TRIM('DATOS'!O327&amp;""))=0,'DATOS'!O327="Comparamos",'DATOS'!O327="No existe",'DATOS'!O327="Por confirmar"))),2,IF(AND(OR('DATOS'!G327&lt;0,'DATOS'!H327&lt;0,'DATOS'!J327&lt;0),NOT(AND(LEN(TRIM('DATOS'!L327&amp;""))&gt;0,TRIM('DATOS'!L327&amp;"")&lt;&gt;"Pendiente",TRIM('DATOS'!L327&amp;"")&lt;&gt;"Por confirmar",TRIM('DATOS'!L327&amp;"")&lt;&gt;"No consta",TRIM('DATOS'!L327&amp;"")&lt;&gt;"Desconocido",TRIM('DATOS'!L327&amp;"")&lt;&gt;"Sin confirmar",TRIM('DATOS'!L327&amp;"")&lt;&gt;"Por decidir",TRIM('DATOS'!L327&amp;"")&lt;&gt;"Por comprobar"))),1,0))),2)</f>
      </c>
      <c r="P327" s="29">
        <f>IFERROR(IF(N327=0,"",IF(NOT(Y327=1),1,IF('REFERENCIAS'!$Q$8&lt;&gt;1,2,IF(ABS('DATOS'!J327-ROUND('DATOS'!G327*'DATOS'!H327,'REFERENCIAS'!$K$8))&gt;0.00000001,2,IF('DATOS'!O327="No existe",IF(LEN(TRIM('DATOS'!I327&amp;""))=0,0,2),IF('DATOS'!O327="Comparamos",IF(LEN(TRIM('DATOS'!I327&amp;""))=0,1,IF(ISNUMBER('DATOS'!I327),IF(ABS('DATOS'!H327-'DATOS'!I327)&gt;0.00000001,2,0),2)),1)))))),2)</f>
      </c>
      <c r="Q327" s="29">
        <f>IFERROR(IF(N327=0,"",IF(NOT(Y327=1),1,IF('DATOS'!K327="Sin valorar",2,IF('DATOS'!G327=0,1,IF(OR('DATOS'!H327=0,'DATOS'!J327=0),IF(AND(OR('DATOS'!K327="Sin coste documentado",'DATOS'!K327="Incluido en otra partida"),AND(LEN(TRIM('DATOS'!L327&amp;""))&gt;0,TRIM('DATOS'!L327&amp;"")&lt;&gt;"Pendiente",TRIM('DATOS'!L327&amp;"")&lt;&gt;"Por confirmar",TRIM('DATOS'!L327&amp;"")&lt;&gt;"No consta",TRIM('DATOS'!L327&amp;"")&lt;&gt;"Desconocido",TRIM('DATOS'!L327&amp;"")&lt;&gt;"Sin confirmar",TRIM('DATOS'!L327&amp;"")&lt;&gt;"Por decidir",TRIM('DATOS'!L327&amp;"")&lt;&gt;"Por comprobar")),0,1),0))))),2)</f>
      </c>
      <c r="R327" s="29">
        <f>IFERROR(IF(N327=0,"",IF(OR(NOT(AND(LEN(TRIM('DATOS'!D327&amp;""))&gt;0,TRIM('DATOS'!D327&amp;"")&lt;&gt;"Pendiente",TRIM('DATOS'!D327&amp;"")&lt;&gt;"Por confirmar",TRIM('DATOS'!D327&amp;"")&lt;&gt;"No consta",TRIM('DATOS'!D327&amp;"")&lt;&gt;"Desconocido",TRIM('DATOS'!D327&amp;"")&lt;&gt;"Sin confirmar",TRIM('DATOS'!D327&amp;"")&lt;&gt;"Por decidir",TRIM('DATOS'!D327&amp;"")&lt;&gt;"Por comprobar")),NOT(AND(LEN(TRIM('DATOS'!E327&amp;""))&gt;0,TRIM('DATOS'!E327&amp;"")&lt;&gt;"Pendiente",TRIM('DATOS'!E327&amp;"")&lt;&gt;"Por confirmar",TRIM('DATOS'!E327&amp;"")&lt;&gt;"No consta",TRIM('DATOS'!E327&amp;"")&lt;&gt;"Desconocido",TRIM('DATOS'!E327&amp;"")&lt;&gt;"Sin confirmar",TRIM('DATOS'!E327&amp;"")&lt;&gt;"Por decidir",TRIM('DATOS'!E327&amp;"")&lt;&gt;"Por comprobar"))),2,IF('DATOS'!M327="No",2,IF('DATOS'!M327="Sí",0,IF(OR('DATOS'!D327&lt;&gt;'DATOS'!E327,LEN('DATOS'!E327)&gt;300,RIGHT(TRIM('DATOS'!E327),3)="...",RIGHT(TRIM('DATOS'!E327),1)="…"),1,0))))),2)</f>
      </c>
      <c r="S327" s="29">
        <f>IFERROR(IF(N327=0,"",IF('REFERENCIAS'!$Q$8&lt;&gt;1,2,IF(NOT(Y327=1),1,IF(OR(ABS('DATOS'!G327-ROUND('DATOS'!G327,'REFERENCIAS'!$E$8))&gt;0.00000001,ABS('DATOS'!H327-ROUND('DATOS'!H327,'REFERENCIAS'!$H$8))&gt;0.00000001,ABS('DATOS'!J327-ROUND('DATOS'!J327,'REFERENCIAS'!$K$8))&gt;0.00000001,IF(ISNUMBER('DATOS'!I327),ABS('DATOS'!I327-ROUND('DATOS'!I327,'REFERENCIAS'!$H$8))&gt;0.00000001,FALSE)),1,0)))),2)</f>
      </c>
      <c r="T327" s="29">
        <f>IFERROR(IF(N327=0,"",IF(NOT(AND(LEN(TRIM('DATOS'!F327&amp;""))&gt;0,TRIM('DATOS'!F327&amp;"")&lt;&gt;"Pendiente",TRIM('DATOS'!F327&amp;"")&lt;&gt;"Por confirmar",TRIM('DATOS'!F327&amp;"")&lt;&gt;"No consta",TRIM('DATOS'!F327&amp;"")&lt;&gt;"Desconocido",TRIM('DATOS'!F327&amp;"")&lt;&gt;"Sin confirmar",TRIM('DATOS'!F327&amp;"")&lt;&gt;"Por decidir",TRIM('DATOS'!F327&amp;"")&lt;&gt;"Por comprobar")),2,IF(COUNTIFS('REFERENCIAS'!$T$15:$T$34,"ID:"&amp;SUBSTITUTE(SUBSTITUTE(SUBSTITUTE(SUBSTITUTE(UPPER(TRIM('DATOS'!F327&amp;"")),"!","!E"),"*","!A"),"?","!B"),"~","!C"),'REFERENCIAS'!$H$15:$H$34,"&lt;&gt;")&gt;0,0,1))),2)</f>
      </c>
      <c r="U327" s="29" t="str">
        <f>'DATOS'!R327</f>
        <v>ID:</v>
      </c>
      <c r="V327" s="29" t="str">
        <f>'DATOS'!S327</f>
        <v>ID:</v>
      </c>
      <c r="W327" s="29" t="n">
        <f>IF(N327=0,0,COUNTIFS('REFERENCIAS'!$R$15:$R$64,U327))</f>
        <v>0</v>
      </c>
      <c r="X327" s="29" t="n">
        <f>IF(N327=0,0,COUNTIFS('DATOS'!$R$10:$R$509,U327,'DATOS'!$S$10:$S$509,V327))</f>
        <v>0</v>
      </c>
      <c r="Y327" s="29" t="n">
        <f>IF(AND(ISNUMBER('DATOS'!G327),ISNUMBER('DATOS'!H327),ISNUMBER('DATOS'!J327)),1,0)</f>
        <v>0</v>
      </c>
    </row>
    <row r="328" ht="64" customHeight="1">
      <c r="B328" s="26">
        <f>IF(N328=1,319,"")</f>
      </c>
      <c r="C328" s="26">
        <f>IF(AND(N328=1,LEN(TRIM('DATOS'!B328&amp;""))&gt;0),'DATOS'!B328,"")</f>
      </c>
      <c r="D328" s="26">
        <f>IF(AND(N328=1,LEN(TRIM('DATOS'!C328&amp;""))&gt;0),'DATOS'!C328,"")</f>
      </c>
      <c r="E328" s="26">
        <f>IF(NOT(ISNUMBER(P328)),"",IF(P328=2,"ROJO",IF(P328=1,"ÁMBAR","VERDE")))</f>
      </c>
      <c r="F328" s="26">
        <f>IF(NOT(ISNUMBER(Q328)),"",IF(Q328=2,"ROJO",IF(Q328=1,"ÁMBAR","VERDE")))</f>
      </c>
      <c r="G328" s="26">
        <f>IF(NOT(ISNUMBER(R328)),"",IF(R328=2,"ROJO",IF(R328=1,"ÁMBAR","VERDE")))</f>
      </c>
      <c r="H328" s="26">
        <f>IF(NOT(ISNUMBER(S328)),"",IF(S328=2,"ROJO",IF(S328=1,"ÁMBAR","VERDE")))</f>
      </c>
      <c r="I328" s="26">
        <f>IF(NOT(ISNUMBER(T328)),"",IF(T328=2,"ROJO",IF(T328=1,"ÁMBAR","VERDE")))</f>
      </c>
      <c r="J328" s="26">
        <f>IF(NOT(ISNUMBER(O328)),"",IF(O328=2,"ROJO",IF(O328=1,"ÁMBAR","VERDE")))</f>
      </c>
      <c r="K328" s="26">
        <f>IFERROR(IF(AND(N328=1,LEN(TRIM('DATOS'!N328&amp;""))&gt;0),'DATOS'!N328,""),"Hay una entrada con error. Corregimos el dato antes de cerrar la comprobación.")</f>
      </c>
      <c r="L328" s="26">
        <f>IFERROR(IF(N328=0,"",IF(O328&gt;0,"Completamos datos, claves o motivo. ","")&amp;IF(P328&gt;0,"Cotejamos precios e importe. ","")&amp;IF(Q328&gt;0,"Aclaramos el cero. ","")&amp;IF(R328&gt;0,"Comprobamos el texto. ","")&amp;IF(S328&gt;0,"Revisamos decimales visibles. ","")&amp;IF(T328&gt;0,"Confirmamos la unidad.","")),"Hay una entrada con error. Corregimos el dato antes de cerrar la comprobación.")</f>
      </c>
      <c r="N328" s="29" t="n">
        <f>IF(COUNTA('DATOS'!B328:O328)&gt;0,1,0)</f>
        <v>0</v>
      </c>
      <c r="O328" s="29">
        <f>IFERROR(IF(N328=0,"",IF(OR(NOT(AND(LEN(TRIM('DATOS'!B328&amp;""))&gt;0,TRIM('DATOS'!B328&amp;"")&lt;&gt;"Pendiente",TRIM('DATOS'!B328&amp;"")&lt;&gt;"Por confirmar",TRIM('DATOS'!B328&amp;"")&lt;&gt;"No consta",TRIM('DATOS'!B328&amp;"")&lt;&gt;"Desconocido",TRIM('DATOS'!B328&amp;"")&lt;&gt;"Sin confirmar",TRIM('DATOS'!B328&amp;"")&lt;&gt;"Por decidir",TRIM('DATOS'!B328&amp;"")&lt;&gt;"Por comprobar")),NOT(AND(LEN(TRIM('DATOS'!C328&amp;""))&gt;0,TRIM('DATOS'!C328&amp;"")&lt;&gt;"Pendiente",TRIM('DATOS'!C328&amp;"")&lt;&gt;"Por confirmar",TRIM('DATOS'!C328&amp;"")&lt;&gt;"No consta",TRIM('DATOS'!C328&amp;"")&lt;&gt;"Desconocido",TRIM('DATOS'!C328&amp;"")&lt;&gt;"Sin confirmar",TRIM('DATOS'!C328&amp;"")&lt;&gt;"Por decidir",TRIM('DATOS'!C328&amp;"")&lt;&gt;"Por comprobar")),NOT(AND(LEN(TRIM('DATOS'!D328&amp;""))&gt;0,TRIM('DATOS'!D328&amp;"")&lt;&gt;"Pendiente",TRIM('DATOS'!D328&amp;"")&lt;&gt;"Por confirmar",TRIM('DATOS'!D328&amp;"")&lt;&gt;"No consta",TRIM('DATOS'!D328&amp;"")&lt;&gt;"Desconocido",TRIM('DATOS'!D328&amp;"")&lt;&gt;"Sin confirmar",TRIM('DATOS'!D328&amp;"")&lt;&gt;"Por decidir",TRIM('DATOS'!D328&amp;"")&lt;&gt;"Por comprobar")),NOT(AND(LEN(TRIM('DATOS'!E328&amp;""))&gt;0,TRIM('DATOS'!E328&amp;"")&lt;&gt;"Pendiente",TRIM('DATOS'!E328&amp;"")&lt;&gt;"Por confirmar",TRIM('DATOS'!E328&amp;"")&lt;&gt;"No consta",TRIM('DATOS'!E328&amp;"")&lt;&gt;"Desconocido",TRIM('DATOS'!E328&amp;"")&lt;&gt;"Sin confirmar",TRIM('DATOS'!E328&amp;"")&lt;&gt;"Por decidir",TRIM('DATOS'!E328&amp;"")&lt;&gt;"Por comprobar")),NOT(AND(LEN(TRIM('DATOS'!F328&amp;""))&gt;0,TRIM('DATOS'!F328&amp;"")&lt;&gt;"Pendiente",TRIM('DATOS'!F328&amp;"")&lt;&gt;"Por confirmar",TRIM('DATOS'!F328&amp;"")&lt;&gt;"No consta",TRIM('DATOS'!F328&amp;"")&lt;&gt;"Desconocido",TRIM('DATOS'!F328&amp;"")&lt;&gt;"Sin confirmar",TRIM('DATOS'!F328&amp;"")&lt;&gt;"Por decidir",TRIM('DATOS'!F328&amp;"")&lt;&gt;"Por comprobar")),NOT(AND(LEN(TRIM('DATOS'!N328&amp;""))&gt;0,TRIM('DATOS'!N328&amp;"")&lt;&gt;"Pendiente",TRIM('DATOS'!N328&amp;"")&lt;&gt;"Por confirmar",TRIM('DATOS'!N328&amp;"")&lt;&gt;"No consta",TRIM('DATOS'!N328&amp;"")&lt;&gt;"Desconocido",TRIM('DATOS'!N328&amp;"")&lt;&gt;"Sin confirmar",TRIM('DATOS'!N328&amp;"")&lt;&gt;"Por decidir",TRIM('DATOS'!N328&amp;"")&lt;&gt;"Por comprobar")),NOT(Y328=1),W328&lt;&gt;1,X328&gt;1,NOT(OR(LEN(TRIM('DATOS'!K328&amp;""))=0,'DATOS'!K328="Sin valorar",'DATOS'!K328="Sin coste documentado",'DATOS'!K328="Incluido en otra partida",'DATOS'!K328="Por confirmar")),NOT(OR(LEN(TRIM('DATOS'!M328&amp;""))=0,'DATOS'!M328="Sí",'DATOS'!M328="No",'DATOS'!M328="Por confirmar")),NOT(OR(LEN(TRIM('DATOS'!O328&amp;""))=0,'DATOS'!O328="Comparamos",'DATOS'!O328="No existe",'DATOS'!O328="Por confirmar"))),2,IF(AND(OR('DATOS'!G328&lt;0,'DATOS'!H328&lt;0,'DATOS'!J328&lt;0),NOT(AND(LEN(TRIM('DATOS'!L328&amp;""))&gt;0,TRIM('DATOS'!L328&amp;"")&lt;&gt;"Pendiente",TRIM('DATOS'!L328&amp;"")&lt;&gt;"Por confirmar",TRIM('DATOS'!L328&amp;"")&lt;&gt;"No consta",TRIM('DATOS'!L328&amp;"")&lt;&gt;"Desconocido",TRIM('DATOS'!L328&amp;"")&lt;&gt;"Sin confirmar",TRIM('DATOS'!L328&amp;"")&lt;&gt;"Por decidir",TRIM('DATOS'!L328&amp;"")&lt;&gt;"Por comprobar"))),1,0))),2)</f>
      </c>
      <c r="P328" s="29">
        <f>IFERROR(IF(N328=0,"",IF(NOT(Y328=1),1,IF('REFERENCIAS'!$Q$8&lt;&gt;1,2,IF(ABS('DATOS'!J328-ROUND('DATOS'!G328*'DATOS'!H328,'REFERENCIAS'!$K$8))&gt;0.00000001,2,IF('DATOS'!O328="No existe",IF(LEN(TRIM('DATOS'!I328&amp;""))=0,0,2),IF('DATOS'!O328="Comparamos",IF(LEN(TRIM('DATOS'!I328&amp;""))=0,1,IF(ISNUMBER('DATOS'!I328),IF(ABS('DATOS'!H328-'DATOS'!I328)&gt;0.00000001,2,0),2)),1)))))),2)</f>
      </c>
      <c r="Q328" s="29">
        <f>IFERROR(IF(N328=0,"",IF(NOT(Y328=1),1,IF('DATOS'!K328="Sin valorar",2,IF('DATOS'!G328=0,1,IF(OR('DATOS'!H328=0,'DATOS'!J328=0),IF(AND(OR('DATOS'!K328="Sin coste documentado",'DATOS'!K328="Incluido en otra partida"),AND(LEN(TRIM('DATOS'!L328&amp;""))&gt;0,TRIM('DATOS'!L328&amp;"")&lt;&gt;"Pendiente",TRIM('DATOS'!L328&amp;"")&lt;&gt;"Por confirmar",TRIM('DATOS'!L328&amp;"")&lt;&gt;"No consta",TRIM('DATOS'!L328&amp;"")&lt;&gt;"Desconocido",TRIM('DATOS'!L328&amp;"")&lt;&gt;"Sin confirmar",TRIM('DATOS'!L328&amp;"")&lt;&gt;"Por decidir",TRIM('DATOS'!L328&amp;"")&lt;&gt;"Por comprobar")),0,1),0))))),2)</f>
      </c>
      <c r="R328" s="29">
        <f>IFERROR(IF(N328=0,"",IF(OR(NOT(AND(LEN(TRIM('DATOS'!D328&amp;""))&gt;0,TRIM('DATOS'!D328&amp;"")&lt;&gt;"Pendiente",TRIM('DATOS'!D328&amp;"")&lt;&gt;"Por confirmar",TRIM('DATOS'!D328&amp;"")&lt;&gt;"No consta",TRIM('DATOS'!D328&amp;"")&lt;&gt;"Desconocido",TRIM('DATOS'!D328&amp;"")&lt;&gt;"Sin confirmar",TRIM('DATOS'!D328&amp;"")&lt;&gt;"Por decidir",TRIM('DATOS'!D328&amp;"")&lt;&gt;"Por comprobar")),NOT(AND(LEN(TRIM('DATOS'!E328&amp;""))&gt;0,TRIM('DATOS'!E328&amp;"")&lt;&gt;"Pendiente",TRIM('DATOS'!E328&amp;"")&lt;&gt;"Por confirmar",TRIM('DATOS'!E328&amp;"")&lt;&gt;"No consta",TRIM('DATOS'!E328&amp;"")&lt;&gt;"Desconocido",TRIM('DATOS'!E328&amp;"")&lt;&gt;"Sin confirmar",TRIM('DATOS'!E328&amp;"")&lt;&gt;"Por decidir",TRIM('DATOS'!E328&amp;"")&lt;&gt;"Por comprobar"))),2,IF('DATOS'!M328="No",2,IF('DATOS'!M328="Sí",0,IF(OR('DATOS'!D328&lt;&gt;'DATOS'!E328,LEN('DATOS'!E328)&gt;300,RIGHT(TRIM('DATOS'!E328),3)="...",RIGHT(TRIM('DATOS'!E328),1)="…"),1,0))))),2)</f>
      </c>
      <c r="S328" s="29">
        <f>IFERROR(IF(N328=0,"",IF('REFERENCIAS'!$Q$8&lt;&gt;1,2,IF(NOT(Y328=1),1,IF(OR(ABS('DATOS'!G328-ROUND('DATOS'!G328,'REFERENCIAS'!$E$8))&gt;0.00000001,ABS('DATOS'!H328-ROUND('DATOS'!H328,'REFERENCIAS'!$H$8))&gt;0.00000001,ABS('DATOS'!J328-ROUND('DATOS'!J328,'REFERENCIAS'!$K$8))&gt;0.00000001,IF(ISNUMBER('DATOS'!I328),ABS('DATOS'!I328-ROUND('DATOS'!I328,'REFERENCIAS'!$H$8))&gt;0.00000001,FALSE)),1,0)))),2)</f>
      </c>
      <c r="T328" s="29">
        <f>IFERROR(IF(N328=0,"",IF(NOT(AND(LEN(TRIM('DATOS'!F328&amp;""))&gt;0,TRIM('DATOS'!F328&amp;"")&lt;&gt;"Pendiente",TRIM('DATOS'!F328&amp;"")&lt;&gt;"Por confirmar",TRIM('DATOS'!F328&amp;"")&lt;&gt;"No consta",TRIM('DATOS'!F328&amp;"")&lt;&gt;"Desconocido",TRIM('DATOS'!F328&amp;"")&lt;&gt;"Sin confirmar",TRIM('DATOS'!F328&amp;"")&lt;&gt;"Por decidir",TRIM('DATOS'!F328&amp;"")&lt;&gt;"Por comprobar")),2,IF(COUNTIFS('REFERENCIAS'!$T$15:$T$34,"ID:"&amp;SUBSTITUTE(SUBSTITUTE(SUBSTITUTE(SUBSTITUTE(UPPER(TRIM('DATOS'!F328&amp;"")),"!","!E"),"*","!A"),"?","!B"),"~","!C"),'REFERENCIAS'!$H$15:$H$34,"&lt;&gt;")&gt;0,0,1))),2)</f>
      </c>
      <c r="U328" s="29" t="str">
        <f>'DATOS'!R328</f>
        <v>ID:</v>
      </c>
      <c r="V328" s="29" t="str">
        <f>'DATOS'!S328</f>
        <v>ID:</v>
      </c>
      <c r="W328" s="29" t="n">
        <f>IF(N328=0,0,COUNTIFS('REFERENCIAS'!$R$15:$R$64,U328))</f>
        <v>0</v>
      </c>
      <c r="X328" s="29" t="n">
        <f>IF(N328=0,0,COUNTIFS('DATOS'!$R$10:$R$509,U328,'DATOS'!$S$10:$S$509,V328))</f>
        <v>0</v>
      </c>
      <c r="Y328" s="29" t="n">
        <f>IF(AND(ISNUMBER('DATOS'!G328),ISNUMBER('DATOS'!H328),ISNUMBER('DATOS'!J328)),1,0)</f>
        <v>0</v>
      </c>
    </row>
    <row r="329" ht="64" customHeight="1">
      <c r="B329" s="26">
        <f>IF(N329=1,320,"")</f>
      </c>
      <c r="C329" s="26">
        <f>IF(AND(N329=1,LEN(TRIM('DATOS'!B329&amp;""))&gt;0),'DATOS'!B329,"")</f>
      </c>
      <c r="D329" s="26">
        <f>IF(AND(N329=1,LEN(TRIM('DATOS'!C329&amp;""))&gt;0),'DATOS'!C329,"")</f>
      </c>
      <c r="E329" s="26">
        <f>IF(NOT(ISNUMBER(P329)),"",IF(P329=2,"ROJO",IF(P329=1,"ÁMBAR","VERDE")))</f>
      </c>
      <c r="F329" s="26">
        <f>IF(NOT(ISNUMBER(Q329)),"",IF(Q329=2,"ROJO",IF(Q329=1,"ÁMBAR","VERDE")))</f>
      </c>
      <c r="G329" s="26">
        <f>IF(NOT(ISNUMBER(R329)),"",IF(R329=2,"ROJO",IF(R329=1,"ÁMBAR","VERDE")))</f>
      </c>
      <c r="H329" s="26">
        <f>IF(NOT(ISNUMBER(S329)),"",IF(S329=2,"ROJO",IF(S329=1,"ÁMBAR","VERDE")))</f>
      </c>
      <c r="I329" s="26">
        <f>IF(NOT(ISNUMBER(T329)),"",IF(T329=2,"ROJO",IF(T329=1,"ÁMBAR","VERDE")))</f>
      </c>
      <c r="J329" s="26">
        <f>IF(NOT(ISNUMBER(O329)),"",IF(O329=2,"ROJO",IF(O329=1,"ÁMBAR","VERDE")))</f>
      </c>
      <c r="K329" s="26">
        <f>IFERROR(IF(AND(N329=1,LEN(TRIM('DATOS'!N329&amp;""))&gt;0),'DATOS'!N329,""),"Hay una entrada con error. Corregimos el dato antes de cerrar la comprobación.")</f>
      </c>
      <c r="L329" s="26">
        <f>IFERROR(IF(N329=0,"",IF(O329&gt;0,"Completamos datos, claves o motivo. ","")&amp;IF(P329&gt;0,"Cotejamos precios e importe. ","")&amp;IF(Q329&gt;0,"Aclaramos el cero. ","")&amp;IF(R329&gt;0,"Comprobamos el texto. ","")&amp;IF(S329&gt;0,"Revisamos decimales visibles. ","")&amp;IF(T329&gt;0,"Confirmamos la unidad.","")),"Hay una entrada con error. Corregimos el dato antes de cerrar la comprobación.")</f>
      </c>
      <c r="N329" s="29" t="n">
        <f>IF(COUNTA('DATOS'!B329:O329)&gt;0,1,0)</f>
        <v>0</v>
      </c>
      <c r="O329" s="29">
        <f>IFERROR(IF(N329=0,"",IF(OR(NOT(AND(LEN(TRIM('DATOS'!B329&amp;""))&gt;0,TRIM('DATOS'!B329&amp;"")&lt;&gt;"Pendiente",TRIM('DATOS'!B329&amp;"")&lt;&gt;"Por confirmar",TRIM('DATOS'!B329&amp;"")&lt;&gt;"No consta",TRIM('DATOS'!B329&amp;"")&lt;&gt;"Desconocido",TRIM('DATOS'!B329&amp;"")&lt;&gt;"Sin confirmar",TRIM('DATOS'!B329&amp;"")&lt;&gt;"Por decidir",TRIM('DATOS'!B329&amp;"")&lt;&gt;"Por comprobar")),NOT(AND(LEN(TRIM('DATOS'!C329&amp;""))&gt;0,TRIM('DATOS'!C329&amp;"")&lt;&gt;"Pendiente",TRIM('DATOS'!C329&amp;"")&lt;&gt;"Por confirmar",TRIM('DATOS'!C329&amp;"")&lt;&gt;"No consta",TRIM('DATOS'!C329&amp;"")&lt;&gt;"Desconocido",TRIM('DATOS'!C329&amp;"")&lt;&gt;"Sin confirmar",TRIM('DATOS'!C329&amp;"")&lt;&gt;"Por decidir",TRIM('DATOS'!C329&amp;"")&lt;&gt;"Por comprobar")),NOT(AND(LEN(TRIM('DATOS'!D329&amp;""))&gt;0,TRIM('DATOS'!D329&amp;"")&lt;&gt;"Pendiente",TRIM('DATOS'!D329&amp;"")&lt;&gt;"Por confirmar",TRIM('DATOS'!D329&amp;"")&lt;&gt;"No consta",TRIM('DATOS'!D329&amp;"")&lt;&gt;"Desconocido",TRIM('DATOS'!D329&amp;"")&lt;&gt;"Sin confirmar",TRIM('DATOS'!D329&amp;"")&lt;&gt;"Por decidir",TRIM('DATOS'!D329&amp;"")&lt;&gt;"Por comprobar")),NOT(AND(LEN(TRIM('DATOS'!E329&amp;""))&gt;0,TRIM('DATOS'!E329&amp;"")&lt;&gt;"Pendiente",TRIM('DATOS'!E329&amp;"")&lt;&gt;"Por confirmar",TRIM('DATOS'!E329&amp;"")&lt;&gt;"No consta",TRIM('DATOS'!E329&amp;"")&lt;&gt;"Desconocido",TRIM('DATOS'!E329&amp;"")&lt;&gt;"Sin confirmar",TRIM('DATOS'!E329&amp;"")&lt;&gt;"Por decidir",TRIM('DATOS'!E329&amp;"")&lt;&gt;"Por comprobar")),NOT(AND(LEN(TRIM('DATOS'!F329&amp;""))&gt;0,TRIM('DATOS'!F329&amp;"")&lt;&gt;"Pendiente",TRIM('DATOS'!F329&amp;"")&lt;&gt;"Por confirmar",TRIM('DATOS'!F329&amp;"")&lt;&gt;"No consta",TRIM('DATOS'!F329&amp;"")&lt;&gt;"Desconocido",TRIM('DATOS'!F329&amp;"")&lt;&gt;"Sin confirmar",TRIM('DATOS'!F329&amp;"")&lt;&gt;"Por decidir",TRIM('DATOS'!F329&amp;"")&lt;&gt;"Por comprobar")),NOT(AND(LEN(TRIM('DATOS'!N329&amp;""))&gt;0,TRIM('DATOS'!N329&amp;"")&lt;&gt;"Pendiente",TRIM('DATOS'!N329&amp;"")&lt;&gt;"Por confirmar",TRIM('DATOS'!N329&amp;"")&lt;&gt;"No consta",TRIM('DATOS'!N329&amp;"")&lt;&gt;"Desconocido",TRIM('DATOS'!N329&amp;"")&lt;&gt;"Sin confirmar",TRIM('DATOS'!N329&amp;"")&lt;&gt;"Por decidir",TRIM('DATOS'!N329&amp;"")&lt;&gt;"Por comprobar")),NOT(Y329=1),W329&lt;&gt;1,X329&gt;1,NOT(OR(LEN(TRIM('DATOS'!K329&amp;""))=0,'DATOS'!K329="Sin valorar",'DATOS'!K329="Sin coste documentado",'DATOS'!K329="Incluido en otra partida",'DATOS'!K329="Por confirmar")),NOT(OR(LEN(TRIM('DATOS'!M329&amp;""))=0,'DATOS'!M329="Sí",'DATOS'!M329="No",'DATOS'!M329="Por confirmar")),NOT(OR(LEN(TRIM('DATOS'!O329&amp;""))=0,'DATOS'!O329="Comparamos",'DATOS'!O329="No existe",'DATOS'!O329="Por confirmar"))),2,IF(AND(OR('DATOS'!G329&lt;0,'DATOS'!H329&lt;0,'DATOS'!J329&lt;0),NOT(AND(LEN(TRIM('DATOS'!L329&amp;""))&gt;0,TRIM('DATOS'!L329&amp;"")&lt;&gt;"Pendiente",TRIM('DATOS'!L329&amp;"")&lt;&gt;"Por confirmar",TRIM('DATOS'!L329&amp;"")&lt;&gt;"No consta",TRIM('DATOS'!L329&amp;"")&lt;&gt;"Desconocido",TRIM('DATOS'!L329&amp;"")&lt;&gt;"Sin confirmar",TRIM('DATOS'!L329&amp;"")&lt;&gt;"Por decidir",TRIM('DATOS'!L329&amp;"")&lt;&gt;"Por comprobar"))),1,0))),2)</f>
      </c>
      <c r="P329" s="29">
        <f>IFERROR(IF(N329=0,"",IF(NOT(Y329=1),1,IF('REFERENCIAS'!$Q$8&lt;&gt;1,2,IF(ABS('DATOS'!J329-ROUND('DATOS'!G329*'DATOS'!H329,'REFERENCIAS'!$K$8))&gt;0.00000001,2,IF('DATOS'!O329="No existe",IF(LEN(TRIM('DATOS'!I329&amp;""))=0,0,2),IF('DATOS'!O329="Comparamos",IF(LEN(TRIM('DATOS'!I329&amp;""))=0,1,IF(ISNUMBER('DATOS'!I329),IF(ABS('DATOS'!H329-'DATOS'!I329)&gt;0.00000001,2,0),2)),1)))))),2)</f>
      </c>
      <c r="Q329" s="29">
        <f>IFERROR(IF(N329=0,"",IF(NOT(Y329=1),1,IF('DATOS'!K329="Sin valorar",2,IF('DATOS'!G329=0,1,IF(OR('DATOS'!H329=0,'DATOS'!J329=0),IF(AND(OR('DATOS'!K329="Sin coste documentado",'DATOS'!K329="Incluido en otra partida"),AND(LEN(TRIM('DATOS'!L329&amp;""))&gt;0,TRIM('DATOS'!L329&amp;"")&lt;&gt;"Pendiente",TRIM('DATOS'!L329&amp;"")&lt;&gt;"Por confirmar",TRIM('DATOS'!L329&amp;"")&lt;&gt;"No consta",TRIM('DATOS'!L329&amp;"")&lt;&gt;"Desconocido",TRIM('DATOS'!L329&amp;"")&lt;&gt;"Sin confirmar",TRIM('DATOS'!L329&amp;"")&lt;&gt;"Por decidir",TRIM('DATOS'!L329&amp;"")&lt;&gt;"Por comprobar")),0,1),0))))),2)</f>
      </c>
      <c r="R329" s="29">
        <f>IFERROR(IF(N329=0,"",IF(OR(NOT(AND(LEN(TRIM('DATOS'!D329&amp;""))&gt;0,TRIM('DATOS'!D329&amp;"")&lt;&gt;"Pendiente",TRIM('DATOS'!D329&amp;"")&lt;&gt;"Por confirmar",TRIM('DATOS'!D329&amp;"")&lt;&gt;"No consta",TRIM('DATOS'!D329&amp;"")&lt;&gt;"Desconocido",TRIM('DATOS'!D329&amp;"")&lt;&gt;"Sin confirmar",TRIM('DATOS'!D329&amp;"")&lt;&gt;"Por decidir",TRIM('DATOS'!D329&amp;"")&lt;&gt;"Por comprobar")),NOT(AND(LEN(TRIM('DATOS'!E329&amp;""))&gt;0,TRIM('DATOS'!E329&amp;"")&lt;&gt;"Pendiente",TRIM('DATOS'!E329&amp;"")&lt;&gt;"Por confirmar",TRIM('DATOS'!E329&amp;"")&lt;&gt;"No consta",TRIM('DATOS'!E329&amp;"")&lt;&gt;"Desconocido",TRIM('DATOS'!E329&amp;"")&lt;&gt;"Sin confirmar",TRIM('DATOS'!E329&amp;"")&lt;&gt;"Por decidir",TRIM('DATOS'!E329&amp;"")&lt;&gt;"Por comprobar"))),2,IF('DATOS'!M329="No",2,IF('DATOS'!M329="Sí",0,IF(OR('DATOS'!D329&lt;&gt;'DATOS'!E329,LEN('DATOS'!E329)&gt;300,RIGHT(TRIM('DATOS'!E329),3)="...",RIGHT(TRIM('DATOS'!E329),1)="…"),1,0))))),2)</f>
      </c>
      <c r="S329" s="29">
        <f>IFERROR(IF(N329=0,"",IF('REFERENCIAS'!$Q$8&lt;&gt;1,2,IF(NOT(Y329=1),1,IF(OR(ABS('DATOS'!G329-ROUND('DATOS'!G329,'REFERENCIAS'!$E$8))&gt;0.00000001,ABS('DATOS'!H329-ROUND('DATOS'!H329,'REFERENCIAS'!$H$8))&gt;0.00000001,ABS('DATOS'!J329-ROUND('DATOS'!J329,'REFERENCIAS'!$K$8))&gt;0.00000001,IF(ISNUMBER('DATOS'!I329),ABS('DATOS'!I329-ROUND('DATOS'!I329,'REFERENCIAS'!$H$8))&gt;0.00000001,FALSE)),1,0)))),2)</f>
      </c>
      <c r="T329" s="29">
        <f>IFERROR(IF(N329=0,"",IF(NOT(AND(LEN(TRIM('DATOS'!F329&amp;""))&gt;0,TRIM('DATOS'!F329&amp;"")&lt;&gt;"Pendiente",TRIM('DATOS'!F329&amp;"")&lt;&gt;"Por confirmar",TRIM('DATOS'!F329&amp;"")&lt;&gt;"No consta",TRIM('DATOS'!F329&amp;"")&lt;&gt;"Desconocido",TRIM('DATOS'!F329&amp;"")&lt;&gt;"Sin confirmar",TRIM('DATOS'!F329&amp;"")&lt;&gt;"Por decidir",TRIM('DATOS'!F329&amp;"")&lt;&gt;"Por comprobar")),2,IF(COUNTIFS('REFERENCIAS'!$T$15:$T$34,"ID:"&amp;SUBSTITUTE(SUBSTITUTE(SUBSTITUTE(SUBSTITUTE(UPPER(TRIM('DATOS'!F329&amp;"")),"!","!E"),"*","!A"),"?","!B"),"~","!C"),'REFERENCIAS'!$H$15:$H$34,"&lt;&gt;")&gt;0,0,1))),2)</f>
      </c>
      <c r="U329" s="29" t="str">
        <f>'DATOS'!R329</f>
        <v>ID:</v>
      </c>
      <c r="V329" s="29" t="str">
        <f>'DATOS'!S329</f>
        <v>ID:</v>
      </c>
      <c r="W329" s="29" t="n">
        <f>IF(N329=0,0,COUNTIFS('REFERENCIAS'!$R$15:$R$64,U329))</f>
        <v>0</v>
      </c>
      <c r="X329" s="29" t="n">
        <f>IF(N329=0,0,COUNTIFS('DATOS'!$R$10:$R$509,U329,'DATOS'!$S$10:$S$509,V329))</f>
        <v>0</v>
      </c>
      <c r="Y329" s="29" t="n">
        <f>IF(AND(ISNUMBER('DATOS'!G329),ISNUMBER('DATOS'!H329),ISNUMBER('DATOS'!J329)),1,0)</f>
        <v>0</v>
      </c>
    </row>
    <row r="330" ht="64" customHeight="1">
      <c r="B330" s="26">
        <f>IF(N330=1,321,"")</f>
      </c>
      <c r="C330" s="26">
        <f>IF(AND(N330=1,LEN(TRIM('DATOS'!B330&amp;""))&gt;0),'DATOS'!B330,"")</f>
      </c>
      <c r="D330" s="26">
        <f>IF(AND(N330=1,LEN(TRIM('DATOS'!C330&amp;""))&gt;0),'DATOS'!C330,"")</f>
      </c>
      <c r="E330" s="26">
        <f>IF(NOT(ISNUMBER(P330)),"",IF(P330=2,"ROJO",IF(P330=1,"ÁMBAR","VERDE")))</f>
      </c>
      <c r="F330" s="26">
        <f>IF(NOT(ISNUMBER(Q330)),"",IF(Q330=2,"ROJO",IF(Q330=1,"ÁMBAR","VERDE")))</f>
      </c>
      <c r="G330" s="26">
        <f>IF(NOT(ISNUMBER(R330)),"",IF(R330=2,"ROJO",IF(R330=1,"ÁMBAR","VERDE")))</f>
      </c>
      <c r="H330" s="26">
        <f>IF(NOT(ISNUMBER(S330)),"",IF(S330=2,"ROJO",IF(S330=1,"ÁMBAR","VERDE")))</f>
      </c>
      <c r="I330" s="26">
        <f>IF(NOT(ISNUMBER(T330)),"",IF(T330=2,"ROJO",IF(T330=1,"ÁMBAR","VERDE")))</f>
      </c>
      <c r="J330" s="26">
        <f>IF(NOT(ISNUMBER(O330)),"",IF(O330=2,"ROJO",IF(O330=1,"ÁMBAR","VERDE")))</f>
      </c>
      <c r="K330" s="26">
        <f>IFERROR(IF(AND(N330=1,LEN(TRIM('DATOS'!N330&amp;""))&gt;0),'DATOS'!N330,""),"Hay una entrada con error. Corregimos el dato antes de cerrar la comprobación.")</f>
      </c>
      <c r="L330" s="26">
        <f>IFERROR(IF(N330=0,"",IF(O330&gt;0,"Completamos datos, claves o motivo. ","")&amp;IF(P330&gt;0,"Cotejamos precios e importe. ","")&amp;IF(Q330&gt;0,"Aclaramos el cero. ","")&amp;IF(R330&gt;0,"Comprobamos el texto. ","")&amp;IF(S330&gt;0,"Revisamos decimales visibles. ","")&amp;IF(T330&gt;0,"Confirmamos la unidad.","")),"Hay una entrada con error. Corregimos el dato antes de cerrar la comprobación.")</f>
      </c>
      <c r="N330" s="29" t="n">
        <f>IF(COUNTA('DATOS'!B330:O330)&gt;0,1,0)</f>
        <v>0</v>
      </c>
      <c r="O330" s="29">
        <f>IFERROR(IF(N330=0,"",IF(OR(NOT(AND(LEN(TRIM('DATOS'!B330&amp;""))&gt;0,TRIM('DATOS'!B330&amp;"")&lt;&gt;"Pendiente",TRIM('DATOS'!B330&amp;"")&lt;&gt;"Por confirmar",TRIM('DATOS'!B330&amp;"")&lt;&gt;"No consta",TRIM('DATOS'!B330&amp;"")&lt;&gt;"Desconocido",TRIM('DATOS'!B330&amp;"")&lt;&gt;"Sin confirmar",TRIM('DATOS'!B330&amp;"")&lt;&gt;"Por decidir",TRIM('DATOS'!B330&amp;"")&lt;&gt;"Por comprobar")),NOT(AND(LEN(TRIM('DATOS'!C330&amp;""))&gt;0,TRIM('DATOS'!C330&amp;"")&lt;&gt;"Pendiente",TRIM('DATOS'!C330&amp;"")&lt;&gt;"Por confirmar",TRIM('DATOS'!C330&amp;"")&lt;&gt;"No consta",TRIM('DATOS'!C330&amp;"")&lt;&gt;"Desconocido",TRIM('DATOS'!C330&amp;"")&lt;&gt;"Sin confirmar",TRIM('DATOS'!C330&amp;"")&lt;&gt;"Por decidir",TRIM('DATOS'!C330&amp;"")&lt;&gt;"Por comprobar")),NOT(AND(LEN(TRIM('DATOS'!D330&amp;""))&gt;0,TRIM('DATOS'!D330&amp;"")&lt;&gt;"Pendiente",TRIM('DATOS'!D330&amp;"")&lt;&gt;"Por confirmar",TRIM('DATOS'!D330&amp;"")&lt;&gt;"No consta",TRIM('DATOS'!D330&amp;"")&lt;&gt;"Desconocido",TRIM('DATOS'!D330&amp;"")&lt;&gt;"Sin confirmar",TRIM('DATOS'!D330&amp;"")&lt;&gt;"Por decidir",TRIM('DATOS'!D330&amp;"")&lt;&gt;"Por comprobar")),NOT(AND(LEN(TRIM('DATOS'!E330&amp;""))&gt;0,TRIM('DATOS'!E330&amp;"")&lt;&gt;"Pendiente",TRIM('DATOS'!E330&amp;"")&lt;&gt;"Por confirmar",TRIM('DATOS'!E330&amp;"")&lt;&gt;"No consta",TRIM('DATOS'!E330&amp;"")&lt;&gt;"Desconocido",TRIM('DATOS'!E330&amp;"")&lt;&gt;"Sin confirmar",TRIM('DATOS'!E330&amp;"")&lt;&gt;"Por decidir",TRIM('DATOS'!E330&amp;"")&lt;&gt;"Por comprobar")),NOT(AND(LEN(TRIM('DATOS'!F330&amp;""))&gt;0,TRIM('DATOS'!F330&amp;"")&lt;&gt;"Pendiente",TRIM('DATOS'!F330&amp;"")&lt;&gt;"Por confirmar",TRIM('DATOS'!F330&amp;"")&lt;&gt;"No consta",TRIM('DATOS'!F330&amp;"")&lt;&gt;"Desconocido",TRIM('DATOS'!F330&amp;"")&lt;&gt;"Sin confirmar",TRIM('DATOS'!F330&amp;"")&lt;&gt;"Por decidir",TRIM('DATOS'!F330&amp;"")&lt;&gt;"Por comprobar")),NOT(AND(LEN(TRIM('DATOS'!N330&amp;""))&gt;0,TRIM('DATOS'!N330&amp;"")&lt;&gt;"Pendiente",TRIM('DATOS'!N330&amp;"")&lt;&gt;"Por confirmar",TRIM('DATOS'!N330&amp;"")&lt;&gt;"No consta",TRIM('DATOS'!N330&amp;"")&lt;&gt;"Desconocido",TRIM('DATOS'!N330&amp;"")&lt;&gt;"Sin confirmar",TRIM('DATOS'!N330&amp;"")&lt;&gt;"Por decidir",TRIM('DATOS'!N330&amp;"")&lt;&gt;"Por comprobar")),NOT(Y330=1),W330&lt;&gt;1,X330&gt;1,NOT(OR(LEN(TRIM('DATOS'!K330&amp;""))=0,'DATOS'!K330="Sin valorar",'DATOS'!K330="Sin coste documentado",'DATOS'!K330="Incluido en otra partida",'DATOS'!K330="Por confirmar")),NOT(OR(LEN(TRIM('DATOS'!M330&amp;""))=0,'DATOS'!M330="Sí",'DATOS'!M330="No",'DATOS'!M330="Por confirmar")),NOT(OR(LEN(TRIM('DATOS'!O330&amp;""))=0,'DATOS'!O330="Comparamos",'DATOS'!O330="No existe",'DATOS'!O330="Por confirmar"))),2,IF(AND(OR('DATOS'!G330&lt;0,'DATOS'!H330&lt;0,'DATOS'!J330&lt;0),NOT(AND(LEN(TRIM('DATOS'!L330&amp;""))&gt;0,TRIM('DATOS'!L330&amp;"")&lt;&gt;"Pendiente",TRIM('DATOS'!L330&amp;"")&lt;&gt;"Por confirmar",TRIM('DATOS'!L330&amp;"")&lt;&gt;"No consta",TRIM('DATOS'!L330&amp;"")&lt;&gt;"Desconocido",TRIM('DATOS'!L330&amp;"")&lt;&gt;"Sin confirmar",TRIM('DATOS'!L330&amp;"")&lt;&gt;"Por decidir",TRIM('DATOS'!L330&amp;"")&lt;&gt;"Por comprobar"))),1,0))),2)</f>
      </c>
      <c r="P330" s="29">
        <f>IFERROR(IF(N330=0,"",IF(NOT(Y330=1),1,IF('REFERENCIAS'!$Q$8&lt;&gt;1,2,IF(ABS('DATOS'!J330-ROUND('DATOS'!G330*'DATOS'!H330,'REFERENCIAS'!$K$8))&gt;0.00000001,2,IF('DATOS'!O330="No existe",IF(LEN(TRIM('DATOS'!I330&amp;""))=0,0,2),IF('DATOS'!O330="Comparamos",IF(LEN(TRIM('DATOS'!I330&amp;""))=0,1,IF(ISNUMBER('DATOS'!I330),IF(ABS('DATOS'!H330-'DATOS'!I330)&gt;0.00000001,2,0),2)),1)))))),2)</f>
      </c>
      <c r="Q330" s="29">
        <f>IFERROR(IF(N330=0,"",IF(NOT(Y330=1),1,IF('DATOS'!K330="Sin valorar",2,IF('DATOS'!G330=0,1,IF(OR('DATOS'!H330=0,'DATOS'!J330=0),IF(AND(OR('DATOS'!K330="Sin coste documentado",'DATOS'!K330="Incluido en otra partida"),AND(LEN(TRIM('DATOS'!L330&amp;""))&gt;0,TRIM('DATOS'!L330&amp;"")&lt;&gt;"Pendiente",TRIM('DATOS'!L330&amp;"")&lt;&gt;"Por confirmar",TRIM('DATOS'!L330&amp;"")&lt;&gt;"No consta",TRIM('DATOS'!L330&amp;"")&lt;&gt;"Desconocido",TRIM('DATOS'!L330&amp;"")&lt;&gt;"Sin confirmar",TRIM('DATOS'!L330&amp;"")&lt;&gt;"Por decidir",TRIM('DATOS'!L330&amp;"")&lt;&gt;"Por comprobar")),0,1),0))))),2)</f>
      </c>
      <c r="R330" s="29">
        <f>IFERROR(IF(N330=0,"",IF(OR(NOT(AND(LEN(TRIM('DATOS'!D330&amp;""))&gt;0,TRIM('DATOS'!D330&amp;"")&lt;&gt;"Pendiente",TRIM('DATOS'!D330&amp;"")&lt;&gt;"Por confirmar",TRIM('DATOS'!D330&amp;"")&lt;&gt;"No consta",TRIM('DATOS'!D330&amp;"")&lt;&gt;"Desconocido",TRIM('DATOS'!D330&amp;"")&lt;&gt;"Sin confirmar",TRIM('DATOS'!D330&amp;"")&lt;&gt;"Por decidir",TRIM('DATOS'!D330&amp;"")&lt;&gt;"Por comprobar")),NOT(AND(LEN(TRIM('DATOS'!E330&amp;""))&gt;0,TRIM('DATOS'!E330&amp;"")&lt;&gt;"Pendiente",TRIM('DATOS'!E330&amp;"")&lt;&gt;"Por confirmar",TRIM('DATOS'!E330&amp;"")&lt;&gt;"No consta",TRIM('DATOS'!E330&amp;"")&lt;&gt;"Desconocido",TRIM('DATOS'!E330&amp;"")&lt;&gt;"Sin confirmar",TRIM('DATOS'!E330&amp;"")&lt;&gt;"Por decidir",TRIM('DATOS'!E330&amp;"")&lt;&gt;"Por comprobar"))),2,IF('DATOS'!M330="No",2,IF('DATOS'!M330="Sí",0,IF(OR('DATOS'!D330&lt;&gt;'DATOS'!E330,LEN('DATOS'!E330)&gt;300,RIGHT(TRIM('DATOS'!E330),3)="...",RIGHT(TRIM('DATOS'!E330),1)="…"),1,0))))),2)</f>
      </c>
      <c r="S330" s="29">
        <f>IFERROR(IF(N330=0,"",IF('REFERENCIAS'!$Q$8&lt;&gt;1,2,IF(NOT(Y330=1),1,IF(OR(ABS('DATOS'!G330-ROUND('DATOS'!G330,'REFERENCIAS'!$E$8))&gt;0.00000001,ABS('DATOS'!H330-ROUND('DATOS'!H330,'REFERENCIAS'!$H$8))&gt;0.00000001,ABS('DATOS'!J330-ROUND('DATOS'!J330,'REFERENCIAS'!$K$8))&gt;0.00000001,IF(ISNUMBER('DATOS'!I330),ABS('DATOS'!I330-ROUND('DATOS'!I330,'REFERENCIAS'!$H$8))&gt;0.00000001,FALSE)),1,0)))),2)</f>
      </c>
      <c r="T330" s="29">
        <f>IFERROR(IF(N330=0,"",IF(NOT(AND(LEN(TRIM('DATOS'!F330&amp;""))&gt;0,TRIM('DATOS'!F330&amp;"")&lt;&gt;"Pendiente",TRIM('DATOS'!F330&amp;"")&lt;&gt;"Por confirmar",TRIM('DATOS'!F330&amp;"")&lt;&gt;"No consta",TRIM('DATOS'!F330&amp;"")&lt;&gt;"Desconocido",TRIM('DATOS'!F330&amp;"")&lt;&gt;"Sin confirmar",TRIM('DATOS'!F330&amp;"")&lt;&gt;"Por decidir",TRIM('DATOS'!F330&amp;"")&lt;&gt;"Por comprobar")),2,IF(COUNTIFS('REFERENCIAS'!$T$15:$T$34,"ID:"&amp;SUBSTITUTE(SUBSTITUTE(SUBSTITUTE(SUBSTITUTE(UPPER(TRIM('DATOS'!F330&amp;"")),"!","!E"),"*","!A"),"?","!B"),"~","!C"),'REFERENCIAS'!$H$15:$H$34,"&lt;&gt;")&gt;0,0,1))),2)</f>
      </c>
      <c r="U330" s="29" t="str">
        <f>'DATOS'!R330</f>
        <v>ID:</v>
      </c>
      <c r="V330" s="29" t="str">
        <f>'DATOS'!S330</f>
        <v>ID:</v>
      </c>
      <c r="W330" s="29" t="n">
        <f>IF(N330=0,0,COUNTIFS('REFERENCIAS'!$R$15:$R$64,U330))</f>
        <v>0</v>
      </c>
      <c r="X330" s="29" t="n">
        <f>IF(N330=0,0,COUNTIFS('DATOS'!$R$10:$R$509,U330,'DATOS'!$S$10:$S$509,V330))</f>
        <v>0</v>
      </c>
      <c r="Y330" s="29" t="n">
        <f>IF(AND(ISNUMBER('DATOS'!G330),ISNUMBER('DATOS'!H330),ISNUMBER('DATOS'!J330)),1,0)</f>
        <v>0</v>
      </c>
    </row>
    <row r="331" ht="64" customHeight="1">
      <c r="B331" s="26">
        <f>IF(N331=1,322,"")</f>
      </c>
      <c r="C331" s="26">
        <f>IF(AND(N331=1,LEN(TRIM('DATOS'!B331&amp;""))&gt;0),'DATOS'!B331,"")</f>
      </c>
      <c r="D331" s="26">
        <f>IF(AND(N331=1,LEN(TRIM('DATOS'!C331&amp;""))&gt;0),'DATOS'!C331,"")</f>
      </c>
      <c r="E331" s="26">
        <f>IF(NOT(ISNUMBER(P331)),"",IF(P331=2,"ROJO",IF(P331=1,"ÁMBAR","VERDE")))</f>
      </c>
      <c r="F331" s="26">
        <f>IF(NOT(ISNUMBER(Q331)),"",IF(Q331=2,"ROJO",IF(Q331=1,"ÁMBAR","VERDE")))</f>
      </c>
      <c r="G331" s="26">
        <f>IF(NOT(ISNUMBER(R331)),"",IF(R331=2,"ROJO",IF(R331=1,"ÁMBAR","VERDE")))</f>
      </c>
      <c r="H331" s="26">
        <f>IF(NOT(ISNUMBER(S331)),"",IF(S331=2,"ROJO",IF(S331=1,"ÁMBAR","VERDE")))</f>
      </c>
      <c r="I331" s="26">
        <f>IF(NOT(ISNUMBER(T331)),"",IF(T331=2,"ROJO",IF(T331=1,"ÁMBAR","VERDE")))</f>
      </c>
      <c r="J331" s="26">
        <f>IF(NOT(ISNUMBER(O331)),"",IF(O331=2,"ROJO",IF(O331=1,"ÁMBAR","VERDE")))</f>
      </c>
      <c r="K331" s="26">
        <f>IFERROR(IF(AND(N331=1,LEN(TRIM('DATOS'!N331&amp;""))&gt;0),'DATOS'!N331,""),"Hay una entrada con error. Corregimos el dato antes de cerrar la comprobación.")</f>
      </c>
      <c r="L331" s="26">
        <f>IFERROR(IF(N331=0,"",IF(O331&gt;0,"Completamos datos, claves o motivo. ","")&amp;IF(P331&gt;0,"Cotejamos precios e importe. ","")&amp;IF(Q331&gt;0,"Aclaramos el cero. ","")&amp;IF(R331&gt;0,"Comprobamos el texto. ","")&amp;IF(S331&gt;0,"Revisamos decimales visibles. ","")&amp;IF(T331&gt;0,"Confirmamos la unidad.","")),"Hay una entrada con error. Corregimos el dato antes de cerrar la comprobación.")</f>
      </c>
      <c r="N331" s="29" t="n">
        <f>IF(COUNTA('DATOS'!B331:O331)&gt;0,1,0)</f>
        <v>0</v>
      </c>
      <c r="O331" s="29">
        <f>IFERROR(IF(N331=0,"",IF(OR(NOT(AND(LEN(TRIM('DATOS'!B331&amp;""))&gt;0,TRIM('DATOS'!B331&amp;"")&lt;&gt;"Pendiente",TRIM('DATOS'!B331&amp;"")&lt;&gt;"Por confirmar",TRIM('DATOS'!B331&amp;"")&lt;&gt;"No consta",TRIM('DATOS'!B331&amp;"")&lt;&gt;"Desconocido",TRIM('DATOS'!B331&amp;"")&lt;&gt;"Sin confirmar",TRIM('DATOS'!B331&amp;"")&lt;&gt;"Por decidir",TRIM('DATOS'!B331&amp;"")&lt;&gt;"Por comprobar")),NOT(AND(LEN(TRIM('DATOS'!C331&amp;""))&gt;0,TRIM('DATOS'!C331&amp;"")&lt;&gt;"Pendiente",TRIM('DATOS'!C331&amp;"")&lt;&gt;"Por confirmar",TRIM('DATOS'!C331&amp;"")&lt;&gt;"No consta",TRIM('DATOS'!C331&amp;"")&lt;&gt;"Desconocido",TRIM('DATOS'!C331&amp;"")&lt;&gt;"Sin confirmar",TRIM('DATOS'!C331&amp;"")&lt;&gt;"Por decidir",TRIM('DATOS'!C331&amp;"")&lt;&gt;"Por comprobar")),NOT(AND(LEN(TRIM('DATOS'!D331&amp;""))&gt;0,TRIM('DATOS'!D331&amp;"")&lt;&gt;"Pendiente",TRIM('DATOS'!D331&amp;"")&lt;&gt;"Por confirmar",TRIM('DATOS'!D331&amp;"")&lt;&gt;"No consta",TRIM('DATOS'!D331&amp;"")&lt;&gt;"Desconocido",TRIM('DATOS'!D331&amp;"")&lt;&gt;"Sin confirmar",TRIM('DATOS'!D331&amp;"")&lt;&gt;"Por decidir",TRIM('DATOS'!D331&amp;"")&lt;&gt;"Por comprobar")),NOT(AND(LEN(TRIM('DATOS'!E331&amp;""))&gt;0,TRIM('DATOS'!E331&amp;"")&lt;&gt;"Pendiente",TRIM('DATOS'!E331&amp;"")&lt;&gt;"Por confirmar",TRIM('DATOS'!E331&amp;"")&lt;&gt;"No consta",TRIM('DATOS'!E331&amp;"")&lt;&gt;"Desconocido",TRIM('DATOS'!E331&amp;"")&lt;&gt;"Sin confirmar",TRIM('DATOS'!E331&amp;"")&lt;&gt;"Por decidir",TRIM('DATOS'!E331&amp;"")&lt;&gt;"Por comprobar")),NOT(AND(LEN(TRIM('DATOS'!F331&amp;""))&gt;0,TRIM('DATOS'!F331&amp;"")&lt;&gt;"Pendiente",TRIM('DATOS'!F331&amp;"")&lt;&gt;"Por confirmar",TRIM('DATOS'!F331&amp;"")&lt;&gt;"No consta",TRIM('DATOS'!F331&amp;"")&lt;&gt;"Desconocido",TRIM('DATOS'!F331&amp;"")&lt;&gt;"Sin confirmar",TRIM('DATOS'!F331&amp;"")&lt;&gt;"Por decidir",TRIM('DATOS'!F331&amp;"")&lt;&gt;"Por comprobar")),NOT(AND(LEN(TRIM('DATOS'!N331&amp;""))&gt;0,TRIM('DATOS'!N331&amp;"")&lt;&gt;"Pendiente",TRIM('DATOS'!N331&amp;"")&lt;&gt;"Por confirmar",TRIM('DATOS'!N331&amp;"")&lt;&gt;"No consta",TRIM('DATOS'!N331&amp;"")&lt;&gt;"Desconocido",TRIM('DATOS'!N331&amp;"")&lt;&gt;"Sin confirmar",TRIM('DATOS'!N331&amp;"")&lt;&gt;"Por decidir",TRIM('DATOS'!N331&amp;"")&lt;&gt;"Por comprobar")),NOT(Y331=1),W331&lt;&gt;1,X331&gt;1,NOT(OR(LEN(TRIM('DATOS'!K331&amp;""))=0,'DATOS'!K331="Sin valorar",'DATOS'!K331="Sin coste documentado",'DATOS'!K331="Incluido en otra partida",'DATOS'!K331="Por confirmar")),NOT(OR(LEN(TRIM('DATOS'!M331&amp;""))=0,'DATOS'!M331="Sí",'DATOS'!M331="No",'DATOS'!M331="Por confirmar")),NOT(OR(LEN(TRIM('DATOS'!O331&amp;""))=0,'DATOS'!O331="Comparamos",'DATOS'!O331="No existe",'DATOS'!O331="Por confirmar"))),2,IF(AND(OR('DATOS'!G331&lt;0,'DATOS'!H331&lt;0,'DATOS'!J331&lt;0),NOT(AND(LEN(TRIM('DATOS'!L331&amp;""))&gt;0,TRIM('DATOS'!L331&amp;"")&lt;&gt;"Pendiente",TRIM('DATOS'!L331&amp;"")&lt;&gt;"Por confirmar",TRIM('DATOS'!L331&amp;"")&lt;&gt;"No consta",TRIM('DATOS'!L331&amp;"")&lt;&gt;"Desconocido",TRIM('DATOS'!L331&amp;"")&lt;&gt;"Sin confirmar",TRIM('DATOS'!L331&amp;"")&lt;&gt;"Por decidir",TRIM('DATOS'!L331&amp;"")&lt;&gt;"Por comprobar"))),1,0))),2)</f>
      </c>
      <c r="P331" s="29">
        <f>IFERROR(IF(N331=0,"",IF(NOT(Y331=1),1,IF('REFERENCIAS'!$Q$8&lt;&gt;1,2,IF(ABS('DATOS'!J331-ROUND('DATOS'!G331*'DATOS'!H331,'REFERENCIAS'!$K$8))&gt;0.00000001,2,IF('DATOS'!O331="No existe",IF(LEN(TRIM('DATOS'!I331&amp;""))=0,0,2),IF('DATOS'!O331="Comparamos",IF(LEN(TRIM('DATOS'!I331&amp;""))=0,1,IF(ISNUMBER('DATOS'!I331),IF(ABS('DATOS'!H331-'DATOS'!I331)&gt;0.00000001,2,0),2)),1)))))),2)</f>
      </c>
      <c r="Q331" s="29">
        <f>IFERROR(IF(N331=0,"",IF(NOT(Y331=1),1,IF('DATOS'!K331="Sin valorar",2,IF('DATOS'!G331=0,1,IF(OR('DATOS'!H331=0,'DATOS'!J331=0),IF(AND(OR('DATOS'!K331="Sin coste documentado",'DATOS'!K331="Incluido en otra partida"),AND(LEN(TRIM('DATOS'!L331&amp;""))&gt;0,TRIM('DATOS'!L331&amp;"")&lt;&gt;"Pendiente",TRIM('DATOS'!L331&amp;"")&lt;&gt;"Por confirmar",TRIM('DATOS'!L331&amp;"")&lt;&gt;"No consta",TRIM('DATOS'!L331&amp;"")&lt;&gt;"Desconocido",TRIM('DATOS'!L331&amp;"")&lt;&gt;"Sin confirmar",TRIM('DATOS'!L331&amp;"")&lt;&gt;"Por decidir",TRIM('DATOS'!L331&amp;"")&lt;&gt;"Por comprobar")),0,1),0))))),2)</f>
      </c>
      <c r="R331" s="29">
        <f>IFERROR(IF(N331=0,"",IF(OR(NOT(AND(LEN(TRIM('DATOS'!D331&amp;""))&gt;0,TRIM('DATOS'!D331&amp;"")&lt;&gt;"Pendiente",TRIM('DATOS'!D331&amp;"")&lt;&gt;"Por confirmar",TRIM('DATOS'!D331&amp;"")&lt;&gt;"No consta",TRIM('DATOS'!D331&amp;"")&lt;&gt;"Desconocido",TRIM('DATOS'!D331&amp;"")&lt;&gt;"Sin confirmar",TRIM('DATOS'!D331&amp;"")&lt;&gt;"Por decidir",TRIM('DATOS'!D331&amp;"")&lt;&gt;"Por comprobar")),NOT(AND(LEN(TRIM('DATOS'!E331&amp;""))&gt;0,TRIM('DATOS'!E331&amp;"")&lt;&gt;"Pendiente",TRIM('DATOS'!E331&amp;"")&lt;&gt;"Por confirmar",TRIM('DATOS'!E331&amp;"")&lt;&gt;"No consta",TRIM('DATOS'!E331&amp;"")&lt;&gt;"Desconocido",TRIM('DATOS'!E331&amp;"")&lt;&gt;"Sin confirmar",TRIM('DATOS'!E331&amp;"")&lt;&gt;"Por decidir",TRIM('DATOS'!E331&amp;"")&lt;&gt;"Por comprobar"))),2,IF('DATOS'!M331="No",2,IF('DATOS'!M331="Sí",0,IF(OR('DATOS'!D331&lt;&gt;'DATOS'!E331,LEN('DATOS'!E331)&gt;300,RIGHT(TRIM('DATOS'!E331),3)="...",RIGHT(TRIM('DATOS'!E331),1)="…"),1,0))))),2)</f>
      </c>
      <c r="S331" s="29">
        <f>IFERROR(IF(N331=0,"",IF('REFERENCIAS'!$Q$8&lt;&gt;1,2,IF(NOT(Y331=1),1,IF(OR(ABS('DATOS'!G331-ROUND('DATOS'!G331,'REFERENCIAS'!$E$8))&gt;0.00000001,ABS('DATOS'!H331-ROUND('DATOS'!H331,'REFERENCIAS'!$H$8))&gt;0.00000001,ABS('DATOS'!J331-ROUND('DATOS'!J331,'REFERENCIAS'!$K$8))&gt;0.00000001,IF(ISNUMBER('DATOS'!I331),ABS('DATOS'!I331-ROUND('DATOS'!I331,'REFERENCIAS'!$H$8))&gt;0.00000001,FALSE)),1,0)))),2)</f>
      </c>
      <c r="T331" s="29">
        <f>IFERROR(IF(N331=0,"",IF(NOT(AND(LEN(TRIM('DATOS'!F331&amp;""))&gt;0,TRIM('DATOS'!F331&amp;"")&lt;&gt;"Pendiente",TRIM('DATOS'!F331&amp;"")&lt;&gt;"Por confirmar",TRIM('DATOS'!F331&amp;"")&lt;&gt;"No consta",TRIM('DATOS'!F331&amp;"")&lt;&gt;"Desconocido",TRIM('DATOS'!F331&amp;"")&lt;&gt;"Sin confirmar",TRIM('DATOS'!F331&amp;"")&lt;&gt;"Por decidir",TRIM('DATOS'!F331&amp;"")&lt;&gt;"Por comprobar")),2,IF(COUNTIFS('REFERENCIAS'!$T$15:$T$34,"ID:"&amp;SUBSTITUTE(SUBSTITUTE(SUBSTITUTE(SUBSTITUTE(UPPER(TRIM('DATOS'!F331&amp;"")),"!","!E"),"*","!A"),"?","!B"),"~","!C"),'REFERENCIAS'!$H$15:$H$34,"&lt;&gt;")&gt;0,0,1))),2)</f>
      </c>
      <c r="U331" s="29" t="str">
        <f>'DATOS'!R331</f>
        <v>ID:</v>
      </c>
      <c r="V331" s="29" t="str">
        <f>'DATOS'!S331</f>
        <v>ID:</v>
      </c>
      <c r="W331" s="29" t="n">
        <f>IF(N331=0,0,COUNTIFS('REFERENCIAS'!$R$15:$R$64,U331))</f>
        <v>0</v>
      </c>
      <c r="X331" s="29" t="n">
        <f>IF(N331=0,0,COUNTIFS('DATOS'!$R$10:$R$509,U331,'DATOS'!$S$10:$S$509,V331))</f>
        <v>0</v>
      </c>
      <c r="Y331" s="29" t="n">
        <f>IF(AND(ISNUMBER('DATOS'!G331),ISNUMBER('DATOS'!H331),ISNUMBER('DATOS'!J331)),1,0)</f>
        <v>0</v>
      </c>
    </row>
    <row r="332" ht="64" customHeight="1">
      <c r="B332" s="26">
        <f>IF(N332=1,323,"")</f>
      </c>
      <c r="C332" s="26">
        <f>IF(AND(N332=1,LEN(TRIM('DATOS'!B332&amp;""))&gt;0),'DATOS'!B332,"")</f>
      </c>
      <c r="D332" s="26">
        <f>IF(AND(N332=1,LEN(TRIM('DATOS'!C332&amp;""))&gt;0),'DATOS'!C332,"")</f>
      </c>
      <c r="E332" s="26">
        <f>IF(NOT(ISNUMBER(P332)),"",IF(P332=2,"ROJO",IF(P332=1,"ÁMBAR","VERDE")))</f>
      </c>
      <c r="F332" s="26">
        <f>IF(NOT(ISNUMBER(Q332)),"",IF(Q332=2,"ROJO",IF(Q332=1,"ÁMBAR","VERDE")))</f>
      </c>
      <c r="G332" s="26">
        <f>IF(NOT(ISNUMBER(R332)),"",IF(R332=2,"ROJO",IF(R332=1,"ÁMBAR","VERDE")))</f>
      </c>
      <c r="H332" s="26">
        <f>IF(NOT(ISNUMBER(S332)),"",IF(S332=2,"ROJO",IF(S332=1,"ÁMBAR","VERDE")))</f>
      </c>
      <c r="I332" s="26">
        <f>IF(NOT(ISNUMBER(T332)),"",IF(T332=2,"ROJO",IF(T332=1,"ÁMBAR","VERDE")))</f>
      </c>
      <c r="J332" s="26">
        <f>IF(NOT(ISNUMBER(O332)),"",IF(O332=2,"ROJO",IF(O332=1,"ÁMBAR","VERDE")))</f>
      </c>
      <c r="K332" s="26">
        <f>IFERROR(IF(AND(N332=1,LEN(TRIM('DATOS'!N332&amp;""))&gt;0),'DATOS'!N332,""),"Hay una entrada con error. Corregimos el dato antes de cerrar la comprobación.")</f>
      </c>
      <c r="L332" s="26">
        <f>IFERROR(IF(N332=0,"",IF(O332&gt;0,"Completamos datos, claves o motivo. ","")&amp;IF(P332&gt;0,"Cotejamos precios e importe. ","")&amp;IF(Q332&gt;0,"Aclaramos el cero. ","")&amp;IF(R332&gt;0,"Comprobamos el texto. ","")&amp;IF(S332&gt;0,"Revisamos decimales visibles. ","")&amp;IF(T332&gt;0,"Confirmamos la unidad.","")),"Hay una entrada con error. Corregimos el dato antes de cerrar la comprobación.")</f>
      </c>
      <c r="N332" s="29" t="n">
        <f>IF(COUNTA('DATOS'!B332:O332)&gt;0,1,0)</f>
        <v>0</v>
      </c>
      <c r="O332" s="29">
        <f>IFERROR(IF(N332=0,"",IF(OR(NOT(AND(LEN(TRIM('DATOS'!B332&amp;""))&gt;0,TRIM('DATOS'!B332&amp;"")&lt;&gt;"Pendiente",TRIM('DATOS'!B332&amp;"")&lt;&gt;"Por confirmar",TRIM('DATOS'!B332&amp;"")&lt;&gt;"No consta",TRIM('DATOS'!B332&amp;"")&lt;&gt;"Desconocido",TRIM('DATOS'!B332&amp;"")&lt;&gt;"Sin confirmar",TRIM('DATOS'!B332&amp;"")&lt;&gt;"Por decidir",TRIM('DATOS'!B332&amp;"")&lt;&gt;"Por comprobar")),NOT(AND(LEN(TRIM('DATOS'!C332&amp;""))&gt;0,TRIM('DATOS'!C332&amp;"")&lt;&gt;"Pendiente",TRIM('DATOS'!C332&amp;"")&lt;&gt;"Por confirmar",TRIM('DATOS'!C332&amp;"")&lt;&gt;"No consta",TRIM('DATOS'!C332&amp;"")&lt;&gt;"Desconocido",TRIM('DATOS'!C332&amp;"")&lt;&gt;"Sin confirmar",TRIM('DATOS'!C332&amp;"")&lt;&gt;"Por decidir",TRIM('DATOS'!C332&amp;"")&lt;&gt;"Por comprobar")),NOT(AND(LEN(TRIM('DATOS'!D332&amp;""))&gt;0,TRIM('DATOS'!D332&amp;"")&lt;&gt;"Pendiente",TRIM('DATOS'!D332&amp;"")&lt;&gt;"Por confirmar",TRIM('DATOS'!D332&amp;"")&lt;&gt;"No consta",TRIM('DATOS'!D332&amp;"")&lt;&gt;"Desconocido",TRIM('DATOS'!D332&amp;"")&lt;&gt;"Sin confirmar",TRIM('DATOS'!D332&amp;"")&lt;&gt;"Por decidir",TRIM('DATOS'!D332&amp;"")&lt;&gt;"Por comprobar")),NOT(AND(LEN(TRIM('DATOS'!E332&amp;""))&gt;0,TRIM('DATOS'!E332&amp;"")&lt;&gt;"Pendiente",TRIM('DATOS'!E332&amp;"")&lt;&gt;"Por confirmar",TRIM('DATOS'!E332&amp;"")&lt;&gt;"No consta",TRIM('DATOS'!E332&amp;"")&lt;&gt;"Desconocido",TRIM('DATOS'!E332&amp;"")&lt;&gt;"Sin confirmar",TRIM('DATOS'!E332&amp;"")&lt;&gt;"Por decidir",TRIM('DATOS'!E332&amp;"")&lt;&gt;"Por comprobar")),NOT(AND(LEN(TRIM('DATOS'!F332&amp;""))&gt;0,TRIM('DATOS'!F332&amp;"")&lt;&gt;"Pendiente",TRIM('DATOS'!F332&amp;"")&lt;&gt;"Por confirmar",TRIM('DATOS'!F332&amp;"")&lt;&gt;"No consta",TRIM('DATOS'!F332&amp;"")&lt;&gt;"Desconocido",TRIM('DATOS'!F332&amp;"")&lt;&gt;"Sin confirmar",TRIM('DATOS'!F332&amp;"")&lt;&gt;"Por decidir",TRIM('DATOS'!F332&amp;"")&lt;&gt;"Por comprobar")),NOT(AND(LEN(TRIM('DATOS'!N332&amp;""))&gt;0,TRIM('DATOS'!N332&amp;"")&lt;&gt;"Pendiente",TRIM('DATOS'!N332&amp;"")&lt;&gt;"Por confirmar",TRIM('DATOS'!N332&amp;"")&lt;&gt;"No consta",TRIM('DATOS'!N332&amp;"")&lt;&gt;"Desconocido",TRIM('DATOS'!N332&amp;"")&lt;&gt;"Sin confirmar",TRIM('DATOS'!N332&amp;"")&lt;&gt;"Por decidir",TRIM('DATOS'!N332&amp;"")&lt;&gt;"Por comprobar")),NOT(Y332=1),W332&lt;&gt;1,X332&gt;1,NOT(OR(LEN(TRIM('DATOS'!K332&amp;""))=0,'DATOS'!K332="Sin valorar",'DATOS'!K332="Sin coste documentado",'DATOS'!K332="Incluido en otra partida",'DATOS'!K332="Por confirmar")),NOT(OR(LEN(TRIM('DATOS'!M332&amp;""))=0,'DATOS'!M332="Sí",'DATOS'!M332="No",'DATOS'!M332="Por confirmar")),NOT(OR(LEN(TRIM('DATOS'!O332&amp;""))=0,'DATOS'!O332="Comparamos",'DATOS'!O332="No existe",'DATOS'!O332="Por confirmar"))),2,IF(AND(OR('DATOS'!G332&lt;0,'DATOS'!H332&lt;0,'DATOS'!J332&lt;0),NOT(AND(LEN(TRIM('DATOS'!L332&amp;""))&gt;0,TRIM('DATOS'!L332&amp;"")&lt;&gt;"Pendiente",TRIM('DATOS'!L332&amp;"")&lt;&gt;"Por confirmar",TRIM('DATOS'!L332&amp;"")&lt;&gt;"No consta",TRIM('DATOS'!L332&amp;"")&lt;&gt;"Desconocido",TRIM('DATOS'!L332&amp;"")&lt;&gt;"Sin confirmar",TRIM('DATOS'!L332&amp;"")&lt;&gt;"Por decidir",TRIM('DATOS'!L332&amp;"")&lt;&gt;"Por comprobar"))),1,0))),2)</f>
      </c>
      <c r="P332" s="29">
        <f>IFERROR(IF(N332=0,"",IF(NOT(Y332=1),1,IF('REFERENCIAS'!$Q$8&lt;&gt;1,2,IF(ABS('DATOS'!J332-ROUND('DATOS'!G332*'DATOS'!H332,'REFERENCIAS'!$K$8))&gt;0.00000001,2,IF('DATOS'!O332="No existe",IF(LEN(TRIM('DATOS'!I332&amp;""))=0,0,2),IF('DATOS'!O332="Comparamos",IF(LEN(TRIM('DATOS'!I332&amp;""))=0,1,IF(ISNUMBER('DATOS'!I332),IF(ABS('DATOS'!H332-'DATOS'!I332)&gt;0.00000001,2,0),2)),1)))))),2)</f>
      </c>
      <c r="Q332" s="29">
        <f>IFERROR(IF(N332=0,"",IF(NOT(Y332=1),1,IF('DATOS'!K332="Sin valorar",2,IF('DATOS'!G332=0,1,IF(OR('DATOS'!H332=0,'DATOS'!J332=0),IF(AND(OR('DATOS'!K332="Sin coste documentado",'DATOS'!K332="Incluido en otra partida"),AND(LEN(TRIM('DATOS'!L332&amp;""))&gt;0,TRIM('DATOS'!L332&amp;"")&lt;&gt;"Pendiente",TRIM('DATOS'!L332&amp;"")&lt;&gt;"Por confirmar",TRIM('DATOS'!L332&amp;"")&lt;&gt;"No consta",TRIM('DATOS'!L332&amp;"")&lt;&gt;"Desconocido",TRIM('DATOS'!L332&amp;"")&lt;&gt;"Sin confirmar",TRIM('DATOS'!L332&amp;"")&lt;&gt;"Por decidir",TRIM('DATOS'!L332&amp;"")&lt;&gt;"Por comprobar")),0,1),0))))),2)</f>
      </c>
      <c r="R332" s="29">
        <f>IFERROR(IF(N332=0,"",IF(OR(NOT(AND(LEN(TRIM('DATOS'!D332&amp;""))&gt;0,TRIM('DATOS'!D332&amp;"")&lt;&gt;"Pendiente",TRIM('DATOS'!D332&amp;"")&lt;&gt;"Por confirmar",TRIM('DATOS'!D332&amp;"")&lt;&gt;"No consta",TRIM('DATOS'!D332&amp;"")&lt;&gt;"Desconocido",TRIM('DATOS'!D332&amp;"")&lt;&gt;"Sin confirmar",TRIM('DATOS'!D332&amp;"")&lt;&gt;"Por decidir",TRIM('DATOS'!D332&amp;"")&lt;&gt;"Por comprobar")),NOT(AND(LEN(TRIM('DATOS'!E332&amp;""))&gt;0,TRIM('DATOS'!E332&amp;"")&lt;&gt;"Pendiente",TRIM('DATOS'!E332&amp;"")&lt;&gt;"Por confirmar",TRIM('DATOS'!E332&amp;"")&lt;&gt;"No consta",TRIM('DATOS'!E332&amp;"")&lt;&gt;"Desconocido",TRIM('DATOS'!E332&amp;"")&lt;&gt;"Sin confirmar",TRIM('DATOS'!E332&amp;"")&lt;&gt;"Por decidir",TRIM('DATOS'!E332&amp;"")&lt;&gt;"Por comprobar"))),2,IF('DATOS'!M332="No",2,IF('DATOS'!M332="Sí",0,IF(OR('DATOS'!D332&lt;&gt;'DATOS'!E332,LEN('DATOS'!E332)&gt;300,RIGHT(TRIM('DATOS'!E332),3)="...",RIGHT(TRIM('DATOS'!E332),1)="…"),1,0))))),2)</f>
      </c>
      <c r="S332" s="29">
        <f>IFERROR(IF(N332=0,"",IF('REFERENCIAS'!$Q$8&lt;&gt;1,2,IF(NOT(Y332=1),1,IF(OR(ABS('DATOS'!G332-ROUND('DATOS'!G332,'REFERENCIAS'!$E$8))&gt;0.00000001,ABS('DATOS'!H332-ROUND('DATOS'!H332,'REFERENCIAS'!$H$8))&gt;0.00000001,ABS('DATOS'!J332-ROUND('DATOS'!J332,'REFERENCIAS'!$K$8))&gt;0.00000001,IF(ISNUMBER('DATOS'!I332),ABS('DATOS'!I332-ROUND('DATOS'!I332,'REFERENCIAS'!$H$8))&gt;0.00000001,FALSE)),1,0)))),2)</f>
      </c>
      <c r="T332" s="29">
        <f>IFERROR(IF(N332=0,"",IF(NOT(AND(LEN(TRIM('DATOS'!F332&amp;""))&gt;0,TRIM('DATOS'!F332&amp;"")&lt;&gt;"Pendiente",TRIM('DATOS'!F332&amp;"")&lt;&gt;"Por confirmar",TRIM('DATOS'!F332&amp;"")&lt;&gt;"No consta",TRIM('DATOS'!F332&amp;"")&lt;&gt;"Desconocido",TRIM('DATOS'!F332&amp;"")&lt;&gt;"Sin confirmar",TRIM('DATOS'!F332&amp;"")&lt;&gt;"Por decidir",TRIM('DATOS'!F332&amp;"")&lt;&gt;"Por comprobar")),2,IF(COUNTIFS('REFERENCIAS'!$T$15:$T$34,"ID:"&amp;SUBSTITUTE(SUBSTITUTE(SUBSTITUTE(SUBSTITUTE(UPPER(TRIM('DATOS'!F332&amp;"")),"!","!E"),"*","!A"),"?","!B"),"~","!C"),'REFERENCIAS'!$H$15:$H$34,"&lt;&gt;")&gt;0,0,1))),2)</f>
      </c>
      <c r="U332" s="29" t="str">
        <f>'DATOS'!R332</f>
        <v>ID:</v>
      </c>
      <c r="V332" s="29" t="str">
        <f>'DATOS'!S332</f>
        <v>ID:</v>
      </c>
      <c r="W332" s="29" t="n">
        <f>IF(N332=0,0,COUNTIFS('REFERENCIAS'!$R$15:$R$64,U332))</f>
        <v>0</v>
      </c>
      <c r="X332" s="29" t="n">
        <f>IF(N332=0,0,COUNTIFS('DATOS'!$R$10:$R$509,U332,'DATOS'!$S$10:$S$509,V332))</f>
        <v>0</v>
      </c>
      <c r="Y332" s="29" t="n">
        <f>IF(AND(ISNUMBER('DATOS'!G332),ISNUMBER('DATOS'!H332),ISNUMBER('DATOS'!J332)),1,0)</f>
        <v>0</v>
      </c>
    </row>
    <row r="333" ht="64" customHeight="1">
      <c r="B333" s="26">
        <f>IF(N333=1,324,"")</f>
      </c>
      <c r="C333" s="26">
        <f>IF(AND(N333=1,LEN(TRIM('DATOS'!B333&amp;""))&gt;0),'DATOS'!B333,"")</f>
      </c>
      <c r="D333" s="26">
        <f>IF(AND(N333=1,LEN(TRIM('DATOS'!C333&amp;""))&gt;0),'DATOS'!C333,"")</f>
      </c>
      <c r="E333" s="26">
        <f>IF(NOT(ISNUMBER(P333)),"",IF(P333=2,"ROJO",IF(P333=1,"ÁMBAR","VERDE")))</f>
      </c>
      <c r="F333" s="26">
        <f>IF(NOT(ISNUMBER(Q333)),"",IF(Q333=2,"ROJO",IF(Q333=1,"ÁMBAR","VERDE")))</f>
      </c>
      <c r="G333" s="26">
        <f>IF(NOT(ISNUMBER(R333)),"",IF(R333=2,"ROJO",IF(R333=1,"ÁMBAR","VERDE")))</f>
      </c>
      <c r="H333" s="26">
        <f>IF(NOT(ISNUMBER(S333)),"",IF(S333=2,"ROJO",IF(S333=1,"ÁMBAR","VERDE")))</f>
      </c>
      <c r="I333" s="26">
        <f>IF(NOT(ISNUMBER(T333)),"",IF(T333=2,"ROJO",IF(T333=1,"ÁMBAR","VERDE")))</f>
      </c>
      <c r="J333" s="26">
        <f>IF(NOT(ISNUMBER(O333)),"",IF(O333=2,"ROJO",IF(O333=1,"ÁMBAR","VERDE")))</f>
      </c>
      <c r="K333" s="26">
        <f>IFERROR(IF(AND(N333=1,LEN(TRIM('DATOS'!N333&amp;""))&gt;0),'DATOS'!N333,""),"Hay una entrada con error. Corregimos el dato antes de cerrar la comprobación.")</f>
      </c>
      <c r="L333" s="26">
        <f>IFERROR(IF(N333=0,"",IF(O333&gt;0,"Completamos datos, claves o motivo. ","")&amp;IF(P333&gt;0,"Cotejamos precios e importe. ","")&amp;IF(Q333&gt;0,"Aclaramos el cero. ","")&amp;IF(R333&gt;0,"Comprobamos el texto. ","")&amp;IF(S333&gt;0,"Revisamos decimales visibles. ","")&amp;IF(T333&gt;0,"Confirmamos la unidad.","")),"Hay una entrada con error. Corregimos el dato antes de cerrar la comprobación.")</f>
      </c>
      <c r="N333" s="29" t="n">
        <f>IF(COUNTA('DATOS'!B333:O333)&gt;0,1,0)</f>
        <v>0</v>
      </c>
      <c r="O333" s="29">
        <f>IFERROR(IF(N333=0,"",IF(OR(NOT(AND(LEN(TRIM('DATOS'!B333&amp;""))&gt;0,TRIM('DATOS'!B333&amp;"")&lt;&gt;"Pendiente",TRIM('DATOS'!B333&amp;"")&lt;&gt;"Por confirmar",TRIM('DATOS'!B333&amp;"")&lt;&gt;"No consta",TRIM('DATOS'!B333&amp;"")&lt;&gt;"Desconocido",TRIM('DATOS'!B333&amp;"")&lt;&gt;"Sin confirmar",TRIM('DATOS'!B333&amp;"")&lt;&gt;"Por decidir",TRIM('DATOS'!B333&amp;"")&lt;&gt;"Por comprobar")),NOT(AND(LEN(TRIM('DATOS'!C333&amp;""))&gt;0,TRIM('DATOS'!C333&amp;"")&lt;&gt;"Pendiente",TRIM('DATOS'!C333&amp;"")&lt;&gt;"Por confirmar",TRIM('DATOS'!C333&amp;"")&lt;&gt;"No consta",TRIM('DATOS'!C333&amp;"")&lt;&gt;"Desconocido",TRIM('DATOS'!C333&amp;"")&lt;&gt;"Sin confirmar",TRIM('DATOS'!C333&amp;"")&lt;&gt;"Por decidir",TRIM('DATOS'!C333&amp;"")&lt;&gt;"Por comprobar")),NOT(AND(LEN(TRIM('DATOS'!D333&amp;""))&gt;0,TRIM('DATOS'!D333&amp;"")&lt;&gt;"Pendiente",TRIM('DATOS'!D333&amp;"")&lt;&gt;"Por confirmar",TRIM('DATOS'!D333&amp;"")&lt;&gt;"No consta",TRIM('DATOS'!D333&amp;"")&lt;&gt;"Desconocido",TRIM('DATOS'!D333&amp;"")&lt;&gt;"Sin confirmar",TRIM('DATOS'!D333&amp;"")&lt;&gt;"Por decidir",TRIM('DATOS'!D333&amp;"")&lt;&gt;"Por comprobar")),NOT(AND(LEN(TRIM('DATOS'!E333&amp;""))&gt;0,TRIM('DATOS'!E333&amp;"")&lt;&gt;"Pendiente",TRIM('DATOS'!E333&amp;"")&lt;&gt;"Por confirmar",TRIM('DATOS'!E333&amp;"")&lt;&gt;"No consta",TRIM('DATOS'!E333&amp;"")&lt;&gt;"Desconocido",TRIM('DATOS'!E333&amp;"")&lt;&gt;"Sin confirmar",TRIM('DATOS'!E333&amp;"")&lt;&gt;"Por decidir",TRIM('DATOS'!E333&amp;"")&lt;&gt;"Por comprobar")),NOT(AND(LEN(TRIM('DATOS'!F333&amp;""))&gt;0,TRIM('DATOS'!F333&amp;"")&lt;&gt;"Pendiente",TRIM('DATOS'!F333&amp;"")&lt;&gt;"Por confirmar",TRIM('DATOS'!F333&amp;"")&lt;&gt;"No consta",TRIM('DATOS'!F333&amp;"")&lt;&gt;"Desconocido",TRIM('DATOS'!F333&amp;"")&lt;&gt;"Sin confirmar",TRIM('DATOS'!F333&amp;"")&lt;&gt;"Por decidir",TRIM('DATOS'!F333&amp;"")&lt;&gt;"Por comprobar")),NOT(AND(LEN(TRIM('DATOS'!N333&amp;""))&gt;0,TRIM('DATOS'!N333&amp;"")&lt;&gt;"Pendiente",TRIM('DATOS'!N333&amp;"")&lt;&gt;"Por confirmar",TRIM('DATOS'!N333&amp;"")&lt;&gt;"No consta",TRIM('DATOS'!N333&amp;"")&lt;&gt;"Desconocido",TRIM('DATOS'!N333&amp;"")&lt;&gt;"Sin confirmar",TRIM('DATOS'!N333&amp;"")&lt;&gt;"Por decidir",TRIM('DATOS'!N333&amp;"")&lt;&gt;"Por comprobar")),NOT(Y333=1),W333&lt;&gt;1,X333&gt;1,NOT(OR(LEN(TRIM('DATOS'!K333&amp;""))=0,'DATOS'!K333="Sin valorar",'DATOS'!K333="Sin coste documentado",'DATOS'!K333="Incluido en otra partida",'DATOS'!K333="Por confirmar")),NOT(OR(LEN(TRIM('DATOS'!M333&amp;""))=0,'DATOS'!M333="Sí",'DATOS'!M333="No",'DATOS'!M333="Por confirmar")),NOT(OR(LEN(TRIM('DATOS'!O333&amp;""))=0,'DATOS'!O333="Comparamos",'DATOS'!O333="No existe",'DATOS'!O333="Por confirmar"))),2,IF(AND(OR('DATOS'!G333&lt;0,'DATOS'!H333&lt;0,'DATOS'!J333&lt;0),NOT(AND(LEN(TRIM('DATOS'!L333&amp;""))&gt;0,TRIM('DATOS'!L333&amp;"")&lt;&gt;"Pendiente",TRIM('DATOS'!L333&amp;"")&lt;&gt;"Por confirmar",TRIM('DATOS'!L333&amp;"")&lt;&gt;"No consta",TRIM('DATOS'!L333&amp;"")&lt;&gt;"Desconocido",TRIM('DATOS'!L333&amp;"")&lt;&gt;"Sin confirmar",TRIM('DATOS'!L333&amp;"")&lt;&gt;"Por decidir",TRIM('DATOS'!L333&amp;"")&lt;&gt;"Por comprobar"))),1,0))),2)</f>
      </c>
      <c r="P333" s="29">
        <f>IFERROR(IF(N333=0,"",IF(NOT(Y333=1),1,IF('REFERENCIAS'!$Q$8&lt;&gt;1,2,IF(ABS('DATOS'!J333-ROUND('DATOS'!G333*'DATOS'!H333,'REFERENCIAS'!$K$8))&gt;0.00000001,2,IF('DATOS'!O333="No existe",IF(LEN(TRIM('DATOS'!I333&amp;""))=0,0,2),IF('DATOS'!O333="Comparamos",IF(LEN(TRIM('DATOS'!I333&amp;""))=0,1,IF(ISNUMBER('DATOS'!I333),IF(ABS('DATOS'!H333-'DATOS'!I333)&gt;0.00000001,2,0),2)),1)))))),2)</f>
      </c>
      <c r="Q333" s="29">
        <f>IFERROR(IF(N333=0,"",IF(NOT(Y333=1),1,IF('DATOS'!K333="Sin valorar",2,IF('DATOS'!G333=0,1,IF(OR('DATOS'!H333=0,'DATOS'!J333=0),IF(AND(OR('DATOS'!K333="Sin coste documentado",'DATOS'!K333="Incluido en otra partida"),AND(LEN(TRIM('DATOS'!L333&amp;""))&gt;0,TRIM('DATOS'!L333&amp;"")&lt;&gt;"Pendiente",TRIM('DATOS'!L333&amp;"")&lt;&gt;"Por confirmar",TRIM('DATOS'!L333&amp;"")&lt;&gt;"No consta",TRIM('DATOS'!L333&amp;"")&lt;&gt;"Desconocido",TRIM('DATOS'!L333&amp;"")&lt;&gt;"Sin confirmar",TRIM('DATOS'!L333&amp;"")&lt;&gt;"Por decidir",TRIM('DATOS'!L333&amp;"")&lt;&gt;"Por comprobar")),0,1),0))))),2)</f>
      </c>
      <c r="R333" s="29">
        <f>IFERROR(IF(N333=0,"",IF(OR(NOT(AND(LEN(TRIM('DATOS'!D333&amp;""))&gt;0,TRIM('DATOS'!D333&amp;"")&lt;&gt;"Pendiente",TRIM('DATOS'!D333&amp;"")&lt;&gt;"Por confirmar",TRIM('DATOS'!D333&amp;"")&lt;&gt;"No consta",TRIM('DATOS'!D333&amp;"")&lt;&gt;"Desconocido",TRIM('DATOS'!D333&amp;"")&lt;&gt;"Sin confirmar",TRIM('DATOS'!D333&amp;"")&lt;&gt;"Por decidir",TRIM('DATOS'!D333&amp;"")&lt;&gt;"Por comprobar")),NOT(AND(LEN(TRIM('DATOS'!E333&amp;""))&gt;0,TRIM('DATOS'!E333&amp;"")&lt;&gt;"Pendiente",TRIM('DATOS'!E333&amp;"")&lt;&gt;"Por confirmar",TRIM('DATOS'!E333&amp;"")&lt;&gt;"No consta",TRIM('DATOS'!E333&amp;"")&lt;&gt;"Desconocido",TRIM('DATOS'!E333&amp;"")&lt;&gt;"Sin confirmar",TRIM('DATOS'!E333&amp;"")&lt;&gt;"Por decidir",TRIM('DATOS'!E333&amp;"")&lt;&gt;"Por comprobar"))),2,IF('DATOS'!M333="No",2,IF('DATOS'!M333="Sí",0,IF(OR('DATOS'!D333&lt;&gt;'DATOS'!E333,LEN('DATOS'!E333)&gt;300,RIGHT(TRIM('DATOS'!E333),3)="...",RIGHT(TRIM('DATOS'!E333),1)="…"),1,0))))),2)</f>
      </c>
      <c r="S333" s="29">
        <f>IFERROR(IF(N333=0,"",IF('REFERENCIAS'!$Q$8&lt;&gt;1,2,IF(NOT(Y333=1),1,IF(OR(ABS('DATOS'!G333-ROUND('DATOS'!G333,'REFERENCIAS'!$E$8))&gt;0.00000001,ABS('DATOS'!H333-ROUND('DATOS'!H333,'REFERENCIAS'!$H$8))&gt;0.00000001,ABS('DATOS'!J333-ROUND('DATOS'!J333,'REFERENCIAS'!$K$8))&gt;0.00000001,IF(ISNUMBER('DATOS'!I333),ABS('DATOS'!I333-ROUND('DATOS'!I333,'REFERENCIAS'!$H$8))&gt;0.00000001,FALSE)),1,0)))),2)</f>
      </c>
      <c r="T333" s="29">
        <f>IFERROR(IF(N333=0,"",IF(NOT(AND(LEN(TRIM('DATOS'!F333&amp;""))&gt;0,TRIM('DATOS'!F333&amp;"")&lt;&gt;"Pendiente",TRIM('DATOS'!F333&amp;"")&lt;&gt;"Por confirmar",TRIM('DATOS'!F333&amp;"")&lt;&gt;"No consta",TRIM('DATOS'!F333&amp;"")&lt;&gt;"Desconocido",TRIM('DATOS'!F333&amp;"")&lt;&gt;"Sin confirmar",TRIM('DATOS'!F333&amp;"")&lt;&gt;"Por decidir",TRIM('DATOS'!F333&amp;"")&lt;&gt;"Por comprobar")),2,IF(COUNTIFS('REFERENCIAS'!$T$15:$T$34,"ID:"&amp;SUBSTITUTE(SUBSTITUTE(SUBSTITUTE(SUBSTITUTE(UPPER(TRIM('DATOS'!F333&amp;"")),"!","!E"),"*","!A"),"?","!B"),"~","!C"),'REFERENCIAS'!$H$15:$H$34,"&lt;&gt;")&gt;0,0,1))),2)</f>
      </c>
      <c r="U333" s="29" t="str">
        <f>'DATOS'!R333</f>
        <v>ID:</v>
      </c>
      <c r="V333" s="29" t="str">
        <f>'DATOS'!S333</f>
        <v>ID:</v>
      </c>
      <c r="W333" s="29" t="n">
        <f>IF(N333=0,0,COUNTIFS('REFERENCIAS'!$R$15:$R$64,U333))</f>
        <v>0</v>
      </c>
      <c r="X333" s="29" t="n">
        <f>IF(N333=0,0,COUNTIFS('DATOS'!$R$10:$R$509,U333,'DATOS'!$S$10:$S$509,V333))</f>
        <v>0</v>
      </c>
      <c r="Y333" s="29" t="n">
        <f>IF(AND(ISNUMBER('DATOS'!G333),ISNUMBER('DATOS'!H333),ISNUMBER('DATOS'!J333)),1,0)</f>
        <v>0</v>
      </c>
    </row>
    <row r="334" ht="64" customHeight="1">
      <c r="B334" s="26">
        <f>IF(N334=1,325,"")</f>
      </c>
      <c r="C334" s="26">
        <f>IF(AND(N334=1,LEN(TRIM('DATOS'!B334&amp;""))&gt;0),'DATOS'!B334,"")</f>
      </c>
      <c r="D334" s="26">
        <f>IF(AND(N334=1,LEN(TRIM('DATOS'!C334&amp;""))&gt;0),'DATOS'!C334,"")</f>
      </c>
      <c r="E334" s="26">
        <f>IF(NOT(ISNUMBER(P334)),"",IF(P334=2,"ROJO",IF(P334=1,"ÁMBAR","VERDE")))</f>
      </c>
      <c r="F334" s="26">
        <f>IF(NOT(ISNUMBER(Q334)),"",IF(Q334=2,"ROJO",IF(Q334=1,"ÁMBAR","VERDE")))</f>
      </c>
      <c r="G334" s="26">
        <f>IF(NOT(ISNUMBER(R334)),"",IF(R334=2,"ROJO",IF(R334=1,"ÁMBAR","VERDE")))</f>
      </c>
      <c r="H334" s="26">
        <f>IF(NOT(ISNUMBER(S334)),"",IF(S334=2,"ROJO",IF(S334=1,"ÁMBAR","VERDE")))</f>
      </c>
      <c r="I334" s="26">
        <f>IF(NOT(ISNUMBER(T334)),"",IF(T334=2,"ROJO",IF(T334=1,"ÁMBAR","VERDE")))</f>
      </c>
      <c r="J334" s="26">
        <f>IF(NOT(ISNUMBER(O334)),"",IF(O334=2,"ROJO",IF(O334=1,"ÁMBAR","VERDE")))</f>
      </c>
      <c r="K334" s="26">
        <f>IFERROR(IF(AND(N334=1,LEN(TRIM('DATOS'!N334&amp;""))&gt;0),'DATOS'!N334,""),"Hay una entrada con error. Corregimos el dato antes de cerrar la comprobación.")</f>
      </c>
      <c r="L334" s="26">
        <f>IFERROR(IF(N334=0,"",IF(O334&gt;0,"Completamos datos, claves o motivo. ","")&amp;IF(P334&gt;0,"Cotejamos precios e importe. ","")&amp;IF(Q334&gt;0,"Aclaramos el cero. ","")&amp;IF(R334&gt;0,"Comprobamos el texto. ","")&amp;IF(S334&gt;0,"Revisamos decimales visibles. ","")&amp;IF(T334&gt;0,"Confirmamos la unidad.","")),"Hay una entrada con error. Corregimos el dato antes de cerrar la comprobación.")</f>
      </c>
      <c r="N334" s="29" t="n">
        <f>IF(COUNTA('DATOS'!B334:O334)&gt;0,1,0)</f>
        <v>0</v>
      </c>
      <c r="O334" s="29">
        <f>IFERROR(IF(N334=0,"",IF(OR(NOT(AND(LEN(TRIM('DATOS'!B334&amp;""))&gt;0,TRIM('DATOS'!B334&amp;"")&lt;&gt;"Pendiente",TRIM('DATOS'!B334&amp;"")&lt;&gt;"Por confirmar",TRIM('DATOS'!B334&amp;"")&lt;&gt;"No consta",TRIM('DATOS'!B334&amp;"")&lt;&gt;"Desconocido",TRIM('DATOS'!B334&amp;"")&lt;&gt;"Sin confirmar",TRIM('DATOS'!B334&amp;"")&lt;&gt;"Por decidir",TRIM('DATOS'!B334&amp;"")&lt;&gt;"Por comprobar")),NOT(AND(LEN(TRIM('DATOS'!C334&amp;""))&gt;0,TRIM('DATOS'!C334&amp;"")&lt;&gt;"Pendiente",TRIM('DATOS'!C334&amp;"")&lt;&gt;"Por confirmar",TRIM('DATOS'!C334&amp;"")&lt;&gt;"No consta",TRIM('DATOS'!C334&amp;"")&lt;&gt;"Desconocido",TRIM('DATOS'!C334&amp;"")&lt;&gt;"Sin confirmar",TRIM('DATOS'!C334&amp;"")&lt;&gt;"Por decidir",TRIM('DATOS'!C334&amp;"")&lt;&gt;"Por comprobar")),NOT(AND(LEN(TRIM('DATOS'!D334&amp;""))&gt;0,TRIM('DATOS'!D334&amp;"")&lt;&gt;"Pendiente",TRIM('DATOS'!D334&amp;"")&lt;&gt;"Por confirmar",TRIM('DATOS'!D334&amp;"")&lt;&gt;"No consta",TRIM('DATOS'!D334&amp;"")&lt;&gt;"Desconocido",TRIM('DATOS'!D334&amp;"")&lt;&gt;"Sin confirmar",TRIM('DATOS'!D334&amp;"")&lt;&gt;"Por decidir",TRIM('DATOS'!D334&amp;"")&lt;&gt;"Por comprobar")),NOT(AND(LEN(TRIM('DATOS'!E334&amp;""))&gt;0,TRIM('DATOS'!E334&amp;"")&lt;&gt;"Pendiente",TRIM('DATOS'!E334&amp;"")&lt;&gt;"Por confirmar",TRIM('DATOS'!E334&amp;"")&lt;&gt;"No consta",TRIM('DATOS'!E334&amp;"")&lt;&gt;"Desconocido",TRIM('DATOS'!E334&amp;"")&lt;&gt;"Sin confirmar",TRIM('DATOS'!E334&amp;"")&lt;&gt;"Por decidir",TRIM('DATOS'!E334&amp;"")&lt;&gt;"Por comprobar")),NOT(AND(LEN(TRIM('DATOS'!F334&amp;""))&gt;0,TRIM('DATOS'!F334&amp;"")&lt;&gt;"Pendiente",TRIM('DATOS'!F334&amp;"")&lt;&gt;"Por confirmar",TRIM('DATOS'!F334&amp;"")&lt;&gt;"No consta",TRIM('DATOS'!F334&amp;"")&lt;&gt;"Desconocido",TRIM('DATOS'!F334&amp;"")&lt;&gt;"Sin confirmar",TRIM('DATOS'!F334&amp;"")&lt;&gt;"Por decidir",TRIM('DATOS'!F334&amp;"")&lt;&gt;"Por comprobar")),NOT(AND(LEN(TRIM('DATOS'!N334&amp;""))&gt;0,TRIM('DATOS'!N334&amp;"")&lt;&gt;"Pendiente",TRIM('DATOS'!N334&amp;"")&lt;&gt;"Por confirmar",TRIM('DATOS'!N334&amp;"")&lt;&gt;"No consta",TRIM('DATOS'!N334&amp;"")&lt;&gt;"Desconocido",TRIM('DATOS'!N334&amp;"")&lt;&gt;"Sin confirmar",TRIM('DATOS'!N334&amp;"")&lt;&gt;"Por decidir",TRIM('DATOS'!N334&amp;"")&lt;&gt;"Por comprobar")),NOT(Y334=1),W334&lt;&gt;1,X334&gt;1,NOT(OR(LEN(TRIM('DATOS'!K334&amp;""))=0,'DATOS'!K334="Sin valorar",'DATOS'!K334="Sin coste documentado",'DATOS'!K334="Incluido en otra partida",'DATOS'!K334="Por confirmar")),NOT(OR(LEN(TRIM('DATOS'!M334&amp;""))=0,'DATOS'!M334="Sí",'DATOS'!M334="No",'DATOS'!M334="Por confirmar")),NOT(OR(LEN(TRIM('DATOS'!O334&amp;""))=0,'DATOS'!O334="Comparamos",'DATOS'!O334="No existe",'DATOS'!O334="Por confirmar"))),2,IF(AND(OR('DATOS'!G334&lt;0,'DATOS'!H334&lt;0,'DATOS'!J334&lt;0),NOT(AND(LEN(TRIM('DATOS'!L334&amp;""))&gt;0,TRIM('DATOS'!L334&amp;"")&lt;&gt;"Pendiente",TRIM('DATOS'!L334&amp;"")&lt;&gt;"Por confirmar",TRIM('DATOS'!L334&amp;"")&lt;&gt;"No consta",TRIM('DATOS'!L334&amp;"")&lt;&gt;"Desconocido",TRIM('DATOS'!L334&amp;"")&lt;&gt;"Sin confirmar",TRIM('DATOS'!L334&amp;"")&lt;&gt;"Por decidir",TRIM('DATOS'!L334&amp;"")&lt;&gt;"Por comprobar"))),1,0))),2)</f>
      </c>
      <c r="P334" s="29">
        <f>IFERROR(IF(N334=0,"",IF(NOT(Y334=1),1,IF('REFERENCIAS'!$Q$8&lt;&gt;1,2,IF(ABS('DATOS'!J334-ROUND('DATOS'!G334*'DATOS'!H334,'REFERENCIAS'!$K$8))&gt;0.00000001,2,IF('DATOS'!O334="No existe",IF(LEN(TRIM('DATOS'!I334&amp;""))=0,0,2),IF('DATOS'!O334="Comparamos",IF(LEN(TRIM('DATOS'!I334&amp;""))=0,1,IF(ISNUMBER('DATOS'!I334),IF(ABS('DATOS'!H334-'DATOS'!I334)&gt;0.00000001,2,0),2)),1)))))),2)</f>
      </c>
      <c r="Q334" s="29">
        <f>IFERROR(IF(N334=0,"",IF(NOT(Y334=1),1,IF('DATOS'!K334="Sin valorar",2,IF('DATOS'!G334=0,1,IF(OR('DATOS'!H334=0,'DATOS'!J334=0),IF(AND(OR('DATOS'!K334="Sin coste documentado",'DATOS'!K334="Incluido en otra partida"),AND(LEN(TRIM('DATOS'!L334&amp;""))&gt;0,TRIM('DATOS'!L334&amp;"")&lt;&gt;"Pendiente",TRIM('DATOS'!L334&amp;"")&lt;&gt;"Por confirmar",TRIM('DATOS'!L334&amp;"")&lt;&gt;"No consta",TRIM('DATOS'!L334&amp;"")&lt;&gt;"Desconocido",TRIM('DATOS'!L334&amp;"")&lt;&gt;"Sin confirmar",TRIM('DATOS'!L334&amp;"")&lt;&gt;"Por decidir",TRIM('DATOS'!L334&amp;"")&lt;&gt;"Por comprobar")),0,1),0))))),2)</f>
      </c>
      <c r="R334" s="29">
        <f>IFERROR(IF(N334=0,"",IF(OR(NOT(AND(LEN(TRIM('DATOS'!D334&amp;""))&gt;0,TRIM('DATOS'!D334&amp;"")&lt;&gt;"Pendiente",TRIM('DATOS'!D334&amp;"")&lt;&gt;"Por confirmar",TRIM('DATOS'!D334&amp;"")&lt;&gt;"No consta",TRIM('DATOS'!D334&amp;"")&lt;&gt;"Desconocido",TRIM('DATOS'!D334&amp;"")&lt;&gt;"Sin confirmar",TRIM('DATOS'!D334&amp;"")&lt;&gt;"Por decidir",TRIM('DATOS'!D334&amp;"")&lt;&gt;"Por comprobar")),NOT(AND(LEN(TRIM('DATOS'!E334&amp;""))&gt;0,TRIM('DATOS'!E334&amp;"")&lt;&gt;"Pendiente",TRIM('DATOS'!E334&amp;"")&lt;&gt;"Por confirmar",TRIM('DATOS'!E334&amp;"")&lt;&gt;"No consta",TRIM('DATOS'!E334&amp;"")&lt;&gt;"Desconocido",TRIM('DATOS'!E334&amp;"")&lt;&gt;"Sin confirmar",TRIM('DATOS'!E334&amp;"")&lt;&gt;"Por decidir",TRIM('DATOS'!E334&amp;"")&lt;&gt;"Por comprobar"))),2,IF('DATOS'!M334="No",2,IF('DATOS'!M334="Sí",0,IF(OR('DATOS'!D334&lt;&gt;'DATOS'!E334,LEN('DATOS'!E334)&gt;300,RIGHT(TRIM('DATOS'!E334),3)="...",RIGHT(TRIM('DATOS'!E334),1)="…"),1,0))))),2)</f>
      </c>
      <c r="S334" s="29">
        <f>IFERROR(IF(N334=0,"",IF('REFERENCIAS'!$Q$8&lt;&gt;1,2,IF(NOT(Y334=1),1,IF(OR(ABS('DATOS'!G334-ROUND('DATOS'!G334,'REFERENCIAS'!$E$8))&gt;0.00000001,ABS('DATOS'!H334-ROUND('DATOS'!H334,'REFERENCIAS'!$H$8))&gt;0.00000001,ABS('DATOS'!J334-ROUND('DATOS'!J334,'REFERENCIAS'!$K$8))&gt;0.00000001,IF(ISNUMBER('DATOS'!I334),ABS('DATOS'!I334-ROUND('DATOS'!I334,'REFERENCIAS'!$H$8))&gt;0.00000001,FALSE)),1,0)))),2)</f>
      </c>
      <c r="T334" s="29">
        <f>IFERROR(IF(N334=0,"",IF(NOT(AND(LEN(TRIM('DATOS'!F334&amp;""))&gt;0,TRIM('DATOS'!F334&amp;"")&lt;&gt;"Pendiente",TRIM('DATOS'!F334&amp;"")&lt;&gt;"Por confirmar",TRIM('DATOS'!F334&amp;"")&lt;&gt;"No consta",TRIM('DATOS'!F334&amp;"")&lt;&gt;"Desconocido",TRIM('DATOS'!F334&amp;"")&lt;&gt;"Sin confirmar",TRIM('DATOS'!F334&amp;"")&lt;&gt;"Por decidir",TRIM('DATOS'!F334&amp;"")&lt;&gt;"Por comprobar")),2,IF(COUNTIFS('REFERENCIAS'!$T$15:$T$34,"ID:"&amp;SUBSTITUTE(SUBSTITUTE(SUBSTITUTE(SUBSTITUTE(UPPER(TRIM('DATOS'!F334&amp;"")),"!","!E"),"*","!A"),"?","!B"),"~","!C"),'REFERENCIAS'!$H$15:$H$34,"&lt;&gt;")&gt;0,0,1))),2)</f>
      </c>
      <c r="U334" s="29" t="str">
        <f>'DATOS'!R334</f>
        <v>ID:</v>
      </c>
      <c r="V334" s="29" t="str">
        <f>'DATOS'!S334</f>
        <v>ID:</v>
      </c>
      <c r="W334" s="29" t="n">
        <f>IF(N334=0,0,COUNTIFS('REFERENCIAS'!$R$15:$R$64,U334))</f>
        <v>0</v>
      </c>
      <c r="X334" s="29" t="n">
        <f>IF(N334=0,0,COUNTIFS('DATOS'!$R$10:$R$509,U334,'DATOS'!$S$10:$S$509,V334))</f>
        <v>0</v>
      </c>
      <c r="Y334" s="29" t="n">
        <f>IF(AND(ISNUMBER('DATOS'!G334),ISNUMBER('DATOS'!H334),ISNUMBER('DATOS'!J334)),1,0)</f>
        <v>0</v>
      </c>
    </row>
    <row r="335" ht="64" customHeight="1">
      <c r="B335" s="26">
        <f>IF(N335=1,326,"")</f>
      </c>
      <c r="C335" s="26">
        <f>IF(AND(N335=1,LEN(TRIM('DATOS'!B335&amp;""))&gt;0),'DATOS'!B335,"")</f>
      </c>
      <c r="D335" s="26">
        <f>IF(AND(N335=1,LEN(TRIM('DATOS'!C335&amp;""))&gt;0),'DATOS'!C335,"")</f>
      </c>
      <c r="E335" s="26">
        <f>IF(NOT(ISNUMBER(P335)),"",IF(P335=2,"ROJO",IF(P335=1,"ÁMBAR","VERDE")))</f>
      </c>
      <c r="F335" s="26">
        <f>IF(NOT(ISNUMBER(Q335)),"",IF(Q335=2,"ROJO",IF(Q335=1,"ÁMBAR","VERDE")))</f>
      </c>
      <c r="G335" s="26">
        <f>IF(NOT(ISNUMBER(R335)),"",IF(R335=2,"ROJO",IF(R335=1,"ÁMBAR","VERDE")))</f>
      </c>
      <c r="H335" s="26">
        <f>IF(NOT(ISNUMBER(S335)),"",IF(S335=2,"ROJO",IF(S335=1,"ÁMBAR","VERDE")))</f>
      </c>
      <c r="I335" s="26">
        <f>IF(NOT(ISNUMBER(T335)),"",IF(T335=2,"ROJO",IF(T335=1,"ÁMBAR","VERDE")))</f>
      </c>
      <c r="J335" s="26">
        <f>IF(NOT(ISNUMBER(O335)),"",IF(O335=2,"ROJO",IF(O335=1,"ÁMBAR","VERDE")))</f>
      </c>
      <c r="K335" s="26">
        <f>IFERROR(IF(AND(N335=1,LEN(TRIM('DATOS'!N335&amp;""))&gt;0),'DATOS'!N335,""),"Hay una entrada con error. Corregimos el dato antes de cerrar la comprobación.")</f>
      </c>
      <c r="L335" s="26">
        <f>IFERROR(IF(N335=0,"",IF(O335&gt;0,"Completamos datos, claves o motivo. ","")&amp;IF(P335&gt;0,"Cotejamos precios e importe. ","")&amp;IF(Q335&gt;0,"Aclaramos el cero. ","")&amp;IF(R335&gt;0,"Comprobamos el texto. ","")&amp;IF(S335&gt;0,"Revisamos decimales visibles. ","")&amp;IF(T335&gt;0,"Confirmamos la unidad.","")),"Hay una entrada con error. Corregimos el dato antes de cerrar la comprobación.")</f>
      </c>
      <c r="N335" s="29" t="n">
        <f>IF(COUNTA('DATOS'!B335:O335)&gt;0,1,0)</f>
        <v>0</v>
      </c>
      <c r="O335" s="29">
        <f>IFERROR(IF(N335=0,"",IF(OR(NOT(AND(LEN(TRIM('DATOS'!B335&amp;""))&gt;0,TRIM('DATOS'!B335&amp;"")&lt;&gt;"Pendiente",TRIM('DATOS'!B335&amp;"")&lt;&gt;"Por confirmar",TRIM('DATOS'!B335&amp;"")&lt;&gt;"No consta",TRIM('DATOS'!B335&amp;"")&lt;&gt;"Desconocido",TRIM('DATOS'!B335&amp;"")&lt;&gt;"Sin confirmar",TRIM('DATOS'!B335&amp;"")&lt;&gt;"Por decidir",TRIM('DATOS'!B335&amp;"")&lt;&gt;"Por comprobar")),NOT(AND(LEN(TRIM('DATOS'!C335&amp;""))&gt;0,TRIM('DATOS'!C335&amp;"")&lt;&gt;"Pendiente",TRIM('DATOS'!C335&amp;"")&lt;&gt;"Por confirmar",TRIM('DATOS'!C335&amp;"")&lt;&gt;"No consta",TRIM('DATOS'!C335&amp;"")&lt;&gt;"Desconocido",TRIM('DATOS'!C335&amp;"")&lt;&gt;"Sin confirmar",TRIM('DATOS'!C335&amp;"")&lt;&gt;"Por decidir",TRIM('DATOS'!C335&amp;"")&lt;&gt;"Por comprobar")),NOT(AND(LEN(TRIM('DATOS'!D335&amp;""))&gt;0,TRIM('DATOS'!D335&amp;"")&lt;&gt;"Pendiente",TRIM('DATOS'!D335&amp;"")&lt;&gt;"Por confirmar",TRIM('DATOS'!D335&amp;"")&lt;&gt;"No consta",TRIM('DATOS'!D335&amp;"")&lt;&gt;"Desconocido",TRIM('DATOS'!D335&amp;"")&lt;&gt;"Sin confirmar",TRIM('DATOS'!D335&amp;"")&lt;&gt;"Por decidir",TRIM('DATOS'!D335&amp;"")&lt;&gt;"Por comprobar")),NOT(AND(LEN(TRIM('DATOS'!E335&amp;""))&gt;0,TRIM('DATOS'!E335&amp;"")&lt;&gt;"Pendiente",TRIM('DATOS'!E335&amp;"")&lt;&gt;"Por confirmar",TRIM('DATOS'!E335&amp;"")&lt;&gt;"No consta",TRIM('DATOS'!E335&amp;"")&lt;&gt;"Desconocido",TRIM('DATOS'!E335&amp;"")&lt;&gt;"Sin confirmar",TRIM('DATOS'!E335&amp;"")&lt;&gt;"Por decidir",TRIM('DATOS'!E335&amp;"")&lt;&gt;"Por comprobar")),NOT(AND(LEN(TRIM('DATOS'!F335&amp;""))&gt;0,TRIM('DATOS'!F335&amp;"")&lt;&gt;"Pendiente",TRIM('DATOS'!F335&amp;"")&lt;&gt;"Por confirmar",TRIM('DATOS'!F335&amp;"")&lt;&gt;"No consta",TRIM('DATOS'!F335&amp;"")&lt;&gt;"Desconocido",TRIM('DATOS'!F335&amp;"")&lt;&gt;"Sin confirmar",TRIM('DATOS'!F335&amp;"")&lt;&gt;"Por decidir",TRIM('DATOS'!F335&amp;"")&lt;&gt;"Por comprobar")),NOT(AND(LEN(TRIM('DATOS'!N335&amp;""))&gt;0,TRIM('DATOS'!N335&amp;"")&lt;&gt;"Pendiente",TRIM('DATOS'!N335&amp;"")&lt;&gt;"Por confirmar",TRIM('DATOS'!N335&amp;"")&lt;&gt;"No consta",TRIM('DATOS'!N335&amp;"")&lt;&gt;"Desconocido",TRIM('DATOS'!N335&amp;"")&lt;&gt;"Sin confirmar",TRIM('DATOS'!N335&amp;"")&lt;&gt;"Por decidir",TRIM('DATOS'!N335&amp;"")&lt;&gt;"Por comprobar")),NOT(Y335=1),W335&lt;&gt;1,X335&gt;1,NOT(OR(LEN(TRIM('DATOS'!K335&amp;""))=0,'DATOS'!K335="Sin valorar",'DATOS'!K335="Sin coste documentado",'DATOS'!K335="Incluido en otra partida",'DATOS'!K335="Por confirmar")),NOT(OR(LEN(TRIM('DATOS'!M335&amp;""))=0,'DATOS'!M335="Sí",'DATOS'!M335="No",'DATOS'!M335="Por confirmar")),NOT(OR(LEN(TRIM('DATOS'!O335&amp;""))=0,'DATOS'!O335="Comparamos",'DATOS'!O335="No existe",'DATOS'!O335="Por confirmar"))),2,IF(AND(OR('DATOS'!G335&lt;0,'DATOS'!H335&lt;0,'DATOS'!J335&lt;0),NOT(AND(LEN(TRIM('DATOS'!L335&amp;""))&gt;0,TRIM('DATOS'!L335&amp;"")&lt;&gt;"Pendiente",TRIM('DATOS'!L335&amp;"")&lt;&gt;"Por confirmar",TRIM('DATOS'!L335&amp;"")&lt;&gt;"No consta",TRIM('DATOS'!L335&amp;"")&lt;&gt;"Desconocido",TRIM('DATOS'!L335&amp;"")&lt;&gt;"Sin confirmar",TRIM('DATOS'!L335&amp;"")&lt;&gt;"Por decidir",TRIM('DATOS'!L335&amp;"")&lt;&gt;"Por comprobar"))),1,0))),2)</f>
      </c>
      <c r="P335" s="29">
        <f>IFERROR(IF(N335=0,"",IF(NOT(Y335=1),1,IF('REFERENCIAS'!$Q$8&lt;&gt;1,2,IF(ABS('DATOS'!J335-ROUND('DATOS'!G335*'DATOS'!H335,'REFERENCIAS'!$K$8))&gt;0.00000001,2,IF('DATOS'!O335="No existe",IF(LEN(TRIM('DATOS'!I335&amp;""))=0,0,2),IF('DATOS'!O335="Comparamos",IF(LEN(TRIM('DATOS'!I335&amp;""))=0,1,IF(ISNUMBER('DATOS'!I335),IF(ABS('DATOS'!H335-'DATOS'!I335)&gt;0.00000001,2,0),2)),1)))))),2)</f>
      </c>
      <c r="Q335" s="29">
        <f>IFERROR(IF(N335=0,"",IF(NOT(Y335=1),1,IF('DATOS'!K335="Sin valorar",2,IF('DATOS'!G335=0,1,IF(OR('DATOS'!H335=0,'DATOS'!J335=0),IF(AND(OR('DATOS'!K335="Sin coste documentado",'DATOS'!K335="Incluido en otra partida"),AND(LEN(TRIM('DATOS'!L335&amp;""))&gt;0,TRIM('DATOS'!L335&amp;"")&lt;&gt;"Pendiente",TRIM('DATOS'!L335&amp;"")&lt;&gt;"Por confirmar",TRIM('DATOS'!L335&amp;"")&lt;&gt;"No consta",TRIM('DATOS'!L335&amp;"")&lt;&gt;"Desconocido",TRIM('DATOS'!L335&amp;"")&lt;&gt;"Sin confirmar",TRIM('DATOS'!L335&amp;"")&lt;&gt;"Por decidir",TRIM('DATOS'!L335&amp;"")&lt;&gt;"Por comprobar")),0,1),0))))),2)</f>
      </c>
      <c r="R335" s="29">
        <f>IFERROR(IF(N335=0,"",IF(OR(NOT(AND(LEN(TRIM('DATOS'!D335&amp;""))&gt;0,TRIM('DATOS'!D335&amp;"")&lt;&gt;"Pendiente",TRIM('DATOS'!D335&amp;"")&lt;&gt;"Por confirmar",TRIM('DATOS'!D335&amp;"")&lt;&gt;"No consta",TRIM('DATOS'!D335&amp;"")&lt;&gt;"Desconocido",TRIM('DATOS'!D335&amp;"")&lt;&gt;"Sin confirmar",TRIM('DATOS'!D335&amp;"")&lt;&gt;"Por decidir",TRIM('DATOS'!D335&amp;"")&lt;&gt;"Por comprobar")),NOT(AND(LEN(TRIM('DATOS'!E335&amp;""))&gt;0,TRIM('DATOS'!E335&amp;"")&lt;&gt;"Pendiente",TRIM('DATOS'!E335&amp;"")&lt;&gt;"Por confirmar",TRIM('DATOS'!E335&amp;"")&lt;&gt;"No consta",TRIM('DATOS'!E335&amp;"")&lt;&gt;"Desconocido",TRIM('DATOS'!E335&amp;"")&lt;&gt;"Sin confirmar",TRIM('DATOS'!E335&amp;"")&lt;&gt;"Por decidir",TRIM('DATOS'!E335&amp;"")&lt;&gt;"Por comprobar"))),2,IF('DATOS'!M335="No",2,IF('DATOS'!M335="Sí",0,IF(OR('DATOS'!D335&lt;&gt;'DATOS'!E335,LEN('DATOS'!E335)&gt;300,RIGHT(TRIM('DATOS'!E335),3)="...",RIGHT(TRIM('DATOS'!E335),1)="…"),1,0))))),2)</f>
      </c>
      <c r="S335" s="29">
        <f>IFERROR(IF(N335=0,"",IF('REFERENCIAS'!$Q$8&lt;&gt;1,2,IF(NOT(Y335=1),1,IF(OR(ABS('DATOS'!G335-ROUND('DATOS'!G335,'REFERENCIAS'!$E$8))&gt;0.00000001,ABS('DATOS'!H335-ROUND('DATOS'!H335,'REFERENCIAS'!$H$8))&gt;0.00000001,ABS('DATOS'!J335-ROUND('DATOS'!J335,'REFERENCIAS'!$K$8))&gt;0.00000001,IF(ISNUMBER('DATOS'!I335),ABS('DATOS'!I335-ROUND('DATOS'!I335,'REFERENCIAS'!$H$8))&gt;0.00000001,FALSE)),1,0)))),2)</f>
      </c>
      <c r="T335" s="29">
        <f>IFERROR(IF(N335=0,"",IF(NOT(AND(LEN(TRIM('DATOS'!F335&amp;""))&gt;0,TRIM('DATOS'!F335&amp;"")&lt;&gt;"Pendiente",TRIM('DATOS'!F335&amp;"")&lt;&gt;"Por confirmar",TRIM('DATOS'!F335&amp;"")&lt;&gt;"No consta",TRIM('DATOS'!F335&amp;"")&lt;&gt;"Desconocido",TRIM('DATOS'!F335&amp;"")&lt;&gt;"Sin confirmar",TRIM('DATOS'!F335&amp;"")&lt;&gt;"Por decidir",TRIM('DATOS'!F335&amp;"")&lt;&gt;"Por comprobar")),2,IF(COUNTIFS('REFERENCIAS'!$T$15:$T$34,"ID:"&amp;SUBSTITUTE(SUBSTITUTE(SUBSTITUTE(SUBSTITUTE(UPPER(TRIM('DATOS'!F335&amp;"")),"!","!E"),"*","!A"),"?","!B"),"~","!C"),'REFERENCIAS'!$H$15:$H$34,"&lt;&gt;")&gt;0,0,1))),2)</f>
      </c>
      <c r="U335" s="29" t="str">
        <f>'DATOS'!R335</f>
        <v>ID:</v>
      </c>
      <c r="V335" s="29" t="str">
        <f>'DATOS'!S335</f>
        <v>ID:</v>
      </c>
      <c r="W335" s="29" t="n">
        <f>IF(N335=0,0,COUNTIFS('REFERENCIAS'!$R$15:$R$64,U335))</f>
        <v>0</v>
      </c>
      <c r="X335" s="29" t="n">
        <f>IF(N335=0,0,COUNTIFS('DATOS'!$R$10:$R$509,U335,'DATOS'!$S$10:$S$509,V335))</f>
        <v>0</v>
      </c>
      <c r="Y335" s="29" t="n">
        <f>IF(AND(ISNUMBER('DATOS'!G335),ISNUMBER('DATOS'!H335),ISNUMBER('DATOS'!J335)),1,0)</f>
        <v>0</v>
      </c>
    </row>
    <row r="336" ht="64" customHeight="1">
      <c r="B336" s="26">
        <f>IF(N336=1,327,"")</f>
      </c>
      <c r="C336" s="26">
        <f>IF(AND(N336=1,LEN(TRIM('DATOS'!B336&amp;""))&gt;0),'DATOS'!B336,"")</f>
      </c>
      <c r="D336" s="26">
        <f>IF(AND(N336=1,LEN(TRIM('DATOS'!C336&amp;""))&gt;0),'DATOS'!C336,"")</f>
      </c>
      <c r="E336" s="26">
        <f>IF(NOT(ISNUMBER(P336)),"",IF(P336=2,"ROJO",IF(P336=1,"ÁMBAR","VERDE")))</f>
      </c>
      <c r="F336" s="26">
        <f>IF(NOT(ISNUMBER(Q336)),"",IF(Q336=2,"ROJO",IF(Q336=1,"ÁMBAR","VERDE")))</f>
      </c>
      <c r="G336" s="26">
        <f>IF(NOT(ISNUMBER(R336)),"",IF(R336=2,"ROJO",IF(R336=1,"ÁMBAR","VERDE")))</f>
      </c>
      <c r="H336" s="26">
        <f>IF(NOT(ISNUMBER(S336)),"",IF(S336=2,"ROJO",IF(S336=1,"ÁMBAR","VERDE")))</f>
      </c>
      <c r="I336" s="26">
        <f>IF(NOT(ISNUMBER(T336)),"",IF(T336=2,"ROJO",IF(T336=1,"ÁMBAR","VERDE")))</f>
      </c>
      <c r="J336" s="26">
        <f>IF(NOT(ISNUMBER(O336)),"",IF(O336=2,"ROJO",IF(O336=1,"ÁMBAR","VERDE")))</f>
      </c>
      <c r="K336" s="26">
        <f>IFERROR(IF(AND(N336=1,LEN(TRIM('DATOS'!N336&amp;""))&gt;0),'DATOS'!N336,""),"Hay una entrada con error. Corregimos el dato antes de cerrar la comprobación.")</f>
      </c>
      <c r="L336" s="26">
        <f>IFERROR(IF(N336=0,"",IF(O336&gt;0,"Completamos datos, claves o motivo. ","")&amp;IF(P336&gt;0,"Cotejamos precios e importe. ","")&amp;IF(Q336&gt;0,"Aclaramos el cero. ","")&amp;IF(R336&gt;0,"Comprobamos el texto. ","")&amp;IF(S336&gt;0,"Revisamos decimales visibles. ","")&amp;IF(T336&gt;0,"Confirmamos la unidad.","")),"Hay una entrada con error. Corregimos el dato antes de cerrar la comprobación.")</f>
      </c>
      <c r="N336" s="29" t="n">
        <f>IF(COUNTA('DATOS'!B336:O336)&gt;0,1,0)</f>
        <v>0</v>
      </c>
      <c r="O336" s="29">
        <f>IFERROR(IF(N336=0,"",IF(OR(NOT(AND(LEN(TRIM('DATOS'!B336&amp;""))&gt;0,TRIM('DATOS'!B336&amp;"")&lt;&gt;"Pendiente",TRIM('DATOS'!B336&amp;"")&lt;&gt;"Por confirmar",TRIM('DATOS'!B336&amp;"")&lt;&gt;"No consta",TRIM('DATOS'!B336&amp;"")&lt;&gt;"Desconocido",TRIM('DATOS'!B336&amp;"")&lt;&gt;"Sin confirmar",TRIM('DATOS'!B336&amp;"")&lt;&gt;"Por decidir",TRIM('DATOS'!B336&amp;"")&lt;&gt;"Por comprobar")),NOT(AND(LEN(TRIM('DATOS'!C336&amp;""))&gt;0,TRIM('DATOS'!C336&amp;"")&lt;&gt;"Pendiente",TRIM('DATOS'!C336&amp;"")&lt;&gt;"Por confirmar",TRIM('DATOS'!C336&amp;"")&lt;&gt;"No consta",TRIM('DATOS'!C336&amp;"")&lt;&gt;"Desconocido",TRIM('DATOS'!C336&amp;"")&lt;&gt;"Sin confirmar",TRIM('DATOS'!C336&amp;"")&lt;&gt;"Por decidir",TRIM('DATOS'!C336&amp;"")&lt;&gt;"Por comprobar")),NOT(AND(LEN(TRIM('DATOS'!D336&amp;""))&gt;0,TRIM('DATOS'!D336&amp;"")&lt;&gt;"Pendiente",TRIM('DATOS'!D336&amp;"")&lt;&gt;"Por confirmar",TRIM('DATOS'!D336&amp;"")&lt;&gt;"No consta",TRIM('DATOS'!D336&amp;"")&lt;&gt;"Desconocido",TRIM('DATOS'!D336&amp;"")&lt;&gt;"Sin confirmar",TRIM('DATOS'!D336&amp;"")&lt;&gt;"Por decidir",TRIM('DATOS'!D336&amp;"")&lt;&gt;"Por comprobar")),NOT(AND(LEN(TRIM('DATOS'!E336&amp;""))&gt;0,TRIM('DATOS'!E336&amp;"")&lt;&gt;"Pendiente",TRIM('DATOS'!E336&amp;"")&lt;&gt;"Por confirmar",TRIM('DATOS'!E336&amp;"")&lt;&gt;"No consta",TRIM('DATOS'!E336&amp;"")&lt;&gt;"Desconocido",TRIM('DATOS'!E336&amp;"")&lt;&gt;"Sin confirmar",TRIM('DATOS'!E336&amp;"")&lt;&gt;"Por decidir",TRIM('DATOS'!E336&amp;"")&lt;&gt;"Por comprobar")),NOT(AND(LEN(TRIM('DATOS'!F336&amp;""))&gt;0,TRIM('DATOS'!F336&amp;"")&lt;&gt;"Pendiente",TRIM('DATOS'!F336&amp;"")&lt;&gt;"Por confirmar",TRIM('DATOS'!F336&amp;"")&lt;&gt;"No consta",TRIM('DATOS'!F336&amp;"")&lt;&gt;"Desconocido",TRIM('DATOS'!F336&amp;"")&lt;&gt;"Sin confirmar",TRIM('DATOS'!F336&amp;"")&lt;&gt;"Por decidir",TRIM('DATOS'!F336&amp;"")&lt;&gt;"Por comprobar")),NOT(AND(LEN(TRIM('DATOS'!N336&amp;""))&gt;0,TRIM('DATOS'!N336&amp;"")&lt;&gt;"Pendiente",TRIM('DATOS'!N336&amp;"")&lt;&gt;"Por confirmar",TRIM('DATOS'!N336&amp;"")&lt;&gt;"No consta",TRIM('DATOS'!N336&amp;"")&lt;&gt;"Desconocido",TRIM('DATOS'!N336&amp;"")&lt;&gt;"Sin confirmar",TRIM('DATOS'!N336&amp;"")&lt;&gt;"Por decidir",TRIM('DATOS'!N336&amp;"")&lt;&gt;"Por comprobar")),NOT(Y336=1),W336&lt;&gt;1,X336&gt;1,NOT(OR(LEN(TRIM('DATOS'!K336&amp;""))=0,'DATOS'!K336="Sin valorar",'DATOS'!K336="Sin coste documentado",'DATOS'!K336="Incluido en otra partida",'DATOS'!K336="Por confirmar")),NOT(OR(LEN(TRIM('DATOS'!M336&amp;""))=0,'DATOS'!M336="Sí",'DATOS'!M336="No",'DATOS'!M336="Por confirmar")),NOT(OR(LEN(TRIM('DATOS'!O336&amp;""))=0,'DATOS'!O336="Comparamos",'DATOS'!O336="No existe",'DATOS'!O336="Por confirmar"))),2,IF(AND(OR('DATOS'!G336&lt;0,'DATOS'!H336&lt;0,'DATOS'!J336&lt;0),NOT(AND(LEN(TRIM('DATOS'!L336&amp;""))&gt;0,TRIM('DATOS'!L336&amp;"")&lt;&gt;"Pendiente",TRIM('DATOS'!L336&amp;"")&lt;&gt;"Por confirmar",TRIM('DATOS'!L336&amp;"")&lt;&gt;"No consta",TRIM('DATOS'!L336&amp;"")&lt;&gt;"Desconocido",TRIM('DATOS'!L336&amp;"")&lt;&gt;"Sin confirmar",TRIM('DATOS'!L336&amp;"")&lt;&gt;"Por decidir",TRIM('DATOS'!L336&amp;"")&lt;&gt;"Por comprobar"))),1,0))),2)</f>
      </c>
      <c r="P336" s="29">
        <f>IFERROR(IF(N336=0,"",IF(NOT(Y336=1),1,IF('REFERENCIAS'!$Q$8&lt;&gt;1,2,IF(ABS('DATOS'!J336-ROUND('DATOS'!G336*'DATOS'!H336,'REFERENCIAS'!$K$8))&gt;0.00000001,2,IF('DATOS'!O336="No existe",IF(LEN(TRIM('DATOS'!I336&amp;""))=0,0,2),IF('DATOS'!O336="Comparamos",IF(LEN(TRIM('DATOS'!I336&amp;""))=0,1,IF(ISNUMBER('DATOS'!I336),IF(ABS('DATOS'!H336-'DATOS'!I336)&gt;0.00000001,2,0),2)),1)))))),2)</f>
      </c>
      <c r="Q336" s="29">
        <f>IFERROR(IF(N336=0,"",IF(NOT(Y336=1),1,IF('DATOS'!K336="Sin valorar",2,IF('DATOS'!G336=0,1,IF(OR('DATOS'!H336=0,'DATOS'!J336=0),IF(AND(OR('DATOS'!K336="Sin coste documentado",'DATOS'!K336="Incluido en otra partida"),AND(LEN(TRIM('DATOS'!L336&amp;""))&gt;0,TRIM('DATOS'!L336&amp;"")&lt;&gt;"Pendiente",TRIM('DATOS'!L336&amp;"")&lt;&gt;"Por confirmar",TRIM('DATOS'!L336&amp;"")&lt;&gt;"No consta",TRIM('DATOS'!L336&amp;"")&lt;&gt;"Desconocido",TRIM('DATOS'!L336&amp;"")&lt;&gt;"Sin confirmar",TRIM('DATOS'!L336&amp;"")&lt;&gt;"Por decidir",TRIM('DATOS'!L336&amp;"")&lt;&gt;"Por comprobar")),0,1),0))))),2)</f>
      </c>
      <c r="R336" s="29">
        <f>IFERROR(IF(N336=0,"",IF(OR(NOT(AND(LEN(TRIM('DATOS'!D336&amp;""))&gt;0,TRIM('DATOS'!D336&amp;"")&lt;&gt;"Pendiente",TRIM('DATOS'!D336&amp;"")&lt;&gt;"Por confirmar",TRIM('DATOS'!D336&amp;"")&lt;&gt;"No consta",TRIM('DATOS'!D336&amp;"")&lt;&gt;"Desconocido",TRIM('DATOS'!D336&amp;"")&lt;&gt;"Sin confirmar",TRIM('DATOS'!D336&amp;"")&lt;&gt;"Por decidir",TRIM('DATOS'!D336&amp;"")&lt;&gt;"Por comprobar")),NOT(AND(LEN(TRIM('DATOS'!E336&amp;""))&gt;0,TRIM('DATOS'!E336&amp;"")&lt;&gt;"Pendiente",TRIM('DATOS'!E336&amp;"")&lt;&gt;"Por confirmar",TRIM('DATOS'!E336&amp;"")&lt;&gt;"No consta",TRIM('DATOS'!E336&amp;"")&lt;&gt;"Desconocido",TRIM('DATOS'!E336&amp;"")&lt;&gt;"Sin confirmar",TRIM('DATOS'!E336&amp;"")&lt;&gt;"Por decidir",TRIM('DATOS'!E336&amp;"")&lt;&gt;"Por comprobar"))),2,IF('DATOS'!M336="No",2,IF('DATOS'!M336="Sí",0,IF(OR('DATOS'!D336&lt;&gt;'DATOS'!E336,LEN('DATOS'!E336)&gt;300,RIGHT(TRIM('DATOS'!E336),3)="...",RIGHT(TRIM('DATOS'!E336),1)="…"),1,0))))),2)</f>
      </c>
      <c r="S336" s="29">
        <f>IFERROR(IF(N336=0,"",IF('REFERENCIAS'!$Q$8&lt;&gt;1,2,IF(NOT(Y336=1),1,IF(OR(ABS('DATOS'!G336-ROUND('DATOS'!G336,'REFERENCIAS'!$E$8))&gt;0.00000001,ABS('DATOS'!H336-ROUND('DATOS'!H336,'REFERENCIAS'!$H$8))&gt;0.00000001,ABS('DATOS'!J336-ROUND('DATOS'!J336,'REFERENCIAS'!$K$8))&gt;0.00000001,IF(ISNUMBER('DATOS'!I336),ABS('DATOS'!I336-ROUND('DATOS'!I336,'REFERENCIAS'!$H$8))&gt;0.00000001,FALSE)),1,0)))),2)</f>
      </c>
      <c r="T336" s="29">
        <f>IFERROR(IF(N336=0,"",IF(NOT(AND(LEN(TRIM('DATOS'!F336&amp;""))&gt;0,TRIM('DATOS'!F336&amp;"")&lt;&gt;"Pendiente",TRIM('DATOS'!F336&amp;"")&lt;&gt;"Por confirmar",TRIM('DATOS'!F336&amp;"")&lt;&gt;"No consta",TRIM('DATOS'!F336&amp;"")&lt;&gt;"Desconocido",TRIM('DATOS'!F336&amp;"")&lt;&gt;"Sin confirmar",TRIM('DATOS'!F336&amp;"")&lt;&gt;"Por decidir",TRIM('DATOS'!F336&amp;"")&lt;&gt;"Por comprobar")),2,IF(COUNTIFS('REFERENCIAS'!$T$15:$T$34,"ID:"&amp;SUBSTITUTE(SUBSTITUTE(SUBSTITUTE(SUBSTITUTE(UPPER(TRIM('DATOS'!F336&amp;"")),"!","!E"),"*","!A"),"?","!B"),"~","!C"),'REFERENCIAS'!$H$15:$H$34,"&lt;&gt;")&gt;0,0,1))),2)</f>
      </c>
      <c r="U336" s="29" t="str">
        <f>'DATOS'!R336</f>
        <v>ID:</v>
      </c>
      <c r="V336" s="29" t="str">
        <f>'DATOS'!S336</f>
        <v>ID:</v>
      </c>
      <c r="W336" s="29" t="n">
        <f>IF(N336=0,0,COUNTIFS('REFERENCIAS'!$R$15:$R$64,U336))</f>
        <v>0</v>
      </c>
      <c r="X336" s="29" t="n">
        <f>IF(N336=0,0,COUNTIFS('DATOS'!$R$10:$R$509,U336,'DATOS'!$S$10:$S$509,V336))</f>
        <v>0</v>
      </c>
      <c r="Y336" s="29" t="n">
        <f>IF(AND(ISNUMBER('DATOS'!G336),ISNUMBER('DATOS'!H336),ISNUMBER('DATOS'!J336)),1,0)</f>
        <v>0</v>
      </c>
    </row>
    <row r="337" ht="64" customHeight="1">
      <c r="B337" s="26">
        <f>IF(N337=1,328,"")</f>
      </c>
      <c r="C337" s="26">
        <f>IF(AND(N337=1,LEN(TRIM('DATOS'!B337&amp;""))&gt;0),'DATOS'!B337,"")</f>
      </c>
      <c r="D337" s="26">
        <f>IF(AND(N337=1,LEN(TRIM('DATOS'!C337&amp;""))&gt;0),'DATOS'!C337,"")</f>
      </c>
      <c r="E337" s="26">
        <f>IF(NOT(ISNUMBER(P337)),"",IF(P337=2,"ROJO",IF(P337=1,"ÁMBAR","VERDE")))</f>
      </c>
      <c r="F337" s="26">
        <f>IF(NOT(ISNUMBER(Q337)),"",IF(Q337=2,"ROJO",IF(Q337=1,"ÁMBAR","VERDE")))</f>
      </c>
      <c r="G337" s="26">
        <f>IF(NOT(ISNUMBER(R337)),"",IF(R337=2,"ROJO",IF(R337=1,"ÁMBAR","VERDE")))</f>
      </c>
      <c r="H337" s="26">
        <f>IF(NOT(ISNUMBER(S337)),"",IF(S337=2,"ROJO",IF(S337=1,"ÁMBAR","VERDE")))</f>
      </c>
      <c r="I337" s="26">
        <f>IF(NOT(ISNUMBER(T337)),"",IF(T337=2,"ROJO",IF(T337=1,"ÁMBAR","VERDE")))</f>
      </c>
      <c r="J337" s="26">
        <f>IF(NOT(ISNUMBER(O337)),"",IF(O337=2,"ROJO",IF(O337=1,"ÁMBAR","VERDE")))</f>
      </c>
      <c r="K337" s="26">
        <f>IFERROR(IF(AND(N337=1,LEN(TRIM('DATOS'!N337&amp;""))&gt;0),'DATOS'!N337,""),"Hay una entrada con error. Corregimos el dato antes de cerrar la comprobación.")</f>
      </c>
      <c r="L337" s="26">
        <f>IFERROR(IF(N337=0,"",IF(O337&gt;0,"Completamos datos, claves o motivo. ","")&amp;IF(P337&gt;0,"Cotejamos precios e importe. ","")&amp;IF(Q337&gt;0,"Aclaramos el cero. ","")&amp;IF(R337&gt;0,"Comprobamos el texto. ","")&amp;IF(S337&gt;0,"Revisamos decimales visibles. ","")&amp;IF(T337&gt;0,"Confirmamos la unidad.","")),"Hay una entrada con error. Corregimos el dato antes de cerrar la comprobación.")</f>
      </c>
      <c r="N337" s="29" t="n">
        <f>IF(COUNTA('DATOS'!B337:O337)&gt;0,1,0)</f>
        <v>0</v>
      </c>
      <c r="O337" s="29">
        <f>IFERROR(IF(N337=0,"",IF(OR(NOT(AND(LEN(TRIM('DATOS'!B337&amp;""))&gt;0,TRIM('DATOS'!B337&amp;"")&lt;&gt;"Pendiente",TRIM('DATOS'!B337&amp;"")&lt;&gt;"Por confirmar",TRIM('DATOS'!B337&amp;"")&lt;&gt;"No consta",TRIM('DATOS'!B337&amp;"")&lt;&gt;"Desconocido",TRIM('DATOS'!B337&amp;"")&lt;&gt;"Sin confirmar",TRIM('DATOS'!B337&amp;"")&lt;&gt;"Por decidir",TRIM('DATOS'!B337&amp;"")&lt;&gt;"Por comprobar")),NOT(AND(LEN(TRIM('DATOS'!C337&amp;""))&gt;0,TRIM('DATOS'!C337&amp;"")&lt;&gt;"Pendiente",TRIM('DATOS'!C337&amp;"")&lt;&gt;"Por confirmar",TRIM('DATOS'!C337&amp;"")&lt;&gt;"No consta",TRIM('DATOS'!C337&amp;"")&lt;&gt;"Desconocido",TRIM('DATOS'!C337&amp;"")&lt;&gt;"Sin confirmar",TRIM('DATOS'!C337&amp;"")&lt;&gt;"Por decidir",TRIM('DATOS'!C337&amp;"")&lt;&gt;"Por comprobar")),NOT(AND(LEN(TRIM('DATOS'!D337&amp;""))&gt;0,TRIM('DATOS'!D337&amp;"")&lt;&gt;"Pendiente",TRIM('DATOS'!D337&amp;"")&lt;&gt;"Por confirmar",TRIM('DATOS'!D337&amp;"")&lt;&gt;"No consta",TRIM('DATOS'!D337&amp;"")&lt;&gt;"Desconocido",TRIM('DATOS'!D337&amp;"")&lt;&gt;"Sin confirmar",TRIM('DATOS'!D337&amp;"")&lt;&gt;"Por decidir",TRIM('DATOS'!D337&amp;"")&lt;&gt;"Por comprobar")),NOT(AND(LEN(TRIM('DATOS'!E337&amp;""))&gt;0,TRIM('DATOS'!E337&amp;"")&lt;&gt;"Pendiente",TRIM('DATOS'!E337&amp;"")&lt;&gt;"Por confirmar",TRIM('DATOS'!E337&amp;"")&lt;&gt;"No consta",TRIM('DATOS'!E337&amp;"")&lt;&gt;"Desconocido",TRIM('DATOS'!E337&amp;"")&lt;&gt;"Sin confirmar",TRIM('DATOS'!E337&amp;"")&lt;&gt;"Por decidir",TRIM('DATOS'!E337&amp;"")&lt;&gt;"Por comprobar")),NOT(AND(LEN(TRIM('DATOS'!F337&amp;""))&gt;0,TRIM('DATOS'!F337&amp;"")&lt;&gt;"Pendiente",TRIM('DATOS'!F337&amp;"")&lt;&gt;"Por confirmar",TRIM('DATOS'!F337&amp;"")&lt;&gt;"No consta",TRIM('DATOS'!F337&amp;"")&lt;&gt;"Desconocido",TRIM('DATOS'!F337&amp;"")&lt;&gt;"Sin confirmar",TRIM('DATOS'!F337&amp;"")&lt;&gt;"Por decidir",TRIM('DATOS'!F337&amp;"")&lt;&gt;"Por comprobar")),NOT(AND(LEN(TRIM('DATOS'!N337&amp;""))&gt;0,TRIM('DATOS'!N337&amp;"")&lt;&gt;"Pendiente",TRIM('DATOS'!N337&amp;"")&lt;&gt;"Por confirmar",TRIM('DATOS'!N337&amp;"")&lt;&gt;"No consta",TRIM('DATOS'!N337&amp;"")&lt;&gt;"Desconocido",TRIM('DATOS'!N337&amp;"")&lt;&gt;"Sin confirmar",TRIM('DATOS'!N337&amp;"")&lt;&gt;"Por decidir",TRIM('DATOS'!N337&amp;"")&lt;&gt;"Por comprobar")),NOT(Y337=1),W337&lt;&gt;1,X337&gt;1,NOT(OR(LEN(TRIM('DATOS'!K337&amp;""))=0,'DATOS'!K337="Sin valorar",'DATOS'!K337="Sin coste documentado",'DATOS'!K337="Incluido en otra partida",'DATOS'!K337="Por confirmar")),NOT(OR(LEN(TRIM('DATOS'!M337&amp;""))=0,'DATOS'!M337="Sí",'DATOS'!M337="No",'DATOS'!M337="Por confirmar")),NOT(OR(LEN(TRIM('DATOS'!O337&amp;""))=0,'DATOS'!O337="Comparamos",'DATOS'!O337="No existe",'DATOS'!O337="Por confirmar"))),2,IF(AND(OR('DATOS'!G337&lt;0,'DATOS'!H337&lt;0,'DATOS'!J337&lt;0),NOT(AND(LEN(TRIM('DATOS'!L337&amp;""))&gt;0,TRIM('DATOS'!L337&amp;"")&lt;&gt;"Pendiente",TRIM('DATOS'!L337&amp;"")&lt;&gt;"Por confirmar",TRIM('DATOS'!L337&amp;"")&lt;&gt;"No consta",TRIM('DATOS'!L337&amp;"")&lt;&gt;"Desconocido",TRIM('DATOS'!L337&amp;"")&lt;&gt;"Sin confirmar",TRIM('DATOS'!L337&amp;"")&lt;&gt;"Por decidir",TRIM('DATOS'!L337&amp;"")&lt;&gt;"Por comprobar"))),1,0))),2)</f>
      </c>
      <c r="P337" s="29">
        <f>IFERROR(IF(N337=0,"",IF(NOT(Y337=1),1,IF('REFERENCIAS'!$Q$8&lt;&gt;1,2,IF(ABS('DATOS'!J337-ROUND('DATOS'!G337*'DATOS'!H337,'REFERENCIAS'!$K$8))&gt;0.00000001,2,IF('DATOS'!O337="No existe",IF(LEN(TRIM('DATOS'!I337&amp;""))=0,0,2),IF('DATOS'!O337="Comparamos",IF(LEN(TRIM('DATOS'!I337&amp;""))=0,1,IF(ISNUMBER('DATOS'!I337),IF(ABS('DATOS'!H337-'DATOS'!I337)&gt;0.00000001,2,0),2)),1)))))),2)</f>
      </c>
      <c r="Q337" s="29">
        <f>IFERROR(IF(N337=0,"",IF(NOT(Y337=1),1,IF('DATOS'!K337="Sin valorar",2,IF('DATOS'!G337=0,1,IF(OR('DATOS'!H337=0,'DATOS'!J337=0),IF(AND(OR('DATOS'!K337="Sin coste documentado",'DATOS'!K337="Incluido en otra partida"),AND(LEN(TRIM('DATOS'!L337&amp;""))&gt;0,TRIM('DATOS'!L337&amp;"")&lt;&gt;"Pendiente",TRIM('DATOS'!L337&amp;"")&lt;&gt;"Por confirmar",TRIM('DATOS'!L337&amp;"")&lt;&gt;"No consta",TRIM('DATOS'!L337&amp;"")&lt;&gt;"Desconocido",TRIM('DATOS'!L337&amp;"")&lt;&gt;"Sin confirmar",TRIM('DATOS'!L337&amp;"")&lt;&gt;"Por decidir",TRIM('DATOS'!L337&amp;"")&lt;&gt;"Por comprobar")),0,1),0))))),2)</f>
      </c>
      <c r="R337" s="29">
        <f>IFERROR(IF(N337=0,"",IF(OR(NOT(AND(LEN(TRIM('DATOS'!D337&amp;""))&gt;0,TRIM('DATOS'!D337&amp;"")&lt;&gt;"Pendiente",TRIM('DATOS'!D337&amp;"")&lt;&gt;"Por confirmar",TRIM('DATOS'!D337&amp;"")&lt;&gt;"No consta",TRIM('DATOS'!D337&amp;"")&lt;&gt;"Desconocido",TRIM('DATOS'!D337&amp;"")&lt;&gt;"Sin confirmar",TRIM('DATOS'!D337&amp;"")&lt;&gt;"Por decidir",TRIM('DATOS'!D337&amp;"")&lt;&gt;"Por comprobar")),NOT(AND(LEN(TRIM('DATOS'!E337&amp;""))&gt;0,TRIM('DATOS'!E337&amp;"")&lt;&gt;"Pendiente",TRIM('DATOS'!E337&amp;"")&lt;&gt;"Por confirmar",TRIM('DATOS'!E337&amp;"")&lt;&gt;"No consta",TRIM('DATOS'!E337&amp;"")&lt;&gt;"Desconocido",TRIM('DATOS'!E337&amp;"")&lt;&gt;"Sin confirmar",TRIM('DATOS'!E337&amp;"")&lt;&gt;"Por decidir",TRIM('DATOS'!E337&amp;"")&lt;&gt;"Por comprobar"))),2,IF('DATOS'!M337="No",2,IF('DATOS'!M337="Sí",0,IF(OR('DATOS'!D337&lt;&gt;'DATOS'!E337,LEN('DATOS'!E337)&gt;300,RIGHT(TRIM('DATOS'!E337),3)="...",RIGHT(TRIM('DATOS'!E337),1)="…"),1,0))))),2)</f>
      </c>
      <c r="S337" s="29">
        <f>IFERROR(IF(N337=0,"",IF('REFERENCIAS'!$Q$8&lt;&gt;1,2,IF(NOT(Y337=1),1,IF(OR(ABS('DATOS'!G337-ROUND('DATOS'!G337,'REFERENCIAS'!$E$8))&gt;0.00000001,ABS('DATOS'!H337-ROUND('DATOS'!H337,'REFERENCIAS'!$H$8))&gt;0.00000001,ABS('DATOS'!J337-ROUND('DATOS'!J337,'REFERENCIAS'!$K$8))&gt;0.00000001,IF(ISNUMBER('DATOS'!I337),ABS('DATOS'!I337-ROUND('DATOS'!I337,'REFERENCIAS'!$H$8))&gt;0.00000001,FALSE)),1,0)))),2)</f>
      </c>
      <c r="T337" s="29">
        <f>IFERROR(IF(N337=0,"",IF(NOT(AND(LEN(TRIM('DATOS'!F337&amp;""))&gt;0,TRIM('DATOS'!F337&amp;"")&lt;&gt;"Pendiente",TRIM('DATOS'!F337&amp;"")&lt;&gt;"Por confirmar",TRIM('DATOS'!F337&amp;"")&lt;&gt;"No consta",TRIM('DATOS'!F337&amp;"")&lt;&gt;"Desconocido",TRIM('DATOS'!F337&amp;"")&lt;&gt;"Sin confirmar",TRIM('DATOS'!F337&amp;"")&lt;&gt;"Por decidir",TRIM('DATOS'!F337&amp;"")&lt;&gt;"Por comprobar")),2,IF(COUNTIFS('REFERENCIAS'!$T$15:$T$34,"ID:"&amp;SUBSTITUTE(SUBSTITUTE(SUBSTITUTE(SUBSTITUTE(UPPER(TRIM('DATOS'!F337&amp;"")),"!","!E"),"*","!A"),"?","!B"),"~","!C"),'REFERENCIAS'!$H$15:$H$34,"&lt;&gt;")&gt;0,0,1))),2)</f>
      </c>
      <c r="U337" s="29" t="str">
        <f>'DATOS'!R337</f>
        <v>ID:</v>
      </c>
      <c r="V337" s="29" t="str">
        <f>'DATOS'!S337</f>
        <v>ID:</v>
      </c>
      <c r="W337" s="29" t="n">
        <f>IF(N337=0,0,COUNTIFS('REFERENCIAS'!$R$15:$R$64,U337))</f>
        <v>0</v>
      </c>
      <c r="X337" s="29" t="n">
        <f>IF(N337=0,0,COUNTIFS('DATOS'!$R$10:$R$509,U337,'DATOS'!$S$10:$S$509,V337))</f>
        <v>0</v>
      </c>
      <c r="Y337" s="29" t="n">
        <f>IF(AND(ISNUMBER('DATOS'!G337),ISNUMBER('DATOS'!H337),ISNUMBER('DATOS'!J337)),1,0)</f>
        <v>0</v>
      </c>
    </row>
    <row r="338" ht="64" customHeight="1">
      <c r="B338" s="26">
        <f>IF(N338=1,329,"")</f>
      </c>
      <c r="C338" s="26">
        <f>IF(AND(N338=1,LEN(TRIM('DATOS'!B338&amp;""))&gt;0),'DATOS'!B338,"")</f>
      </c>
      <c r="D338" s="26">
        <f>IF(AND(N338=1,LEN(TRIM('DATOS'!C338&amp;""))&gt;0),'DATOS'!C338,"")</f>
      </c>
      <c r="E338" s="26">
        <f>IF(NOT(ISNUMBER(P338)),"",IF(P338=2,"ROJO",IF(P338=1,"ÁMBAR","VERDE")))</f>
      </c>
      <c r="F338" s="26">
        <f>IF(NOT(ISNUMBER(Q338)),"",IF(Q338=2,"ROJO",IF(Q338=1,"ÁMBAR","VERDE")))</f>
      </c>
      <c r="G338" s="26">
        <f>IF(NOT(ISNUMBER(R338)),"",IF(R338=2,"ROJO",IF(R338=1,"ÁMBAR","VERDE")))</f>
      </c>
      <c r="H338" s="26">
        <f>IF(NOT(ISNUMBER(S338)),"",IF(S338=2,"ROJO",IF(S338=1,"ÁMBAR","VERDE")))</f>
      </c>
      <c r="I338" s="26">
        <f>IF(NOT(ISNUMBER(T338)),"",IF(T338=2,"ROJO",IF(T338=1,"ÁMBAR","VERDE")))</f>
      </c>
      <c r="J338" s="26">
        <f>IF(NOT(ISNUMBER(O338)),"",IF(O338=2,"ROJO",IF(O338=1,"ÁMBAR","VERDE")))</f>
      </c>
      <c r="K338" s="26">
        <f>IFERROR(IF(AND(N338=1,LEN(TRIM('DATOS'!N338&amp;""))&gt;0),'DATOS'!N338,""),"Hay una entrada con error. Corregimos el dato antes de cerrar la comprobación.")</f>
      </c>
      <c r="L338" s="26">
        <f>IFERROR(IF(N338=0,"",IF(O338&gt;0,"Completamos datos, claves o motivo. ","")&amp;IF(P338&gt;0,"Cotejamos precios e importe. ","")&amp;IF(Q338&gt;0,"Aclaramos el cero. ","")&amp;IF(R338&gt;0,"Comprobamos el texto. ","")&amp;IF(S338&gt;0,"Revisamos decimales visibles. ","")&amp;IF(T338&gt;0,"Confirmamos la unidad.","")),"Hay una entrada con error. Corregimos el dato antes de cerrar la comprobación.")</f>
      </c>
      <c r="N338" s="29" t="n">
        <f>IF(COUNTA('DATOS'!B338:O338)&gt;0,1,0)</f>
        <v>0</v>
      </c>
      <c r="O338" s="29">
        <f>IFERROR(IF(N338=0,"",IF(OR(NOT(AND(LEN(TRIM('DATOS'!B338&amp;""))&gt;0,TRIM('DATOS'!B338&amp;"")&lt;&gt;"Pendiente",TRIM('DATOS'!B338&amp;"")&lt;&gt;"Por confirmar",TRIM('DATOS'!B338&amp;"")&lt;&gt;"No consta",TRIM('DATOS'!B338&amp;"")&lt;&gt;"Desconocido",TRIM('DATOS'!B338&amp;"")&lt;&gt;"Sin confirmar",TRIM('DATOS'!B338&amp;"")&lt;&gt;"Por decidir",TRIM('DATOS'!B338&amp;"")&lt;&gt;"Por comprobar")),NOT(AND(LEN(TRIM('DATOS'!C338&amp;""))&gt;0,TRIM('DATOS'!C338&amp;"")&lt;&gt;"Pendiente",TRIM('DATOS'!C338&amp;"")&lt;&gt;"Por confirmar",TRIM('DATOS'!C338&amp;"")&lt;&gt;"No consta",TRIM('DATOS'!C338&amp;"")&lt;&gt;"Desconocido",TRIM('DATOS'!C338&amp;"")&lt;&gt;"Sin confirmar",TRIM('DATOS'!C338&amp;"")&lt;&gt;"Por decidir",TRIM('DATOS'!C338&amp;"")&lt;&gt;"Por comprobar")),NOT(AND(LEN(TRIM('DATOS'!D338&amp;""))&gt;0,TRIM('DATOS'!D338&amp;"")&lt;&gt;"Pendiente",TRIM('DATOS'!D338&amp;"")&lt;&gt;"Por confirmar",TRIM('DATOS'!D338&amp;"")&lt;&gt;"No consta",TRIM('DATOS'!D338&amp;"")&lt;&gt;"Desconocido",TRIM('DATOS'!D338&amp;"")&lt;&gt;"Sin confirmar",TRIM('DATOS'!D338&amp;"")&lt;&gt;"Por decidir",TRIM('DATOS'!D338&amp;"")&lt;&gt;"Por comprobar")),NOT(AND(LEN(TRIM('DATOS'!E338&amp;""))&gt;0,TRIM('DATOS'!E338&amp;"")&lt;&gt;"Pendiente",TRIM('DATOS'!E338&amp;"")&lt;&gt;"Por confirmar",TRIM('DATOS'!E338&amp;"")&lt;&gt;"No consta",TRIM('DATOS'!E338&amp;"")&lt;&gt;"Desconocido",TRIM('DATOS'!E338&amp;"")&lt;&gt;"Sin confirmar",TRIM('DATOS'!E338&amp;"")&lt;&gt;"Por decidir",TRIM('DATOS'!E338&amp;"")&lt;&gt;"Por comprobar")),NOT(AND(LEN(TRIM('DATOS'!F338&amp;""))&gt;0,TRIM('DATOS'!F338&amp;"")&lt;&gt;"Pendiente",TRIM('DATOS'!F338&amp;"")&lt;&gt;"Por confirmar",TRIM('DATOS'!F338&amp;"")&lt;&gt;"No consta",TRIM('DATOS'!F338&amp;"")&lt;&gt;"Desconocido",TRIM('DATOS'!F338&amp;"")&lt;&gt;"Sin confirmar",TRIM('DATOS'!F338&amp;"")&lt;&gt;"Por decidir",TRIM('DATOS'!F338&amp;"")&lt;&gt;"Por comprobar")),NOT(AND(LEN(TRIM('DATOS'!N338&amp;""))&gt;0,TRIM('DATOS'!N338&amp;"")&lt;&gt;"Pendiente",TRIM('DATOS'!N338&amp;"")&lt;&gt;"Por confirmar",TRIM('DATOS'!N338&amp;"")&lt;&gt;"No consta",TRIM('DATOS'!N338&amp;"")&lt;&gt;"Desconocido",TRIM('DATOS'!N338&amp;"")&lt;&gt;"Sin confirmar",TRIM('DATOS'!N338&amp;"")&lt;&gt;"Por decidir",TRIM('DATOS'!N338&amp;"")&lt;&gt;"Por comprobar")),NOT(Y338=1),W338&lt;&gt;1,X338&gt;1,NOT(OR(LEN(TRIM('DATOS'!K338&amp;""))=0,'DATOS'!K338="Sin valorar",'DATOS'!K338="Sin coste documentado",'DATOS'!K338="Incluido en otra partida",'DATOS'!K338="Por confirmar")),NOT(OR(LEN(TRIM('DATOS'!M338&amp;""))=0,'DATOS'!M338="Sí",'DATOS'!M338="No",'DATOS'!M338="Por confirmar")),NOT(OR(LEN(TRIM('DATOS'!O338&amp;""))=0,'DATOS'!O338="Comparamos",'DATOS'!O338="No existe",'DATOS'!O338="Por confirmar"))),2,IF(AND(OR('DATOS'!G338&lt;0,'DATOS'!H338&lt;0,'DATOS'!J338&lt;0),NOT(AND(LEN(TRIM('DATOS'!L338&amp;""))&gt;0,TRIM('DATOS'!L338&amp;"")&lt;&gt;"Pendiente",TRIM('DATOS'!L338&amp;"")&lt;&gt;"Por confirmar",TRIM('DATOS'!L338&amp;"")&lt;&gt;"No consta",TRIM('DATOS'!L338&amp;"")&lt;&gt;"Desconocido",TRIM('DATOS'!L338&amp;"")&lt;&gt;"Sin confirmar",TRIM('DATOS'!L338&amp;"")&lt;&gt;"Por decidir",TRIM('DATOS'!L338&amp;"")&lt;&gt;"Por comprobar"))),1,0))),2)</f>
      </c>
      <c r="P338" s="29">
        <f>IFERROR(IF(N338=0,"",IF(NOT(Y338=1),1,IF('REFERENCIAS'!$Q$8&lt;&gt;1,2,IF(ABS('DATOS'!J338-ROUND('DATOS'!G338*'DATOS'!H338,'REFERENCIAS'!$K$8))&gt;0.00000001,2,IF('DATOS'!O338="No existe",IF(LEN(TRIM('DATOS'!I338&amp;""))=0,0,2),IF('DATOS'!O338="Comparamos",IF(LEN(TRIM('DATOS'!I338&amp;""))=0,1,IF(ISNUMBER('DATOS'!I338),IF(ABS('DATOS'!H338-'DATOS'!I338)&gt;0.00000001,2,0),2)),1)))))),2)</f>
      </c>
      <c r="Q338" s="29">
        <f>IFERROR(IF(N338=0,"",IF(NOT(Y338=1),1,IF('DATOS'!K338="Sin valorar",2,IF('DATOS'!G338=0,1,IF(OR('DATOS'!H338=0,'DATOS'!J338=0),IF(AND(OR('DATOS'!K338="Sin coste documentado",'DATOS'!K338="Incluido en otra partida"),AND(LEN(TRIM('DATOS'!L338&amp;""))&gt;0,TRIM('DATOS'!L338&amp;"")&lt;&gt;"Pendiente",TRIM('DATOS'!L338&amp;"")&lt;&gt;"Por confirmar",TRIM('DATOS'!L338&amp;"")&lt;&gt;"No consta",TRIM('DATOS'!L338&amp;"")&lt;&gt;"Desconocido",TRIM('DATOS'!L338&amp;"")&lt;&gt;"Sin confirmar",TRIM('DATOS'!L338&amp;"")&lt;&gt;"Por decidir",TRIM('DATOS'!L338&amp;"")&lt;&gt;"Por comprobar")),0,1),0))))),2)</f>
      </c>
      <c r="R338" s="29">
        <f>IFERROR(IF(N338=0,"",IF(OR(NOT(AND(LEN(TRIM('DATOS'!D338&amp;""))&gt;0,TRIM('DATOS'!D338&amp;"")&lt;&gt;"Pendiente",TRIM('DATOS'!D338&amp;"")&lt;&gt;"Por confirmar",TRIM('DATOS'!D338&amp;"")&lt;&gt;"No consta",TRIM('DATOS'!D338&amp;"")&lt;&gt;"Desconocido",TRIM('DATOS'!D338&amp;"")&lt;&gt;"Sin confirmar",TRIM('DATOS'!D338&amp;"")&lt;&gt;"Por decidir",TRIM('DATOS'!D338&amp;"")&lt;&gt;"Por comprobar")),NOT(AND(LEN(TRIM('DATOS'!E338&amp;""))&gt;0,TRIM('DATOS'!E338&amp;"")&lt;&gt;"Pendiente",TRIM('DATOS'!E338&amp;"")&lt;&gt;"Por confirmar",TRIM('DATOS'!E338&amp;"")&lt;&gt;"No consta",TRIM('DATOS'!E338&amp;"")&lt;&gt;"Desconocido",TRIM('DATOS'!E338&amp;"")&lt;&gt;"Sin confirmar",TRIM('DATOS'!E338&amp;"")&lt;&gt;"Por decidir",TRIM('DATOS'!E338&amp;"")&lt;&gt;"Por comprobar"))),2,IF('DATOS'!M338="No",2,IF('DATOS'!M338="Sí",0,IF(OR('DATOS'!D338&lt;&gt;'DATOS'!E338,LEN('DATOS'!E338)&gt;300,RIGHT(TRIM('DATOS'!E338),3)="...",RIGHT(TRIM('DATOS'!E338),1)="…"),1,0))))),2)</f>
      </c>
      <c r="S338" s="29">
        <f>IFERROR(IF(N338=0,"",IF('REFERENCIAS'!$Q$8&lt;&gt;1,2,IF(NOT(Y338=1),1,IF(OR(ABS('DATOS'!G338-ROUND('DATOS'!G338,'REFERENCIAS'!$E$8))&gt;0.00000001,ABS('DATOS'!H338-ROUND('DATOS'!H338,'REFERENCIAS'!$H$8))&gt;0.00000001,ABS('DATOS'!J338-ROUND('DATOS'!J338,'REFERENCIAS'!$K$8))&gt;0.00000001,IF(ISNUMBER('DATOS'!I338),ABS('DATOS'!I338-ROUND('DATOS'!I338,'REFERENCIAS'!$H$8))&gt;0.00000001,FALSE)),1,0)))),2)</f>
      </c>
      <c r="T338" s="29">
        <f>IFERROR(IF(N338=0,"",IF(NOT(AND(LEN(TRIM('DATOS'!F338&amp;""))&gt;0,TRIM('DATOS'!F338&amp;"")&lt;&gt;"Pendiente",TRIM('DATOS'!F338&amp;"")&lt;&gt;"Por confirmar",TRIM('DATOS'!F338&amp;"")&lt;&gt;"No consta",TRIM('DATOS'!F338&amp;"")&lt;&gt;"Desconocido",TRIM('DATOS'!F338&amp;"")&lt;&gt;"Sin confirmar",TRIM('DATOS'!F338&amp;"")&lt;&gt;"Por decidir",TRIM('DATOS'!F338&amp;"")&lt;&gt;"Por comprobar")),2,IF(COUNTIFS('REFERENCIAS'!$T$15:$T$34,"ID:"&amp;SUBSTITUTE(SUBSTITUTE(SUBSTITUTE(SUBSTITUTE(UPPER(TRIM('DATOS'!F338&amp;"")),"!","!E"),"*","!A"),"?","!B"),"~","!C"),'REFERENCIAS'!$H$15:$H$34,"&lt;&gt;")&gt;0,0,1))),2)</f>
      </c>
      <c r="U338" s="29" t="str">
        <f>'DATOS'!R338</f>
        <v>ID:</v>
      </c>
      <c r="V338" s="29" t="str">
        <f>'DATOS'!S338</f>
        <v>ID:</v>
      </c>
      <c r="W338" s="29" t="n">
        <f>IF(N338=0,0,COUNTIFS('REFERENCIAS'!$R$15:$R$64,U338))</f>
        <v>0</v>
      </c>
      <c r="X338" s="29" t="n">
        <f>IF(N338=0,0,COUNTIFS('DATOS'!$R$10:$R$509,U338,'DATOS'!$S$10:$S$509,V338))</f>
        <v>0</v>
      </c>
      <c r="Y338" s="29" t="n">
        <f>IF(AND(ISNUMBER('DATOS'!G338),ISNUMBER('DATOS'!H338),ISNUMBER('DATOS'!J338)),1,0)</f>
        <v>0</v>
      </c>
    </row>
    <row r="339" ht="64" customHeight="1">
      <c r="B339" s="26">
        <f>IF(N339=1,330,"")</f>
      </c>
      <c r="C339" s="26">
        <f>IF(AND(N339=1,LEN(TRIM('DATOS'!B339&amp;""))&gt;0),'DATOS'!B339,"")</f>
      </c>
      <c r="D339" s="26">
        <f>IF(AND(N339=1,LEN(TRIM('DATOS'!C339&amp;""))&gt;0),'DATOS'!C339,"")</f>
      </c>
      <c r="E339" s="26">
        <f>IF(NOT(ISNUMBER(P339)),"",IF(P339=2,"ROJO",IF(P339=1,"ÁMBAR","VERDE")))</f>
      </c>
      <c r="F339" s="26">
        <f>IF(NOT(ISNUMBER(Q339)),"",IF(Q339=2,"ROJO",IF(Q339=1,"ÁMBAR","VERDE")))</f>
      </c>
      <c r="G339" s="26">
        <f>IF(NOT(ISNUMBER(R339)),"",IF(R339=2,"ROJO",IF(R339=1,"ÁMBAR","VERDE")))</f>
      </c>
      <c r="H339" s="26">
        <f>IF(NOT(ISNUMBER(S339)),"",IF(S339=2,"ROJO",IF(S339=1,"ÁMBAR","VERDE")))</f>
      </c>
      <c r="I339" s="26">
        <f>IF(NOT(ISNUMBER(T339)),"",IF(T339=2,"ROJO",IF(T339=1,"ÁMBAR","VERDE")))</f>
      </c>
      <c r="J339" s="26">
        <f>IF(NOT(ISNUMBER(O339)),"",IF(O339=2,"ROJO",IF(O339=1,"ÁMBAR","VERDE")))</f>
      </c>
      <c r="K339" s="26">
        <f>IFERROR(IF(AND(N339=1,LEN(TRIM('DATOS'!N339&amp;""))&gt;0),'DATOS'!N339,""),"Hay una entrada con error. Corregimos el dato antes de cerrar la comprobación.")</f>
      </c>
      <c r="L339" s="26">
        <f>IFERROR(IF(N339=0,"",IF(O339&gt;0,"Completamos datos, claves o motivo. ","")&amp;IF(P339&gt;0,"Cotejamos precios e importe. ","")&amp;IF(Q339&gt;0,"Aclaramos el cero. ","")&amp;IF(R339&gt;0,"Comprobamos el texto. ","")&amp;IF(S339&gt;0,"Revisamos decimales visibles. ","")&amp;IF(T339&gt;0,"Confirmamos la unidad.","")),"Hay una entrada con error. Corregimos el dato antes de cerrar la comprobación.")</f>
      </c>
      <c r="N339" s="29" t="n">
        <f>IF(COUNTA('DATOS'!B339:O339)&gt;0,1,0)</f>
        <v>0</v>
      </c>
      <c r="O339" s="29">
        <f>IFERROR(IF(N339=0,"",IF(OR(NOT(AND(LEN(TRIM('DATOS'!B339&amp;""))&gt;0,TRIM('DATOS'!B339&amp;"")&lt;&gt;"Pendiente",TRIM('DATOS'!B339&amp;"")&lt;&gt;"Por confirmar",TRIM('DATOS'!B339&amp;"")&lt;&gt;"No consta",TRIM('DATOS'!B339&amp;"")&lt;&gt;"Desconocido",TRIM('DATOS'!B339&amp;"")&lt;&gt;"Sin confirmar",TRIM('DATOS'!B339&amp;"")&lt;&gt;"Por decidir",TRIM('DATOS'!B339&amp;"")&lt;&gt;"Por comprobar")),NOT(AND(LEN(TRIM('DATOS'!C339&amp;""))&gt;0,TRIM('DATOS'!C339&amp;"")&lt;&gt;"Pendiente",TRIM('DATOS'!C339&amp;"")&lt;&gt;"Por confirmar",TRIM('DATOS'!C339&amp;"")&lt;&gt;"No consta",TRIM('DATOS'!C339&amp;"")&lt;&gt;"Desconocido",TRIM('DATOS'!C339&amp;"")&lt;&gt;"Sin confirmar",TRIM('DATOS'!C339&amp;"")&lt;&gt;"Por decidir",TRIM('DATOS'!C339&amp;"")&lt;&gt;"Por comprobar")),NOT(AND(LEN(TRIM('DATOS'!D339&amp;""))&gt;0,TRIM('DATOS'!D339&amp;"")&lt;&gt;"Pendiente",TRIM('DATOS'!D339&amp;"")&lt;&gt;"Por confirmar",TRIM('DATOS'!D339&amp;"")&lt;&gt;"No consta",TRIM('DATOS'!D339&amp;"")&lt;&gt;"Desconocido",TRIM('DATOS'!D339&amp;"")&lt;&gt;"Sin confirmar",TRIM('DATOS'!D339&amp;"")&lt;&gt;"Por decidir",TRIM('DATOS'!D339&amp;"")&lt;&gt;"Por comprobar")),NOT(AND(LEN(TRIM('DATOS'!E339&amp;""))&gt;0,TRIM('DATOS'!E339&amp;"")&lt;&gt;"Pendiente",TRIM('DATOS'!E339&amp;"")&lt;&gt;"Por confirmar",TRIM('DATOS'!E339&amp;"")&lt;&gt;"No consta",TRIM('DATOS'!E339&amp;"")&lt;&gt;"Desconocido",TRIM('DATOS'!E339&amp;"")&lt;&gt;"Sin confirmar",TRIM('DATOS'!E339&amp;"")&lt;&gt;"Por decidir",TRIM('DATOS'!E339&amp;"")&lt;&gt;"Por comprobar")),NOT(AND(LEN(TRIM('DATOS'!F339&amp;""))&gt;0,TRIM('DATOS'!F339&amp;"")&lt;&gt;"Pendiente",TRIM('DATOS'!F339&amp;"")&lt;&gt;"Por confirmar",TRIM('DATOS'!F339&amp;"")&lt;&gt;"No consta",TRIM('DATOS'!F339&amp;"")&lt;&gt;"Desconocido",TRIM('DATOS'!F339&amp;"")&lt;&gt;"Sin confirmar",TRIM('DATOS'!F339&amp;"")&lt;&gt;"Por decidir",TRIM('DATOS'!F339&amp;"")&lt;&gt;"Por comprobar")),NOT(AND(LEN(TRIM('DATOS'!N339&amp;""))&gt;0,TRIM('DATOS'!N339&amp;"")&lt;&gt;"Pendiente",TRIM('DATOS'!N339&amp;"")&lt;&gt;"Por confirmar",TRIM('DATOS'!N339&amp;"")&lt;&gt;"No consta",TRIM('DATOS'!N339&amp;"")&lt;&gt;"Desconocido",TRIM('DATOS'!N339&amp;"")&lt;&gt;"Sin confirmar",TRIM('DATOS'!N339&amp;"")&lt;&gt;"Por decidir",TRIM('DATOS'!N339&amp;"")&lt;&gt;"Por comprobar")),NOT(Y339=1),W339&lt;&gt;1,X339&gt;1,NOT(OR(LEN(TRIM('DATOS'!K339&amp;""))=0,'DATOS'!K339="Sin valorar",'DATOS'!K339="Sin coste documentado",'DATOS'!K339="Incluido en otra partida",'DATOS'!K339="Por confirmar")),NOT(OR(LEN(TRIM('DATOS'!M339&amp;""))=0,'DATOS'!M339="Sí",'DATOS'!M339="No",'DATOS'!M339="Por confirmar")),NOT(OR(LEN(TRIM('DATOS'!O339&amp;""))=0,'DATOS'!O339="Comparamos",'DATOS'!O339="No existe",'DATOS'!O339="Por confirmar"))),2,IF(AND(OR('DATOS'!G339&lt;0,'DATOS'!H339&lt;0,'DATOS'!J339&lt;0),NOT(AND(LEN(TRIM('DATOS'!L339&amp;""))&gt;0,TRIM('DATOS'!L339&amp;"")&lt;&gt;"Pendiente",TRIM('DATOS'!L339&amp;"")&lt;&gt;"Por confirmar",TRIM('DATOS'!L339&amp;"")&lt;&gt;"No consta",TRIM('DATOS'!L339&amp;"")&lt;&gt;"Desconocido",TRIM('DATOS'!L339&amp;"")&lt;&gt;"Sin confirmar",TRIM('DATOS'!L339&amp;"")&lt;&gt;"Por decidir",TRIM('DATOS'!L339&amp;"")&lt;&gt;"Por comprobar"))),1,0))),2)</f>
      </c>
      <c r="P339" s="29">
        <f>IFERROR(IF(N339=0,"",IF(NOT(Y339=1),1,IF('REFERENCIAS'!$Q$8&lt;&gt;1,2,IF(ABS('DATOS'!J339-ROUND('DATOS'!G339*'DATOS'!H339,'REFERENCIAS'!$K$8))&gt;0.00000001,2,IF('DATOS'!O339="No existe",IF(LEN(TRIM('DATOS'!I339&amp;""))=0,0,2),IF('DATOS'!O339="Comparamos",IF(LEN(TRIM('DATOS'!I339&amp;""))=0,1,IF(ISNUMBER('DATOS'!I339),IF(ABS('DATOS'!H339-'DATOS'!I339)&gt;0.00000001,2,0),2)),1)))))),2)</f>
      </c>
      <c r="Q339" s="29">
        <f>IFERROR(IF(N339=0,"",IF(NOT(Y339=1),1,IF('DATOS'!K339="Sin valorar",2,IF('DATOS'!G339=0,1,IF(OR('DATOS'!H339=0,'DATOS'!J339=0),IF(AND(OR('DATOS'!K339="Sin coste documentado",'DATOS'!K339="Incluido en otra partida"),AND(LEN(TRIM('DATOS'!L339&amp;""))&gt;0,TRIM('DATOS'!L339&amp;"")&lt;&gt;"Pendiente",TRIM('DATOS'!L339&amp;"")&lt;&gt;"Por confirmar",TRIM('DATOS'!L339&amp;"")&lt;&gt;"No consta",TRIM('DATOS'!L339&amp;"")&lt;&gt;"Desconocido",TRIM('DATOS'!L339&amp;"")&lt;&gt;"Sin confirmar",TRIM('DATOS'!L339&amp;"")&lt;&gt;"Por decidir",TRIM('DATOS'!L339&amp;"")&lt;&gt;"Por comprobar")),0,1),0))))),2)</f>
      </c>
      <c r="R339" s="29">
        <f>IFERROR(IF(N339=0,"",IF(OR(NOT(AND(LEN(TRIM('DATOS'!D339&amp;""))&gt;0,TRIM('DATOS'!D339&amp;"")&lt;&gt;"Pendiente",TRIM('DATOS'!D339&amp;"")&lt;&gt;"Por confirmar",TRIM('DATOS'!D339&amp;"")&lt;&gt;"No consta",TRIM('DATOS'!D339&amp;"")&lt;&gt;"Desconocido",TRIM('DATOS'!D339&amp;"")&lt;&gt;"Sin confirmar",TRIM('DATOS'!D339&amp;"")&lt;&gt;"Por decidir",TRIM('DATOS'!D339&amp;"")&lt;&gt;"Por comprobar")),NOT(AND(LEN(TRIM('DATOS'!E339&amp;""))&gt;0,TRIM('DATOS'!E339&amp;"")&lt;&gt;"Pendiente",TRIM('DATOS'!E339&amp;"")&lt;&gt;"Por confirmar",TRIM('DATOS'!E339&amp;"")&lt;&gt;"No consta",TRIM('DATOS'!E339&amp;"")&lt;&gt;"Desconocido",TRIM('DATOS'!E339&amp;"")&lt;&gt;"Sin confirmar",TRIM('DATOS'!E339&amp;"")&lt;&gt;"Por decidir",TRIM('DATOS'!E339&amp;"")&lt;&gt;"Por comprobar"))),2,IF('DATOS'!M339="No",2,IF('DATOS'!M339="Sí",0,IF(OR('DATOS'!D339&lt;&gt;'DATOS'!E339,LEN('DATOS'!E339)&gt;300,RIGHT(TRIM('DATOS'!E339),3)="...",RIGHT(TRIM('DATOS'!E339),1)="…"),1,0))))),2)</f>
      </c>
      <c r="S339" s="29">
        <f>IFERROR(IF(N339=0,"",IF('REFERENCIAS'!$Q$8&lt;&gt;1,2,IF(NOT(Y339=1),1,IF(OR(ABS('DATOS'!G339-ROUND('DATOS'!G339,'REFERENCIAS'!$E$8))&gt;0.00000001,ABS('DATOS'!H339-ROUND('DATOS'!H339,'REFERENCIAS'!$H$8))&gt;0.00000001,ABS('DATOS'!J339-ROUND('DATOS'!J339,'REFERENCIAS'!$K$8))&gt;0.00000001,IF(ISNUMBER('DATOS'!I339),ABS('DATOS'!I339-ROUND('DATOS'!I339,'REFERENCIAS'!$H$8))&gt;0.00000001,FALSE)),1,0)))),2)</f>
      </c>
      <c r="T339" s="29">
        <f>IFERROR(IF(N339=0,"",IF(NOT(AND(LEN(TRIM('DATOS'!F339&amp;""))&gt;0,TRIM('DATOS'!F339&amp;"")&lt;&gt;"Pendiente",TRIM('DATOS'!F339&amp;"")&lt;&gt;"Por confirmar",TRIM('DATOS'!F339&amp;"")&lt;&gt;"No consta",TRIM('DATOS'!F339&amp;"")&lt;&gt;"Desconocido",TRIM('DATOS'!F339&amp;"")&lt;&gt;"Sin confirmar",TRIM('DATOS'!F339&amp;"")&lt;&gt;"Por decidir",TRIM('DATOS'!F339&amp;"")&lt;&gt;"Por comprobar")),2,IF(COUNTIFS('REFERENCIAS'!$T$15:$T$34,"ID:"&amp;SUBSTITUTE(SUBSTITUTE(SUBSTITUTE(SUBSTITUTE(UPPER(TRIM('DATOS'!F339&amp;"")),"!","!E"),"*","!A"),"?","!B"),"~","!C"),'REFERENCIAS'!$H$15:$H$34,"&lt;&gt;")&gt;0,0,1))),2)</f>
      </c>
      <c r="U339" s="29" t="str">
        <f>'DATOS'!R339</f>
        <v>ID:</v>
      </c>
      <c r="V339" s="29" t="str">
        <f>'DATOS'!S339</f>
        <v>ID:</v>
      </c>
      <c r="W339" s="29" t="n">
        <f>IF(N339=0,0,COUNTIFS('REFERENCIAS'!$R$15:$R$64,U339))</f>
        <v>0</v>
      </c>
      <c r="X339" s="29" t="n">
        <f>IF(N339=0,0,COUNTIFS('DATOS'!$R$10:$R$509,U339,'DATOS'!$S$10:$S$509,V339))</f>
        <v>0</v>
      </c>
      <c r="Y339" s="29" t="n">
        <f>IF(AND(ISNUMBER('DATOS'!G339),ISNUMBER('DATOS'!H339),ISNUMBER('DATOS'!J339)),1,0)</f>
        <v>0</v>
      </c>
    </row>
    <row r="340" ht="64" customHeight="1">
      <c r="B340" s="26">
        <f>IF(N340=1,331,"")</f>
      </c>
      <c r="C340" s="26">
        <f>IF(AND(N340=1,LEN(TRIM('DATOS'!B340&amp;""))&gt;0),'DATOS'!B340,"")</f>
      </c>
      <c r="D340" s="26">
        <f>IF(AND(N340=1,LEN(TRIM('DATOS'!C340&amp;""))&gt;0),'DATOS'!C340,"")</f>
      </c>
      <c r="E340" s="26">
        <f>IF(NOT(ISNUMBER(P340)),"",IF(P340=2,"ROJO",IF(P340=1,"ÁMBAR","VERDE")))</f>
      </c>
      <c r="F340" s="26">
        <f>IF(NOT(ISNUMBER(Q340)),"",IF(Q340=2,"ROJO",IF(Q340=1,"ÁMBAR","VERDE")))</f>
      </c>
      <c r="G340" s="26">
        <f>IF(NOT(ISNUMBER(R340)),"",IF(R340=2,"ROJO",IF(R340=1,"ÁMBAR","VERDE")))</f>
      </c>
      <c r="H340" s="26">
        <f>IF(NOT(ISNUMBER(S340)),"",IF(S340=2,"ROJO",IF(S340=1,"ÁMBAR","VERDE")))</f>
      </c>
      <c r="I340" s="26">
        <f>IF(NOT(ISNUMBER(T340)),"",IF(T340=2,"ROJO",IF(T340=1,"ÁMBAR","VERDE")))</f>
      </c>
      <c r="J340" s="26">
        <f>IF(NOT(ISNUMBER(O340)),"",IF(O340=2,"ROJO",IF(O340=1,"ÁMBAR","VERDE")))</f>
      </c>
      <c r="K340" s="26">
        <f>IFERROR(IF(AND(N340=1,LEN(TRIM('DATOS'!N340&amp;""))&gt;0),'DATOS'!N340,""),"Hay una entrada con error. Corregimos el dato antes de cerrar la comprobación.")</f>
      </c>
      <c r="L340" s="26">
        <f>IFERROR(IF(N340=0,"",IF(O340&gt;0,"Completamos datos, claves o motivo. ","")&amp;IF(P340&gt;0,"Cotejamos precios e importe. ","")&amp;IF(Q340&gt;0,"Aclaramos el cero. ","")&amp;IF(R340&gt;0,"Comprobamos el texto. ","")&amp;IF(S340&gt;0,"Revisamos decimales visibles. ","")&amp;IF(T340&gt;0,"Confirmamos la unidad.","")),"Hay una entrada con error. Corregimos el dato antes de cerrar la comprobación.")</f>
      </c>
      <c r="N340" s="29" t="n">
        <f>IF(COUNTA('DATOS'!B340:O340)&gt;0,1,0)</f>
        <v>0</v>
      </c>
      <c r="O340" s="29">
        <f>IFERROR(IF(N340=0,"",IF(OR(NOT(AND(LEN(TRIM('DATOS'!B340&amp;""))&gt;0,TRIM('DATOS'!B340&amp;"")&lt;&gt;"Pendiente",TRIM('DATOS'!B340&amp;"")&lt;&gt;"Por confirmar",TRIM('DATOS'!B340&amp;"")&lt;&gt;"No consta",TRIM('DATOS'!B340&amp;"")&lt;&gt;"Desconocido",TRIM('DATOS'!B340&amp;"")&lt;&gt;"Sin confirmar",TRIM('DATOS'!B340&amp;"")&lt;&gt;"Por decidir",TRIM('DATOS'!B340&amp;"")&lt;&gt;"Por comprobar")),NOT(AND(LEN(TRIM('DATOS'!C340&amp;""))&gt;0,TRIM('DATOS'!C340&amp;"")&lt;&gt;"Pendiente",TRIM('DATOS'!C340&amp;"")&lt;&gt;"Por confirmar",TRIM('DATOS'!C340&amp;"")&lt;&gt;"No consta",TRIM('DATOS'!C340&amp;"")&lt;&gt;"Desconocido",TRIM('DATOS'!C340&amp;"")&lt;&gt;"Sin confirmar",TRIM('DATOS'!C340&amp;"")&lt;&gt;"Por decidir",TRIM('DATOS'!C340&amp;"")&lt;&gt;"Por comprobar")),NOT(AND(LEN(TRIM('DATOS'!D340&amp;""))&gt;0,TRIM('DATOS'!D340&amp;"")&lt;&gt;"Pendiente",TRIM('DATOS'!D340&amp;"")&lt;&gt;"Por confirmar",TRIM('DATOS'!D340&amp;"")&lt;&gt;"No consta",TRIM('DATOS'!D340&amp;"")&lt;&gt;"Desconocido",TRIM('DATOS'!D340&amp;"")&lt;&gt;"Sin confirmar",TRIM('DATOS'!D340&amp;"")&lt;&gt;"Por decidir",TRIM('DATOS'!D340&amp;"")&lt;&gt;"Por comprobar")),NOT(AND(LEN(TRIM('DATOS'!E340&amp;""))&gt;0,TRIM('DATOS'!E340&amp;"")&lt;&gt;"Pendiente",TRIM('DATOS'!E340&amp;"")&lt;&gt;"Por confirmar",TRIM('DATOS'!E340&amp;"")&lt;&gt;"No consta",TRIM('DATOS'!E340&amp;"")&lt;&gt;"Desconocido",TRIM('DATOS'!E340&amp;"")&lt;&gt;"Sin confirmar",TRIM('DATOS'!E340&amp;"")&lt;&gt;"Por decidir",TRIM('DATOS'!E340&amp;"")&lt;&gt;"Por comprobar")),NOT(AND(LEN(TRIM('DATOS'!F340&amp;""))&gt;0,TRIM('DATOS'!F340&amp;"")&lt;&gt;"Pendiente",TRIM('DATOS'!F340&amp;"")&lt;&gt;"Por confirmar",TRIM('DATOS'!F340&amp;"")&lt;&gt;"No consta",TRIM('DATOS'!F340&amp;"")&lt;&gt;"Desconocido",TRIM('DATOS'!F340&amp;"")&lt;&gt;"Sin confirmar",TRIM('DATOS'!F340&amp;"")&lt;&gt;"Por decidir",TRIM('DATOS'!F340&amp;"")&lt;&gt;"Por comprobar")),NOT(AND(LEN(TRIM('DATOS'!N340&amp;""))&gt;0,TRIM('DATOS'!N340&amp;"")&lt;&gt;"Pendiente",TRIM('DATOS'!N340&amp;"")&lt;&gt;"Por confirmar",TRIM('DATOS'!N340&amp;"")&lt;&gt;"No consta",TRIM('DATOS'!N340&amp;"")&lt;&gt;"Desconocido",TRIM('DATOS'!N340&amp;"")&lt;&gt;"Sin confirmar",TRIM('DATOS'!N340&amp;"")&lt;&gt;"Por decidir",TRIM('DATOS'!N340&amp;"")&lt;&gt;"Por comprobar")),NOT(Y340=1),W340&lt;&gt;1,X340&gt;1,NOT(OR(LEN(TRIM('DATOS'!K340&amp;""))=0,'DATOS'!K340="Sin valorar",'DATOS'!K340="Sin coste documentado",'DATOS'!K340="Incluido en otra partida",'DATOS'!K340="Por confirmar")),NOT(OR(LEN(TRIM('DATOS'!M340&amp;""))=0,'DATOS'!M340="Sí",'DATOS'!M340="No",'DATOS'!M340="Por confirmar")),NOT(OR(LEN(TRIM('DATOS'!O340&amp;""))=0,'DATOS'!O340="Comparamos",'DATOS'!O340="No existe",'DATOS'!O340="Por confirmar"))),2,IF(AND(OR('DATOS'!G340&lt;0,'DATOS'!H340&lt;0,'DATOS'!J340&lt;0),NOT(AND(LEN(TRIM('DATOS'!L340&amp;""))&gt;0,TRIM('DATOS'!L340&amp;"")&lt;&gt;"Pendiente",TRIM('DATOS'!L340&amp;"")&lt;&gt;"Por confirmar",TRIM('DATOS'!L340&amp;"")&lt;&gt;"No consta",TRIM('DATOS'!L340&amp;"")&lt;&gt;"Desconocido",TRIM('DATOS'!L340&amp;"")&lt;&gt;"Sin confirmar",TRIM('DATOS'!L340&amp;"")&lt;&gt;"Por decidir",TRIM('DATOS'!L340&amp;"")&lt;&gt;"Por comprobar"))),1,0))),2)</f>
      </c>
      <c r="P340" s="29">
        <f>IFERROR(IF(N340=0,"",IF(NOT(Y340=1),1,IF('REFERENCIAS'!$Q$8&lt;&gt;1,2,IF(ABS('DATOS'!J340-ROUND('DATOS'!G340*'DATOS'!H340,'REFERENCIAS'!$K$8))&gt;0.00000001,2,IF('DATOS'!O340="No existe",IF(LEN(TRIM('DATOS'!I340&amp;""))=0,0,2),IF('DATOS'!O340="Comparamos",IF(LEN(TRIM('DATOS'!I340&amp;""))=0,1,IF(ISNUMBER('DATOS'!I340),IF(ABS('DATOS'!H340-'DATOS'!I340)&gt;0.00000001,2,0),2)),1)))))),2)</f>
      </c>
      <c r="Q340" s="29">
        <f>IFERROR(IF(N340=0,"",IF(NOT(Y340=1),1,IF('DATOS'!K340="Sin valorar",2,IF('DATOS'!G340=0,1,IF(OR('DATOS'!H340=0,'DATOS'!J340=0),IF(AND(OR('DATOS'!K340="Sin coste documentado",'DATOS'!K340="Incluido en otra partida"),AND(LEN(TRIM('DATOS'!L340&amp;""))&gt;0,TRIM('DATOS'!L340&amp;"")&lt;&gt;"Pendiente",TRIM('DATOS'!L340&amp;"")&lt;&gt;"Por confirmar",TRIM('DATOS'!L340&amp;"")&lt;&gt;"No consta",TRIM('DATOS'!L340&amp;"")&lt;&gt;"Desconocido",TRIM('DATOS'!L340&amp;"")&lt;&gt;"Sin confirmar",TRIM('DATOS'!L340&amp;"")&lt;&gt;"Por decidir",TRIM('DATOS'!L340&amp;"")&lt;&gt;"Por comprobar")),0,1),0))))),2)</f>
      </c>
      <c r="R340" s="29">
        <f>IFERROR(IF(N340=0,"",IF(OR(NOT(AND(LEN(TRIM('DATOS'!D340&amp;""))&gt;0,TRIM('DATOS'!D340&amp;"")&lt;&gt;"Pendiente",TRIM('DATOS'!D340&amp;"")&lt;&gt;"Por confirmar",TRIM('DATOS'!D340&amp;"")&lt;&gt;"No consta",TRIM('DATOS'!D340&amp;"")&lt;&gt;"Desconocido",TRIM('DATOS'!D340&amp;"")&lt;&gt;"Sin confirmar",TRIM('DATOS'!D340&amp;"")&lt;&gt;"Por decidir",TRIM('DATOS'!D340&amp;"")&lt;&gt;"Por comprobar")),NOT(AND(LEN(TRIM('DATOS'!E340&amp;""))&gt;0,TRIM('DATOS'!E340&amp;"")&lt;&gt;"Pendiente",TRIM('DATOS'!E340&amp;"")&lt;&gt;"Por confirmar",TRIM('DATOS'!E340&amp;"")&lt;&gt;"No consta",TRIM('DATOS'!E340&amp;"")&lt;&gt;"Desconocido",TRIM('DATOS'!E340&amp;"")&lt;&gt;"Sin confirmar",TRIM('DATOS'!E340&amp;"")&lt;&gt;"Por decidir",TRIM('DATOS'!E340&amp;"")&lt;&gt;"Por comprobar"))),2,IF('DATOS'!M340="No",2,IF('DATOS'!M340="Sí",0,IF(OR('DATOS'!D340&lt;&gt;'DATOS'!E340,LEN('DATOS'!E340)&gt;300,RIGHT(TRIM('DATOS'!E340),3)="...",RIGHT(TRIM('DATOS'!E340),1)="…"),1,0))))),2)</f>
      </c>
      <c r="S340" s="29">
        <f>IFERROR(IF(N340=0,"",IF('REFERENCIAS'!$Q$8&lt;&gt;1,2,IF(NOT(Y340=1),1,IF(OR(ABS('DATOS'!G340-ROUND('DATOS'!G340,'REFERENCIAS'!$E$8))&gt;0.00000001,ABS('DATOS'!H340-ROUND('DATOS'!H340,'REFERENCIAS'!$H$8))&gt;0.00000001,ABS('DATOS'!J340-ROUND('DATOS'!J340,'REFERENCIAS'!$K$8))&gt;0.00000001,IF(ISNUMBER('DATOS'!I340),ABS('DATOS'!I340-ROUND('DATOS'!I340,'REFERENCIAS'!$H$8))&gt;0.00000001,FALSE)),1,0)))),2)</f>
      </c>
      <c r="T340" s="29">
        <f>IFERROR(IF(N340=0,"",IF(NOT(AND(LEN(TRIM('DATOS'!F340&amp;""))&gt;0,TRIM('DATOS'!F340&amp;"")&lt;&gt;"Pendiente",TRIM('DATOS'!F340&amp;"")&lt;&gt;"Por confirmar",TRIM('DATOS'!F340&amp;"")&lt;&gt;"No consta",TRIM('DATOS'!F340&amp;"")&lt;&gt;"Desconocido",TRIM('DATOS'!F340&amp;"")&lt;&gt;"Sin confirmar",TRIM('DATOS'!F340&amp;"")&lt;&gt;"Por decidir",TRIM('DATOS'!F340&amp;"")&lt;&gt;"Por comprobar")),2,IF(COUNTIFS('REFERENCIAS'!$T$15:$T$34,"ID:"&amp;SUBSTITUTE(SUBSTITUTE(SUBSTITUTE(SUBSTITUTE(UPPER(TRIM('DATOS'!F340&amp;"")),"!","!E"),"*","!A"),"?","!B"),"~","!C"),'REFERENCIAS'!$H$15:$H$34,"&lt;&gt;")&gt;0,0,1))),2)</f>
      </c>
      <c r="U340" s="29" t="str">
        <f>'DATOS'!R340</f>
        <v>ID:</v>
      </c>
      <c r="V340" s="29" t="str">
        <f>'DATOS'!S340</f>
        <v>ID:</v>
      </c>
      <c r="W340" s="29" t="n">
        <f>IF(N340=0,0,COUNTIFS('REFERENCIAS'!$R$15:$R$64,U340))</f>
        <v>0</v>
      </c>
      <c r="X340" s="29" t="n">
        <f>IF(N340=0,0,COUNTIFS('DATOS'!$R$10:$R$509,U340,'DATOS'!$S$10:$S$509,V340))</f>
        <v>0</v>
      </c>
      <c r="Y340" s="29" t="n">
        <f>IF(AND(ISNUMBER('DATOS'!G340),ISNUMBER('DATOS'!H340),ISNUMBER('DATOS'!J340)),1,0)</f>
        <v>0</v>
      </c>
    </row>
    <row r="341" ht="64" customHeight="1">
      <c r="B341" s="26">
        <f>IF(N341=1,332,"")</f>
      </c>
      <c r="C341" s="26">
        <f>IF(AND(N341=1,LEN(TRIM('DATOS'!B341&amp;""))&gt;0),'DATOS'!B341,"")</f>
      </c>
      <c r="D341" s="26">
        <f>IF(AND(N341=1,LEN(TRIM('DATOS'!C341&amp;""))&gt;0),'DATOS'!C341,"")</f>
      </c>
      <c r="E341" s="26">
        <f>IF(NOT(ISNUMBER(P341)),"",IF(P341=2,"ROJO",IF(P341=1,"ÁMBAR","VERDE")))</f>
      </c>
      <c r="F341" s="26">
        <f>IF(NOT(ISNUMBER(Q341)),"",IF(Q341=2,"ROJO",IF(Q341=1,"ÁMBAR","VERDE")))</f>
      </c>
      <c r="G341" s="26">
        <f>IF(NOT(ISNUMBER(R341)),"",IF(R341=2,"ROJO",IF(R341=1,"ÁMBAR","VERDE")))</f>
      </c>
      <c r="H341" s="26">
        <f>IF(NOT(ISNUMBER(S341)),"",IF(S341=2,"ROJO",IF(S341=1,"ÁMBAR","VERDE")))</f>
      </c>
      <c r="I341" s="26">
        <f>IF(NOT(ISNUMBER(T341)),"",IF(T341=2,"ROJO",IF(T341=1,"ÁMBAR","VERDE")))</f>
      </c>
      <c r="J341" s="26">
        <f>IF(NOT(ISNUMBER(O341)),"",IF(O341=2,"ROJO",IF(O341=1,"ÁMBAR","VERDE")))</f>
      </c>
      <c r="K341" s="26">
        <f>IFERROR(IF(AND(N341=1,LEN(TRIM('DATOS'!N341&amp;""))&gt;0),'DATOS'!N341,""),"Hay una entrada con error. Corregimos el dato antes de cerrar la comprobación.")</f>
      </c>
      <c r="L341" s="26">
        <f>IFERROR(IF(N341=0,"",IF(O341&gt;0,"Completamos datos, claves o motivo. ","")&amp;IF(P341&gt;0,"Cotejamos precios e importe. ","")&amp;IF(Q341&gt;0,"Aclaramos el cero. ","")&amp;IF(R341&gt;0,"Comprobamos el texto. ","")&amp;IF(S341&gt;0,"Revisamos decimales visibles. ","")&amp;IF(T341&gt;0,"Confirmamos la unidad.","")),"Hay una entrada con error. Corregimos el dato antes de cerrar la comprobación.")</f>
      </c>
      <c r="N341" s="29" t="n">
        <f>IF(COUNTA('DATOS'!B341:O341)&gt;0,1,0)</f>
        <v>0</v>
      </c>
      <c r="O341" s="29">
        <f>IFERROR(IF(N341=0,"",IF(OR(NOT(AND(LEN(TRIM('DATOS'!B341&amp;""))&gt;0,TRIM('DATOS'!B341&amp;"")&lt;&gt;"Pendiente",TRIM('DATOS'!B341&amp;"")&lt;&gt;"Por confirmar",TRIM('DATOS'!B341&amp;"")&lt;&gt;"No consta",TRIM('DATOS'!B341&amp;"")&lt;&gt;"Desconocido",TRIM('DATOS'!B341&amp;"")&lt;&gt;"Sin confirmar",TRIM('DATOS'!B341&amp;"")&lt;&gt;"Por decidir",TRIM('DATOS'!B341&amp;"")&lt;&gt;"Por comprobar")),NOT(AND(LEN(TRIM('DATOS'!C341&amp;""))&gt;0,TRIM('DATOS'!C341&amp;"")&lt;&gt;"Pendiente",TRIM('DATOS'!C341&amp;"")&lt;&gt;"Por confirmar",TRIM('DATOS'!C341&amp;"")&lt;&gt;"No consta",TRIM('DATOS'!C341&amp;"")&lt;&gt;"Desconocido",TRIM('DATOS'!C341&amp;"")&lt;&gt;"Sin confirmar",TRIM('DATOS'!C341&amp;"")&lt;&gt;"Por decidir",TRIM('DATOS'!C341&amp;"")&lt;&gt;"Por comprobar")),NOT(AND(LEN(TRIM('DATOS'!D341&amp;""))&gt;0,TRIM('DATOS'!D341&amp;"")&lt;&gt;"Pendiente",TRIM('DATOS'!D341&amp;"")&lt;&gt;"Por confirmar",TRIM('DATOS'!D341&amp;"")&lt;&gt;"No consta",TRIM('DATOS'!D341&amp;"")&lt;&gt;"Desconocido",TRIM('DATOS'!D341&amp;"")&lt;&gt;"Sin confirmar",TRIM('DATOS'!D341&amp;"")&lt;&gt;"Por decidir",TRIM('DATOS'!D341&amp;"")&lt;&gt;"Por comprobar")),NOT(AND(LEN(TRIM('DATOS'!E341&amp;""))&gt;0,TRIM('DATOS'!E341&amp;"")&lt;&gt;"Pendiente",TRIM('DATOS'!E341&amp;"")&lt;&gt;"Por confirmar",TRIM('DATOS'!E341&amp;"")&lt;&gt;"No consta",TRIM('DATOS'!E341&amp;"")&lt;&gt;"Desconocido",TRIM('DATOS'!E341&amp;"")&lt;&gt;"Sin confirmar",TRIM('DATOS'!E341&amp;"")&lt;&gt;"Por decidir",TRIM('DATOS'!E341&amp;"")&lt;&gt;"Por comprobar")),NOT(AND(LEN(TRIM('DATOS'!F341&amp;""))&gt;0,TRIM('DATOS'!F341&amp;"")&lt;&gt;"Pendiente",TRIM('DATOS'!F341&amp;"")&lt;&gt;"Por confirmar",TRIM('DATOS'!F341&amp;"")&lt;&gt;"No consta",TRIM('DATOS'!F341&amp;"")&lt;&gt;"Desconocido",TRIM('DATOS'!F341&amp;"")&lt;&gt;"Sin confirmar",TRIM('DATOS'!F341&amp;"")&lt;&gt;"Por decidir",TRIM('DATOS'!F341&amp;"")&lt;&gt;"Por comprobar")),NOT(AND(LEN(TRIM('DATOS'!N341&amp;""))&gt;0,TRIM('DATOS'!N341&amp;"")&lt;&gt;"Pendiente",TRIM('DATOS'!N341&amp;"")&lt;&gt;"Por confirmar",TRIM('DATOS'!N341&amp;"")&lt;&gt;"No consta",TRIM('DATOS'!N341&amp;"")&lt;&gt;"Desconocido",TRIM('DATOS'!N341&amp;"")&lt;&gt;"Sin confirmar",TRIM('DATOS'!N341&amp;"")&lt;&gt;"Por decidir",TRIM('DATOS'!N341&amp;"")&lt;&gt;"Por comprobar")),NOT(Y341=1),W341&lt;&gt;1,X341&gt;1,NOT(OR(LEN(TRIM('DATOS'!K341&amp;""))=0,'DATOS'!K341="Sin valorar",'DATOS'!K341="Sin coste documentado",'DATOS'!K341="Incluido en otra partida",'DATOS'!K341="Por confirmar")),NOT(OR(LEN(TRIM('DATOS'!M341&amp;""))=0,'DATOS'!M341="Sí",'DATOS'!M341="No",'DATOS'!M341="Por confirmar")),NOT(OR(LEN(TRIM('DATOS'!O341&amp;""))=0,'DATOS'!O341="Comparamos",'DATOS'!O341="No existe",'DATOS'!O341="Por confirmar"))),2,IF(AND(OR('DATOS'!G341&lt;0,'DATOS'!H341&lt;0,'DATOS'!J341&lt;0),NOT(AND(LEN(TRIM('DATOS'!L341&amp;""))&gt;0,TRIM('DATOS'!L341&amp;"")&lt;&gt;"Pendiente",TRIM('DATOS'!L341&amp;"")&lt;&gt;"Por confirmar",TRIM('DATOS'!L341&amp;"")&lt;&gt;"No consta",TRIM('DATOS'!L341&amp;"")&lt;&gt;"Desconocido",TRIM('DATOS'!L341&amp;"")&lt;&gt;"Sin confirmar",TRIM('DATOS'!L341&amp;"")&lt;&gt;"Por decidir",TRIM('DATOS'!L341&amp;"")&lt;&gt;"Por comprobar"))),1,0))),2)</f>
      </c>
      <c r="P341" s="29">
        <f>IFERROR(IF(N341=0,"",IF(NOT(Y341=1),1,IF('REFERENCIAS'!$Q$8&lt;&gt;1,2,IF(ABS('DATOS'!J341-ROUND('DATOS'!G341*'DATOS'!H341,'REFERENCIAS'!$K$8))&gt;0.00000001,2,IF('DATOS'!O341="No existe",IF(LEN(TRIM('DATOS'!I341&amp;""))=0,0,2),IF('DATOS'!O341="Comparamos",IF(LEN(TRIM('DATOS'!I341&amp;""))=0,1,IF(ISNUMBER('DATOS'!I341),IF(ABS('DATOS'!H341-'DATOS'!I341)&gt;0.00000001,2,0),2)),1)))))),2)</f>
      </c>
      <c r="Q341" s="29">
        <f>IFERROR(IF(N341=0,"",IF(NOT(Y341=1),1,IF('DATOS'!K341="Sin valorar",2,IF('DATOS'!G341=0,1,IF(OR('DATOS'!H341=0,'DATOS'!J341=0),IF(AND(OR('DATOS'!K341="Sin coste documentado",'DATOS'!K341="Incluido en otra partida"),AND(LEN(TRIM('DATOS'!L341&amp;""))&gt;0,TRIM('DATOS'!L341&amp;"")&lt;&gt;"Pendiente",TRIM('DATOS'!L341&amp;"")&lt;&gt;"Por confirmar",TRIM('DATOS'!L341&amp;"")&lt;&gt;"No consta",TRIM('DATOS'!L341&amp;"")&lt;&gt;"Desconocido",TRIM('DATOS'!L341&amp;"")&lt;&gt;"Sin confirmar",TRIM('DATOS'!L341&amp;"")&lt;&gt;"Por decidir",TRIM('DATOS'!L341&amp;"")&lt;&gt;"Por comprobar")),0,1),0))))),2)</f>
      </c>
      <c r="R341" s="29">
        <f>IFERROR(IF(N341=0,"",IF(OR(NOT(AND(LEN(TRIM('DATOS'!D341&amp;""))&gt;0,TRIM('DATOS'!D341&amp;"")&lt;&gt;"Pendiente",TRIM('DATOS'!D341&amp;"")&lt;&gt;"Por confirmar",TRIM('DATOS'!D341&amp;"")&lt;&gt;"No consta",TRIM('DATOS'!D341&amp;"")&lt;&gt;"Desconocido",TRIM('DATOS'!D341&amp;"")&lt;&gt;"Sin confirmar",TRIM('DATOS'!D341&amp;"")&lt;&gt;"Por decidir",TRIM('DATOS'!D341&amp;"")&lt;&gt;"Por comprobar")),NOT(AND(LEN(TRIM('DATOS'!E341&amp;""))&gt;0,TRIM('DATOS'!E341&amp;"")&lt;&gt;"Pendiente",TRIM('DATOS'!E341&amp;"")&lt;&gt;"Por confirmar",TRIM('DATOS'!E341&amp;"")&lt;&gt;"No consta",TRIM('DATOS'!E341&amp;"")&lt;&gt;"Desconocido",TRIM('DATOS'!E341&amp;"")&lt;&gt;"Sin confirmar",TRIM('DATOS'!E341&amp;"")&lt;&gt;"Por decidir",TRIM('DATOS'!E341&amp;"")&lt;&gt;"Por comprobar"))),2,IF('DATOS'!M341="No",2,IF('DATOS'!M341="Sí",0,IF(OR('DATOS'!D341&lt;&gt;'DATOS'!E341,LEN('DATOS'!E341)&gt;300,RIGHT(TRIM('DATOS'!E341),3)="...",RIGHT(TRIM('DATOS'!E341),1)="…"),1,0))))),2)</f>
      </c>
      <c r="S341" s="29">
        <f>IFERROR(IF(N341=0,"",IF('REFERENCIAS'!$Q$8&lt;&gt;1,2,IF(NOT(Y341=1),1,IF(OR(ABS('DATOS'!G341-ROUND('DATOS'!G341,'REFERENCIAS'!$E$8))&gt;0.00000001,ABS('DATOS'!H341-ROUND('DATOS'!H341,'REFERENCIAS'!$H$8))&gt;0.00000001,ABS('DATOS'!J341-ROUND('DATOS'!J341,'REFERENCIAS'!$K$8))&gt;0.00000001,IF(ISNUMBER('DATOS'!I341),ABS('DATOS'!I341-ROUND('DATOS'!I341,'REFERENCIAS'!$H$8))&gt;0.00000001,FALSE)),1,0)))),2)</f>
      </c>
      <c r="T341" s="29">
        <f>IFERROR(IF(N341=0,"",IF(NOT(AND(LEN(TRIM('DATOS'!F341&amp;""))&gt;0,TRIM('DATOS'!F341&amp;"")&lt;&gt;"Pendiente",TRIM('DATOS'!F341&amp;"")&lt;&gt;"Por confirmar",TRIM('DATOS'!F341&amp;"")&lt;&gt;"No consta",TRIM('DATOS'!F341&amp;"")&lt;&gt;"Desconocido",TRIM('DATOS'!F341&amp;"")&lt;&gt;"Sin confirmar",TRIM('DATOS'!F341&amp;"")&lt;&gt;"Por decidir",TRIM('DATOS'!F341&amp;"")&lt;&gt;"Por comprobar")),2,IF(COUNTIFS('REFERENCIAS'!$T$15:$T$34,"ID:"&amp;SUBSTITUTE(SUBSTITUTE(SUBSTITUTE(SUBSTITUTE(UPPER(TRIM('DATOS'!F341&amp;"")),"!","!E"),"*","!A"),"?","!B"),"~","!C"),'REFERENCIAS'!$H$15:$H$34,"&lt;&gt;")&gt;0,0,1))),2)</f>
      </c>
      <c r="U341" s="29" t="str">
        <f>'DATOS'!R341</f>
        <v>ID:</v>
      </c>
      <c r="V341" s="29" t="str">
        <f>'DATOS'!S341</f>
        <v>ID:</v>
      </c>
      <c r="W341" s="29" t="n">
        <f>IF(N341=0,0,COUNTIFS('REFERENCIAS'!$R$15:$R$64,U341))</f>
        <v>0</v>
      </c>
      <c r="X341" s="29" t="n">
        <f>IF(N341=0,0,COUNTIFS('DATOS'!$R$10:$R$509,U341,'DATOS'!$S$10:$S$509,V341))</f>
        <v>0</v>
      </c>
      <c r="Y341" s="29" t="n">
        <f>IF(AND(ISNUMBER('DATOS'!G341),ISNUMBER('DATOS'!H341),ISNUMBER('DATOS'!J341)),1,0)</f>
        <v>0</v>
      </c>
    </row>
    <row r="342" ht="64" customHeight="1">
      <c r="B342" s="26">
        <f>IF(N342=1,333,"")</f>
      </c>
      <c r="C342" s="26">
        <f>IF(AND(N342=1,LEN(TRIM('DATOS'!B342&amp;""))&gt;0),'DATOS'!B342,"")</f>
      </c>
      <c r="D342" s="26">
        <f>IF(AND(N342=1,LEN(TRIM('DATOS'!C342&amp;""))&gt;0),'DATOS'!C342,"")</f>
      </c>
      <c r="E342" s="26">
        <f>IF(NOT(ISNUMBER(P342)),"",IF(P342=2,"ROJO",IF(P342=1,"ÁMBAR","VERDE")))</f>
      </c>
      <c r="F342" s="26">
        <f>IF(NOT(ISNUMBER(Q342)),"",IF(Q342=2,"ROJO",IF(Q342=1,"ÁMBAR","VERDE")))</f>
      </c>
      <c r="G342" s="26">
        <f>IF(NOT(ISNUMBER(R342)),"",IF(R342=2,"ROJO",IF(R342=1,"ÁMBAR","VERDE")))</f>
      </c>
      <c r="H342" s="26">
        <f>IF(NOT(ISNUMBER(S342)),"",IF(S342=2,"ROJO",IF(S342=1,"ÁMBAR","VERDE")))</f>
      </c>
      <c r="I342" s="26">
        <f>IF(NOT(ISNUMBER(T342)),"",IF(T342=2,"ROJO",IF(T342=1,"ÁMBAR","VERDE")))</f>
      </c>
      <c r="J342" s="26">
        <f>IF(NOT(ISNUMBER(O342)),"",IF(O342=2,"ROJO",IF(O342=1,"ÁMBAR","VERDE")))</f>
      </c>
      <c r="K342" s="26">
        <f>IFERROR(IF(AND(N342=1,LEN(TRIM('DATOS'!N342&amp;""))&gt;0),'DATOS'!N342,""),"Hay una entrada con error. Corregimos el dato antes de cerrar la comprobación.")</f>
      </c>
      <c r="L342" s="26">
        <f>IFERROR(IF(N342=0,"",IF(O342&gt;0,"Completamos datos, claves o motivo. ","")&amp;IF(P342&gt;0,"Cotejamos precios e importe. ","")&amp;IF(Q342&gt;0,"Aclaramos el cero. ","")&amp;IF(R342&gt;0,"Comprobamos el texto. ","")&amp;IF(S342&gt;0,"Revisamos decimales visibles. ","")&amp;IF(T342&gt;0,"Confirmamos la unidad.","")),"Hay una entrada con error. Corregimos el dato antes de cerrar la comprobación.")</f>
      </c>
      <c r="N342" s="29" t="n">
        <f>IF(COUNTA('DATOS'!B342:O342)&gt;0,1,0)</f>
        <v>0</v>
      </c>
      <c r="O342" s="29">
        <f>IFERROR(IF(N342=0,"",IF(OR(NOT(AND(LEN(TRIM('DATOS'!B342&amp;""))&gt;0,TRIM('DATOS'!B342&amp;"")&lt;&gt;"Pendiente",TRIM('DATOS'!B342&amp;"")&lt;&gt;"Por confirmar",TRIM('DATOS'!B342&amp;"")&lt;&gt;"No consta",TRIM('DATOS'!B342&amp;"")&lt;&gt;"Desconocido",TRIM('DATOS'!B342&amp;"")&lt;&gt;"Sin confirmar",TRIM('DATOS'!B342&amp;"")&lt;&gt;"Por decidir",TRIM('DATOS'!B342&amp;"")&lt;&gt;"Por comprobar")),NOT(AND(LEN(TRIM('DATOS'!C342&amp;""))&gt;0,TRIM('DATOS'!C342&amp;"")&lt;&gt;"Pendiente",TRIM('DATOS'!C342&amp;"")&lt;&gt;"Por confirmar",TRIM('DATOS'!C342&amp;"")&lt;&gt;"No consta",TRIM('DATOS'!C342&amp;"")&lt;&gt;"Desconocido",TRIM('DATOS'!C342&amp;"")&lt;&gt;"Sin confirmar",TRIM('DATOS'!C342&amp;"")&lt;&gt;"Por decidir",TRIM('DATOS'!C342&amp;"")&lt;&gt;"Por comprobar")),NOT(AND(LEN(TRIM('DATOS'!D342&amp;""))&gt;0,TRIM('DATOS'!D342&amp;"")&lt;&gt;"Pendiente",TRIM('DATOS'!D342&amp;"")&lt;&gt;"Por confirmar",TRIM('DATOS'!D342&amp;"")&lt;&gt;"No consta",TRIM('DATOS'!D342&amp;"")&lt;&gt;"Desconocido",TRIM('DATOS'!D342&amp;"")&lt;&gt;"Sin confirmar",TRIM('DATOS'!D342&amp;"")&lt;&gt;"Por decidir",TRIM('DATOS'!D342&amp;"")&lt;&gt;"Por comprobar")),NOT(AND(LEN(TRIM('DATOS'!E342&amp;""))&gt;0,TRIM('DATOS'!E342&amp;"")&lt;&gt;"Pendiente",TRIM('DATOS'!E342&amp;"")&lt;&gt;"Por confirmar",TRIM('DATOS'!E342&amp;"")&lt;&gt;"No consta",TRIM('DATOS'!E342&amp;"")&lt;&gt;"Desconocido",TRIM('DATOS'!E342&amp;"")&lt;&gt;"Sin confirmar",TRIM('DATOS'!E342&amp;"")&lt;&gt;"Por decidir",TRIM('DATOS'!E342&amp;"")&lt;&gt;"Por comprobar")),NOT(AND(LEN(TRIM('DATOS'!F342&amp;""))&gt;0,TRIM('DATOS'!F342&amp;"")&lt;&gt;"Pendiente",TRIM('DATOS'!F342&amp;"")&lt;&gt;"Por confirmar",TRIM('DATOS'!F342&amp;"")&lt;&gt;"No consta",TRIM('DATOS'!F342&amp;"")&lt;&gt;"Desconocido",TRIM('DATOS'!F342&amp;"")&lt;&gt;"Sin confirmar",TRIM('DATOS'!F342&amp;"")&lt;&gt;"Por decidir",TRIM('DATOS'!F342&amp;"")&lt;&gt;"Por comprobar")),NOT(AND(LEN(TRIM('DATOS'!N342&amp;""))&gt;0,TRIM('DATOS'!N342&amp;"")&lt;&gt;"Pendiente",TRIM('DATOS'!N342&amp;"")&lt;&gt;"Por confirmar",TRIM('DATOS'!N342&amp;"")&lt;&gt;"No consta",TRIM('DATOS'!N342&amp;"")&lt;&gt;"Desconocido",TRIM('DATOS'!N342&amp;"")&lt;&gt;"Sin confirmar",TRIM('DATOS'!N342&amp;"")&lt;&gt;"Por decidir",TRIM('DATOS'!N342&amp;"")&lt;&gt;"Por comprobar")),NOT(Y342=1),W342&lt;&gt;1,X342&gt;1,NOT(OR(LEN(TRIM('DATOS'!K342&amp;""))=0,'DATOS'!K342="Sin valorar",'DATOS'!K342="Sin coste documentado",'DATOS'!K342="Incluido en otra partida",'DATOS'!K342="Por confirmar")),NOT(OR(LEN(TRIM('DATOS'!M342&amp;""))=0,'DATOS'!M342="Sí",'DATOS'!M342="No",'DATOS'!M342="Por confirmar")),NOT(OR(LEN(TRIM('DATOS'!O342&amp;""))=0,'DATOS'!O342="Comparamos",'DATOS'!O342="No existe",'DATOS'!O342="Por confirmar"))),2,IF(AND(OR('DATOS'!G342&lt;0,'DATOS'!H342&lt;0,'DATOS'!J342&lt;0),NOT(AND(LEN(TRIM('DATOS'!L342&amp;""))&gt;0,TRIM('DATOS'!L342&amp;"")&lt;&gt;"Pendiente",TRIM('DATOS'!L342&amp;"")&lt;&gt;"Por confirmar",TRIM('DATOS'!L342&amp;"")&lt;&gt;"No consta",TRIM('DATOS'!L342&amp;"")&lt;&gt;"Desconocido",TRIM('DATOS'!L342&amp;"")&lt;&gt;"Sin confirmar",TRIM('DATOS'!L342&amp;"")&lt;&gt;"Por decidir",TRIM('DATOS'!L342&amp;"")&lt;&gt;"Por comprobar"))),1,0))),2)</f>
      </c>
      <c r="P342" s="29">
        <f>IFERROR(IF(N342=0,"",IF(NOT(Y342=1),1,IF('REFERENCIAS'!$Q$8&lt;&gt;1,2,IF(ABS('DATOS'!J342-ROUND('DATOS'!G342*'DATOS'!H342,'REFERENCIAS'!$K$8))&gt;0.00000001,2,IF('DATOS'!O342="No existe",IF(LEN(TRIM('DATOS'!I342&amp;""))=0,0,2),IF('DATOS'!O342="Comparamos",IF(LEN(TRIM('DATOS'!I342&amp;""))=0,1,IF(ISNUMBER('DATOS'!I342),IF(ABS('DATOS'!H342-'DATOS'!I342)&gt;0.00000001,2,0),2)),1)))))),2)</f>
      </c>
      <c r="Q342" s="29">
        <f>IFERROR(IF(N342=0,"",IF(NOT(Y342=1),1,IF('DATOS'!K342="Sin valorar",2,IF('DATOS'!G342=0,1,IF(OR('DATOS'!H342=0,'DATOS'!J342=0),IF(AND(OR('DATOS'!K342="Sin coste documentado",'DATOS'!K342="Incluido en otra partida"),AND(LEN(TRIM('DATOS'!L342&amp;""))&gt;0,TRIM('DATOS'!L342&amp;"")&lt;&gt;"Pendiente",TRIM('DATOS'!L342&amp;"")&lt;&gt;"Por confirmar",TRIM('DATOS'!L342&amp;"")&lt;&gt;"No consta",TRIM('DATOS'!L342&amp;"")&lt;&gt;"Desconocido",TRIM('DATOS'!L342&amp;"")&lt;&gt;"Sin confirmar",TRIM('DATOS'!L342&amp;"")&lt;&gt;"Por decidir",TRIM('DATOS'!L342&amp;"")&lt;&gt;"Por comprobar")),0,1),0))))),2)</f>
      </c>
      <c r="R342" s="29">
        <f>IFERROR(IF(N342=0,"",IF(OR(NOT(AND(LEN(TRIM('DATOS'!D342&amp;""))&gt;0,TRIM('DATOS'!D342&amp;"")&lt;&gt;"Pendiente",TRIM('DATOS'!D342&amp;"")&lt;&gt;"Por confirmar",TRIM('DATOS'!D342&amp;"")&lt;&gt;"No consta",TRIM('DATOS'!D342&amp;"")&lt;&gt;"Desconocido",TRIM('DATOS'!D342&amp;"")&lt;&gt;"Sin confirmar",TRIM('DATOS'!D342&amp;"")&lt;&gt;"Por decidir",TRIM('DATOS'!D342&amp;"")&lt;&gt;"Por comprobar")),NOT(AND(LEN(TRIM('DATOS'!E342&amp;""))&gt;0,TRIM('DATOS'!E342&amp;"")&lt;&gt;"Pendiente",TRIM('DATOS'!E342&amp;"")&lt;&gt;"Por confirmar",TRIM('DATOS'!E342&amp;"")&lt;&gt;"No consta",TRIM('DATOS'!E342&amp;"")&lt;&gt;"Desconocido",TRIM('DATOS'!E342&amp;"")&lt;&gt;"Sin confirmar",TRIM('DATOS'!E342&amp;"")&lt;&gt;"Por decidir",TRIM('DATOS'!E342&amp;"")&lt;&gt;"Por comprobar"))),2,IF('DATOS'!M342="No",2,IF('DATOS'!M342="Sí",0,IF(OR('DATOS'!D342&lt;&gt;'DATOS'!E342,LEN('DATOS'!E342)&gt;300,RIGHT(TRIM('DATOS'!E342),3)="...",RIGHT(TRIM('DATOS'!E342),1)="…"),1,0))))),2)</f>
      </c>
      <c r="S342" s="29">
        <f>IFERROR(IF(N342=0,"",IF('REFERENCIAS'!$Q$8&lt;&gt;1,2,IF(NOT(Y342=1),1,IF(OR(ABS('DATOS'!G342-ROUND('DATOS'!G342,'REFERENCIAS'!$E$8))&gt;0.00000001,ABS('DATOS'!H342-ROUND('DATOS'!H342,'REFERENCIAS'!$H$8))&gt;0.00000001,ABS('DATOS'!J342-ROUND('DATOS'!J342,'REFERENCIAS'!$K$8))&gt;0.00000001,IF(ISNUMBER('DATOS'!I342),ABS('DATOS'!I342-ROUND('DATOS'!I342,'REFERENCIAS'!$H$8))&gt;0.00000001,FALSE)),1,0)))),2)</f>
      </c>
      <c r="T342" s="29">
        <f>IFERROR(IF(N342=0,"",IF(NOT(AND(LEN(TRIM('DATOS'!F342&amp;""))&gt;0,TRIM('DATOS'!F342&amp;"")&lt;&gt;"Pendiente",TRIM('DATOS'!F342&amp;"")&lt;&gt;"Por confirmar",TRIM('DATOS'!F342&amp;"")&lt;&gt;"No consta",TRIM('DATOS'!F342&amp;"")&lt;&gt;"Desconocido",TRIM('DATOS'!F342&amp;"")&lt;&gt;"Sin confirmar",TRIM('DATOS'!F342&amp;"")&lt;&gt;"Por decidir",TRIM('DATOS'!F342&amp;"")&lt;&gt;"Por comprobar")),2,IF(COUNTIFS('REFERENCIAS'!$T$15:$T$34,"ID:"&amp;SUBSTITUTE(SUBSTITUTE(SUBSTITUTE(SUBSTITUTE(UPPER(TRIM('DATOS'!F342&amp;"")),"!","!E"),"*","!A"),"?","!B"),"~","!C"),'REFERENCIAS'!$H$15:$H$34,"&lt;&gt;")&gt;0,0,1))),2)</f>
      </c>
      <c r="U342" s="29" t="str">
        <f>'DATOS'!R342</f>
        <v>ID:</v>
      </c>
      <c r="V342" s="29" t="str">
        <f>'DATOS'!S342</f>
        <v>ID:</v>
      </c>
      <c r="W342" s="29" t="n">
        <f>IF(N342=0,0,COUNTIFS('REFERENCIAS'!$R$15:$R$64,U342))</f>
        <v>0</v>
      </c>
      <c r="X342" s="29" t="n">
        <f>IF(N342=0,0,COUNTIFS('DATOS'!$R$10:$R$509,U342,'DATOS'!$S$10:$S$509,V342))</f>
        <v>0</v>
      </c>
      <c r="Y342" s="29" t="n">
        <f>IF(AND(ISNUMBER('DATOS'!G342),ISNUMBER('DATOS'!H342),ISNUMBER('DATOS'!J342)),1,0)</f>
        <v>0</v>
      </c>
    </row>
    <row r="343" ht="64" customHeight="1">
      <c r="B343" s="26">
        <f>IF(N343=1,334,"")</f>
      </c>
      <c r="C343" s="26">
        <f>IF(AND(N343=1,LEN(TRIM('DATOS'!B343&amp;""))&gt;0),'DATOS'!B343,"")</f>
      </c>
      <c r="D343" s="26">
        <f>IF(AND(N343=1,LEN(TRIM('DATOS'!C343&amp;""))&gt;0),'DATOS'!C343,"")</f>
      </c>
      <c r="E343" s="26">
        <f>IF(NOT(ISNUMBER(P343)),"",IF(P343=2,"ROJO",IF(P343=1,"ÁMBAR","VERDE")))</f>
      </c>
      <c r="F343" s="26">
        <f>IF(NOT(ISNUMBER(Q343)),"",IF(Q343=2,"ROJO",IF(Q343=1,"ÁMBAR","VERDE")))</f>
      </c>
      <c r="G343" s="26">
        <f>IF(NOT(ISNUMBER(R343)),"",IF(R343=2,"ROJO",IF(R343=1,"ÁMBAR","VERDE")))</f>
      </c>
      <c r="H343" s="26">
        <f>IF(NOT(ISNUMBER(S343)),"",IF(S343=2,"ROJO",IF(S343=1,"ÁMBAR","VERDE")))</f>
      </c>
      <c r="I343" s="26">
        <f>IF(NOT(ISNUMBER(T343)),"",IF(T343=2,"ROJO",IF(T343=1,"ÁMBAR","VERDE")))</f>
      </c>
      <c r="J343" s="26">
        <f>IF(NOT(ISNUMBER(O343)),"",IF(O343=2,"ROJO",IF(O343=1,"ÁMBAR","VERDE")))</f>
      </c>
      <c r="K343" s="26">
        <f>IFERROR(IF(AND(N343=1,LEN(TRIM('DATOS'!N343&amp;""))&gt;0),'DATOS'!N343,""),"Hay una entrada con error. Corregimos el dato antes de cerrar la comprobación.")</f>
      </c>
      <c r="L343" s="26">
        <f>IFERROR(IF(N343=0,"",IF(O343&gt;0,"Completamos datos, claves o motivo. ","")&amp;IF(P343&gt;0,"Cotejamos precios e importe. ","")&amp;IF(Q343&gt;0,"Aclaramos el cero. ","")&amp;IF(R343&gt;0,"Comprobamos el texto. ","")&amp;IF(S343&gt;0,"Revisamos decimales visibles. ","")&amp;IF(T343&gt;0,"Confirmamos la unidad.","")),"Hay una entrada con error. Corregimos el dato antes de cerrar la comprobación.")</f>
      </c>
      <c r="N343" s="29" t="n">
        <f>IF(COUNTA('DATOS'!B343:O343)&gt;0,1,0)</f>
        <v>0</v>
      </c>
      <c r="O343" s="29">
        <f>IFERROR(IF(N343=0,"",IF(OR(NOT(AND(LEN(TRIM('DATOS'!B343&amp;""))&gt;0,TRIM('DATOS'!B343&amp;"")&lt;&gt;"Pendiente",TRIM('DATOS'!B343&amp;"")&lt;&gt;"Por confirmar",TRIM('DATOS'!B343&amp;"")&lt;&gt;"No consta",TRIM('DATOS'!B343&amp;"")&lt;&gt;"Desconocido",TRIM('DATOS'!B343&amp;"")&lt;&gt;"Sin confirmar",TRIM('DATOS'!B343&amp;"")&lt;&gt;"Por decidir",TRIM('DATOS'!B343&amp;"")&lt;&gt;"Por comprobar")),NOT(AND(LEN(TRIM('DATOS'!C343&amp;""))&gt;0,TRIM('DATOS'!C343&amp;"")&lt;&gt;"Pendiente",TRIM('DATOS'!C343&amp;"")&lt;&gt;"Por confirmar",TRIM('DATOS'!C343&amp;"")&lt;&gt;"No consta",TRIM('DATOS'!C343&amp;"")&lt;&gt;"Desconocido",TRIM('DATOS'!C343&amp;"")&lt;&gt;"Sin confirmar",TRIM('DATOS'!C343&amp;"")&lt;&gt;"Por decidir",TRIM('DATOS'!C343&amp;"")&lt;&gt;"Por comprobar")),NOT(AND(LEN(TRIM('DATOS'!D343&amp;""))&gt;0,TRIM('DATOS'!D343&amp;"")&lt;&gt;"Pendiente",TRIM('DATOS'!D343&amp;"")&lt;&gt;"Por confirmar",TRIM('DATOS'!D343&amp;"")&lt;&gt;"No consta",TRIM('DATOS'!D343&amp;"")&lt;&gt;"Desconocido",TRIM('DATOS'!D343&amp;"")&lt;&gt;"Sin confirmar",TRIM('DATOS'!D343&amp;"")&lt;&gt;"Por decidir",TRIM('DATOS'!D343&amp;"")&lt;&gt;"Por comprobar")),NOT(AND(LEN(TRIM('DATOS'!E343&amp;""))&gt;0,TRIM('DATOS'!E343&amp;"")&lt;&gt;"Pendiente",TRIM('DATOS'!E343&amp;"")&lt;&gt;"Por confirmar",TRIM('DATOS'!E343&amp;"")&lt;&gt;"No consta",TRIM('DATOS'!E343&amp;"")&lt;&gt;"Desconocido",TRIM('DATOS'!E343&amp;"")&lt;&gt;"Sin confirmar",TRIM('DATOS'!E343&amp;"")&lt;&gt;"Por decidir",TRIM('DATOS'!E343&amp;"")&lt;&gt;"Por comprobar")),NOT(AND(LEN(TRIM('DATOS'!F343&amp;""))&gt;0,TRIM('DATOS'!F343&amp;"")&lt;&gt;"Pendiente",TRIM('DATOS'!F343&amp;"")&lt;&gt;"Por confirmar",TRIM('DATOS'!F343&amp;"")&lt;&gt;"No consta",TRIM('DATOS'!F343&amp;"")&lt;&gt;"Desconocido",TRIM('DATOS'!F343&amp;"")&lt;&gt;"Sin confirmar",TRIM('DATOS'!F343&amp;"")&lt;&gt;"Por decidir",TRIM('DATOS'!F343&amp;"")&lt;&gt;"Por comprobar")),NOT(AND(LEN(TRIM('DATOS'!N343&amp;""))&gt;0,TRIM('DATOS'!N343&amp;"")&lt;&gt;"Pendiente",TRIM('DATOS'!N343&amp;"")&lt;&gt;"Por confirmar",TRIM('DATOS'!N343&amp;"")&lt;&gt;"No consta",TRIM('DATOS'!N343&amp;"")&lt;&gt;"Desconocido",TRIM('DATOS'!N343&amp;"")&lt;&gt;"Sin confirmar",TRIM('DATOS'!N343&amp;"")&lt;&gt;"Por decidir",TRIM('DATOS'!N343&amp;"")&lt;&gt;"Por comprobar")),NOT(Y343=1),W343&lt;&gt;1,X343&gt;1,NOT(OR(LEN(TRIM('DATOS'!K343&amp;""))=0,'DATOS'!K343="Sin valorar",'DATOS'!K343="Sin coste documentado",'DATOS'!K343="Incluido en otra partida",'DATOS'!K343="Por confirmar")),NOT(OR(LEN(TRIM('DATOS'!M343&amp;""))=0,'DATOS'!M343="Sí",'DATOS'!M343="No",'DATOS'!M343="Por confirmar")),NOT(OR(LEN(TRIM('DATOS'!O343&amp;""))=0,'DATOS'!O343="Comparamos",'DATOS'!O343="No existe",'DATOS'!O343="Por confirmar"))),2,IF(AND(OR('DATOS'!G343&lt;0,'DATOS'!H343&lt;0,'DATOS'!J343&lt;0),NOT(AND(LEN(TRIM('DATOS'!L343&amp;""))&gt;0,TRIM('DATOS'!L343&amp;"")&lt;&gt;"Pendiente",TRIM('DATOS'!L343&amp;"")&lt;&gt;"Por confirmar",TRIM('DATOS'!L343&amp;"")&lt;&gt;"No consta",TRIM('DATOS'!L343&amp;"")&lt;&gt;"Desconocido",TRIM('DATOS'!L343&amp;"")&lt;&gt;"Sin confirmar",TRIM('DATOS'!L343&amp;"")&lt;&gt;"Por decidir",TRIM('DATOS'!L343&amp;"")&lt;&gt;"Por comprobar"))),1,0))),2)</f>
      </c>
      <c r="P343" s="29">
        <f>IFERROR(IF(N343=0,"",IF(NOT(Y343=1),1,IF('REFERENCIAS'!$Q$8&lt;&gt;1,2,IF(ABS('DATOS'!J343-ROUND('DATOS'!G343*'DATOS'!H343,'REFERENCIAS'!$K$8))&gt;0.00000001,2,IF('DATOS'!O343="No existe",IF(LEN(TRIM('DATOS'!I343&amp;""))=0,0,2),IF('DATOS'!O343="Comparamos",IF(LEN(TRIM('DATOS'!I343&amp;""))=0,1,IF(ISNUMBER('DATOS'!I343),IF(ABS('DATOS'!H343-'DATOS'!I343)&gt;0.00000001,2,0),2)),1)))))),2)</f>
      </c>
      <c r="Q343" s="29">
        <f>IFERROR(IF(N343=0,"",IF(NOT(Y343=1),1,IF('DATOS'!K343="Sin valorar",2,IF('DATOS'!G343=0,1,IF(OR('DATOS'!H343=0,'DATOS'!J343=0),IF(AND(OR('DATOS'!K343="Sin coste documentado",'DATOS'!K343="Incluido en otra partida"),AND(LEN(TRIM('DATOS'!L343&amp;""))&gt;0,TRIM('DATOS'!L343&amp;"")&lt;&gt;"Pendiente",TRIM('DATOS'!L343&amp;"")&lt;&gt;"Por confirmar",TRIM('DATOS'!L343&amp;"")&lt;&gt;"No consta",TRIM('DATOS'!L343&amp;"")&lt;&gt;"Desconocido",TRIM('DATOS'!L343&amp;"")&lt;&gt;"Sin confirmar",TRIM('DATOS'!L343&amp;"")&lt;&gt;"Por decidir",TRIM('DATOS'!L343&amp;"")&lt;&gt;"Por comprobar")),0,1),0))))),2)</f>
      </c>
      <c r="R343" s="29">
        <f>IFERROR(IF(N343=0,"",IF(OR(NOT(AND(LEN(TRIM('DATOS'!D343&amp;""))&gt;0,TRIM('DATOS'!D343&amp;"")&lt;&gt;"Pendiente",TRIM('DATOS'!D343&amp;"")&lt;&gt;"Por confirmar",TRIM('DATOS'!D343&amp;"")&lt;&gt;"No consta",TRIM('DATOS'!D343&amp;"")&lt;&gt;"Desconocido",TRIM('DATOS'!D343&amp;"")&lt;&gt;"Sin confirmar",TRIM('DATOS'!D343&amp;"")&lt;&gt;"Por decidir",TRIM('DATOS'!D343&amp;"")&lt;&gt;"Por comprobar")),NOT(AND(LEN(TRIM('DATOS'!E343&amp;""))&gt;0,TRIM('DATOS'!E343&amp;"")&lt;&gt;"Pendiente",TRIM('DATOS'!E343&amp;"")&lt;&gt;"Por confirmar",TRIM('DATOS'!E343&amp;"")&lt;&gt;"No consta",TRIM('DATOS'!E343&amp;"")&lt;&gt;"Desconocido",TRIM('DATOS'!E343&amp;"")&lt;&gt;"Sin confirmar",TRIM('DATOS'!E343&amp;"")&lt;&gt;"Por decidir",TRIM('DATOS'!E343&amp;"")&lt;&gt;"Por comprobar"))),2,IF('DATOS'!M343="No",2,IF('DATOS'!M343="Sí",0,IF(OR('DATOS'!D343&lt;&gt;'DATOS'!E343,LEN('DATOS'!E343)&gt;300,RIGHT(TRIM('DATOS'!E343),3)="...",RIGHT(TRIM('DATOS'!E343),1)="…"),1,0))))),2)</f>
      </c>
      <c r="S343" s="29">
        <f>IFERROR(IF(N343=0,"",IF('REFERENCIAS'!$Q$8&lt;&gt;1,2,IF(NOT(Y343=1),1,IF(OR(ABS('DATOS'!G343-ROUND('DATOS'!G343,'REFERENCIAS'!$E$8))&gt;0.00000001,ABS('DATOS'!H343-ROUND('DATOS'!H343,'REFERENCIAS'!$H$8))&gt;0.00000001,ABS('DATOS'!J343-ROUND('DATOS'!J343,'REFERENCIAS'!$K$8))&gt;0.00000001,IF(ISNUMBER('DATOS'!I343),ABS('DATOS'!I343-ROUND('DATOS'!I343,'REFERENCIAS'!$H$8))&gt;0.00000001,FALSE)),1,0)))),2)</f>
      </c>
      <c r="T343" s="29">
        <f>IFERROR(IF(N343=0,"",IF(NOT(AND(LEN(TRIM('DATOS'!F343&amp;""))&gt;0,TRIM('DATOS'!F343&amp;"")&lt;&gt;"Pendiente",TRIM('DATOS'!F343&amp;"")&lt;&gt;"Por confirmar",TRIM('DATOS'!F343&amp;"")&lt;&gt;"No consta",TRIM('DATOS'!F343&amp;"")&lt;&gt;"Desconocido",TRIM('DATOS'!F343&amp;"")&lt;&gt;"Sin confirmar",TRIM('DATOS'!F343&amp;"")&lt;&gt;"Por decidir",TRIM('DATOS'!F343&amp;"")&lt;&gt;"Por comprobar")),2,IF(COUNTIFS('REFERENCIAS'!$T$15:$T$34,"ID:"&amp;SUBSTITUTE(SUBSTITUTE(SUBSTITUTE(SUBSTITUTE(UPPER(TRIM('DATOS'!F343&amp;"")),"!","!E"),"*","!A"),"?","!B"),"~","!C"),'REFERENCIAS'!$H$15:$H$34,"&lt;&gt;")&gt;0,0,1))),2)</f>
      </c>
      <c r="U343" s="29" t="str">
        <f>'DATOS'!R343</f>
        <v>ID:</v>
      </c>
      <c r="V343" s="29" t="str">
        <f>'DATOS'!S343</f>
        <v>ID:</v>
      </c>
      <c r="W343" s="29" t="n">
        <f>IF(N343=0,0,COUNTIFS('REFERENCIAS'!$R$15:$R$64,U343))</f>
        <v>0</v>
      </c>
      <c r="X343" s="29" t="n">
        <f>IF(N343=0,0,COUNTIFS('DATOS'!$R$10:$R$509,U343,'DATOS'!$S$10:$S$509,V343))</f>
        <v>0</v>
      </c>
      <c r="Y343" s="29" t="n">
        <f>IF(AND(ISNUMBER('DATOS'!G343),ISNUMBER('DATOS'!H343),ISNUMBER('DATOS'!J343)),1,0)</f>
        <v>0</v>
      </c>
    </row>
    <row r="344" ht="64" customHeight="1">
      <c r="B344" s="26">
        <f>IF(N344=1,335,"")</f>
      </c>
      <c r="C344" s="26">
        <f>IF(AND(N344=1,LEN(TRIM('DATOS'!B344&amp;""))&gt;0),'DATOS'!B344,"")</f>
      </c>
      <c r="D344" s="26">
        <f>IF(AND(N344=1,LEN(TRIM('DATOS'!C344&amp;""))&gt;0),'DATOS'!C344,"")</f>
      </c>
      <c r="E344" s="26">
        <f>IF(NOT(ISNUMBER(P344)),"",IF(P344=2,"ROJO",IF(P344=1,"ÁMBAR","VERDE")))</f>
      </c>
      <c r="F344" s="26">
        <f>IF(NOT(ISNUMBER(Q344)),"",IF(Q344=2,"ROJO",IF(Q344=1,"ÁMBAR","VERDE")))</f>
      </c>
      <c r="G344" s="26">
        <f>IF(NOT(ISNUMBER(R344)),"",IF(R344=2,"ROJO",IF(R344=1,"ÁMBAR","VERDE")))</f>
      </c>
      <c r="H344" s="26">
        <f>IF(NOT(ISNUMBER(S344)),"",IF(S344=2,"ROJO",IF(S344=1,"ÁMBAR","VERDE")))</f>
      </c>
      <c r="I344" s="26">
        <f>IF(NOT(ISNUMBER(T344)),"",IF(T344=2,"ROJO",IF(T344=1,"ÁMBAR","VERDE")))</f>
      </c>
      <c r="J344" s="26">
        <f>IF(NOT(ISNUMBER(O344)),"",IF(O344=2,"ROJO",IF(O344=1,"ÁMBAR","VERDE")))</f>
      </c>
      <c r="K344" s="26">
        <f>IFERROR(IF(AND(N344=1,LEN(TRIM('DATOS'!N344&amp;""))&gt;0),'DATOS'!N344,""),"Hay una entrada con error. Corregimos el dato antes de cerrar la comprobación.")</f>
      </c>
      <c r="L344" s="26">
        <f>IFERROR(IF(N344=0,"",IF(O344&gt;0,"Completamos datos, claves o motivo. ","")&amp;IF(P344&gt;0,"Cotejamos precios e importe. ","")&amp;IF(Q344&gt;0,"Aclaramos el cero. ","")&amp;IF(R344&gt;0,"Comprobamos el texto. ","")&amp;IF(S344&gt;0,"Revisamos decimales visibles. ","")&amp;IF(T344&gt;0,"Confirmamos la unidad.","")),"Hay una entrada con error. Corregimos el dato antes de cerrar la comprobación.")</f>
      </c>
      <c r="N344" s="29" t="n">
        <f>IF(COUNTA('DATOS'!B344:O344)&gt;0,1,0)</f>
        <v>0</v>
      </c>
      <c r="O344" s="29">
        <f>IFERROR(IF(N344=0,"",IF(OR(NOT(AND(LEN(TRIM('DATOS'!B344&amp;""))&gt;0,TRIM('DATOS'!B344&amp;"")&lt;&gt;"Pendiente",TRIM('DATOS'!B344&amp;"")&lt;&gt;"Por confirmar",TRIM('DATOS'!B344&amp;"")&lt;&gt;"No consta",TRIM('DATOS'!B344&amp;"")&lt;&gt;"Desconocido",TRIM('DATOS'!B344&amp;"")&lt;&gt;"Sin confirmar",TRIM('DATOS'!B344&amp;"")&lt;&gt;"Por decidir",TRIM('DATOS'!B344&amp;"")&lt;&gt;"Por comprobar")),NOT(AND(LEN(TRIM('DATOS'!C344&amp;""))&gt;0,TRIM('DATOS'!C344&amp;"")&lt;&gt;"Pendiente",TRIM('DATOS'!C344&amp;"")&lt;&gt;"Por confirmar",TRIM('DATOS'!C344&amp;"")&lt;&gt;"No consta",TRIM('DATOS'!C344&amp;"")&lt;&gt;"Desconocido",TRIM('DATOS'!C344&amp;"")&lt;&gt;"Sin confirmar",TRIM('DATOS'!C344&amp;"")&lt;&gt;"Por decidir",TRIM('DATOS'!C344&amp;"")&lt;&gt;"Por comprobar")),NOT(AND(LEN(TRIM('DATOS'!D344&amp;""))&gt;0,TRIM('DATOS'!D344&amp;"")&lt;&gt;"Pendiente",TRIM('DATOS'!D344&amp;"")&lt;&gt;"Por confirmar",TRIM('DATOS'!D344&amp;"")&lt;&gt;"No consta",TRIM('DATOS'!D344&amp;"")&lt;&gt;"Desconocido",TRIM('DATOS'!D344&amp;"")&lt;&gt;"Sin confirmar",TRIM('DATOS'!D344&amp;"")&lt;&gt;"Por decidir",TRIM('DATOS'!D344&amp;"")&lt;&gt;"Por comprobar")),NOT(AND(LEN(TRIM('DATOS'!E344&amp;""))&gt;0,TRIM('DATOS'!E344&amp;"")&lt;&gt;"Pendiente",TRIM('DATOS'!E344&amp;"")&lt;&gt;"Por confirmar",TRIM('DATOS'!E344&amp;"")&lt;&gt;"No consta",TRIM('DATOS'!E344&amp;"")&lt;&gt;"Desconocido",TRIM('DATOS'!E344&amp;"")&lt;&gt;"Sin confirmar",TRIM('DATOS'!E344&amp;"")&lt;&gt;"Por decidir",TRIM('DATOS'!E344&amp;"")&lt;&gt;"Por comprobar")),NOT(AND(LEN(TRIM('DATOS'!F344&amp;""))&gt;0,TRIM('DATOS'!F344&amp;"")&lt;&gt;"Pendiente",TRIM('DATOS'!F344&amp;"")&lt;&gt;"Por confirmar",TRIM('DATOS'!F344&amp;"")&lt;&gt;"No consta",TRIM('DATOS'!F344&amp;"")&lt;&gt;"Desconocido",TRIM('DATOS'!F344&amp;"")&lt;&gt;"Sin confirmar",TRIM('DATOS'!F344&amp;"")&lt;&gt;"Por decidir",TRIM('DATOS'!F344&amp;"")&lt;&gt;"Por comprobar")),NOT(AND(LEN(TRIM('DATOS'!N344&amp;""))&gt;0,TRIM('DATOS'!N344&amp;"")&lt;&gt;"Pendiente",TRIM('DATOS'!N344&amp;"")&lt;&gt;"Por confirmar",TRIM('DATOS'!N344&amp;"")&lt;&gt;"No consta",TRIM('DATOS'!N344&amp;"")&lt;&gt;"Desconocido",TRIM('DATOS'!N344&amp;"")&lt;&gt;"Sin confirmar",TRIM('DATOS'!N344&amp;"")&lt;&gt;"Por decidir",TRIM('DATOS'!N344&amp;"")&lt;&gt;"Por comprobar")),NOT(Y344=1),W344&lt;&gt;1,X344&gt;1,NOT(OR(LEN(TRIM('DATOS'!K344&amp;""))=0,'DATOS'!K344="Sin valorar",'DATOS'!K344="Sin coste documentado",'DATOS'!K344="Incluido en otra partida",'DATOS'!K344="Por confirmar")),NOT(OR(LEN(TRIM('DATOS'!M344&amp;""))=0,'DATOS'!M344="Sí",'DATOS'!M344="No",'DATOS'!M344="Por confirmar")),NOT(OR(LEN(TRIM('DATOS'!O344&amp;""))=0,'DATOS'!O344="Comparamos",'DATOS'!O344="No existe",'DATOS'!O344="Por confirmar"))),2,IF(AND(OR('DATOS'!G344&lt;0,'DATOS'!H344&lt;0,'DATOS'!J344&lt;0),NOT(AND(LEN(TRIM('DATOS'!L344&amp;""))&gt;0,TRIM('DATOS'!L344&amp;"")&lt;&gt;"Pendiente",TRIM('DATOS'!L344&amp;"")&lt;&gt;"Por confirmar",TRIM('DATOS'!L344&amp;"")&lt;&gt;"No consta",TRIM('DATOS'!L344&amp;"")&lt;&gt;"Desconocido",TRIM('DATOS'!L344&amp;"")&lt;&gt;"Sin confirmar",TRIM('DATOS'!L344&amp;"")&lt;&gt;"Por decidir",TRIM('DATOS'!L344&amp;"")&lt;&gt;"Por comprobar"))),1,0))),2)</f>
      </c>
      <c r="P344" s="29">
        <f>IFERROR(IF(N344=0,"",IF(NOT(Y344=1),1,IF('REFERENCIAS'!$Q$8&lt;&gt;1,2,IF(ABS('DATOS'!J344-ROUND('DATOS'!G344*'DATOS'!H344,'REFERENCIAS'!$K$8))&gt;0.00000001,2,IF('DATOS'!O344="No existe",IF(LEN(TRIM('DATOS'!I344&amp;""))=0,0,2),IF('DATOS'!O344="Comparamos",IF(LEN(TRIM('DATOS'!I344&amp;""))=0,1,IF(ISNUMBER('DATOS'!I344),IF(ABS('DATOS'!H344-'DATOS'!I344)&gt;0.00000001,2,0),2)),1)))))),2)</f>
      </c>
      <c r="Q344" s="29">
        <f>IFERROR(IF(N344=0,"",IF(NOT(Y344=1),1,IF('DATOS'!K344="Sin valorar",2,IF('DATOS'!G344=0,1,IF(OR('DATOS'!H344=0,'DATOS'!J344=0),IF(AND(OR('DATOS'!K344="Sin coste documentado",'DATOS'!K344="Incluido en otra partida"),AND(LEN(TRIM('DATOS'!L344&amp;""))&gt;0,TRIM('DATOS'!L344&amp;"")&lt;&gt;"Pendiente",TRIM('DATOS'!L344&amp;"")&lt;&gt;"Por confirmar",TRIM('DATOS'!L344&amp;"")&lt;&gt;"No consta",TRIM('DATOS'!L344&amp;"")&lt;&gt;"Desconocido",TRIM('DATOS'!L344&amp;"")&lt;&gt;"Sin confirmar",TRIM('DATOS'!L344&amp;"")&lt;&gt;"Por decidir",TRIM('DATOS'!L344&amp;"")&lt;&gt;"Por comprobar")),0,1),0))))),2)</f>
      </c>
      <c r="R344" s="29">
        <f>IFERROR(IF(N344=0,"",IF(OR(NOT(AND(LEN(TRIM('DATOS'!D344&amp;""))&gt;0,TRIM('DATOS'!D344&amp;"")&lt;&gt;"Pendiente",TRIM('DATOS'!D344&amp;"")&lt;&gt;"Por confirmar",TRIM('DATOS'!D344&amp;"")&lt;&gt;"No consta",TRIM('DATOS'!D344&amp;"")&lt;&gt;"Desconocido",TRIM('DATOS'!D344&amp;"")&lt;&gt;"Sin confirmar",TRIM('DATOS'!D344&amp;"")&lt;&gt;"Por decidir",TRIM('DATOS'!D344&amp;"")&lt;&gt;"Por comprobar")),NOT(AND(LEN(TRIM('DATOS'!E344&amp;""))&gt;0,TRIM('DATOS'!E344&amp;"")&lt;&gt;"Pendiente",TRIM('DATOS'!E344&amp;"")&lt;&gt;"Por confirmar",TRIM('DATOS'!E344&amp;"")&lt;&gt;"No consta",TRIM('DATOS'!E344&amp;"")&lt;&gt;"Desconocido",TRIM('DATOS'!E344&amp;"")&lt;&gt;"Sin confirmar",TRIM('DATOS'!E344&amp;"")&lt;&gt;"Por decidir",TRIM('DATOS'!E344&amp;"")&lt;&gt;"Por comprobar"))),2,IF('DATOS'!M344="No",2,IF('DATOS'!M344="Sí",0,IF(OR('DATOS'!D344&lt;&gt;'DATOS'!E344,LEN('DATOS'!E344)&gt;300,RIGHT(TRIM('DATOS'!E344),3)="...",RIGHT(TRIM('DATOS'!E344),1)="…"),1,0))))),2)</f>
      </c>
      <c r="S344" s="29">
        <f>IFERROR(IF(N344=0,"",IF('REFERENCIAS'!$Q$8&lt;&gt;1,2,IF(NOT(Y344=1),1,IF(OR(ABS('DATOS'!G344-ROUND('DATOS'!G344,'REFERENCIAS'!$E$8))&gt;0.00000001,ABS('DATOS'!H344-ROUND('DATOS'!H344,'REFERENCIAS'!$H$8))&gt;0.00000001,ABS('DATOS'!J344-ROUND('DATOS'!J344,'REFERENCIAS'!$K$8))&gt;0.00000001,IF(ISNUMBER('DATOS'!I344),ABS('DATOS'!I344-ROUND('DATOS'!I344,'REFERENCIAS'!$H$8))&gt;0.00000001,FALSE)),1,0)))),2)</f>
      </c>
      <c r="T344" s="29">
        <f>IFERROR(IF(N344=0,"",IF(NOT(AND(LEN(TRIM('DATOS'!F344&amp;""))&gt;0,TRIM('DATOS'!F344&amp;"")&lt;&gt;"Pendiente",TRIM('DATOS'!F344&amp;"")&lt;&gt;"Por confirmar",TRIM('DATOS'!F344&amp;"")&lt;&gt;"No consta",TRIM('DATOS'!F344&amp;"")&lt;&gt;"Desconocido",TRIM('DATOS'!F344&amp;"")&lt;&gt;"Sin confirmar",TRIM('DATOS'!F344&amp;"")&lt;&gt;"Por decidir",TRIM('DATOS'!F344&amp;"")&lt;&gt;"Por comprobar")),2,IF(COUNTIFS('REFERENCIAS'!$T$15:$T$34,"ID:"&amp;SUBSTITUTE(SUBSTITUTE(SUBSTITUTE(SUBSTITUTE(UPPER(TRIM('DATOS'!F344&amp;"")),"!","!E"),"*","!A"),"?","!B"),"~","!C"),'REFERENCIAS'!$H$15:$H$34,"&lt;&gt;")&gt;0,0,1))),2)</f>
      </c>
      <c r="U344" s="29" t="str">
        <f>'DATOS'!R344</f>
        <v>ID:</v>
      </c>
      <c r="V344" s="29" t="str">
        <f>'DATOS'!S344</f>
        <v>ID:</v>
      </c>
      <c r="W344" s="29" t="n">
        <f>IF(N344=0,0,COUNTIFS('REFERENCIAS'!$R$15:$R$64,U344))</f>
        <v>0</v>
      </c>
      <c r="X344" s="29" t="n">
        <f>IF(N344=0,0,COUNTIFS('DATOS'!$R$10:$R$509,U344,'DATOS'!$S$10:$S$509,V344))</f>
        <v>0</v>
      </c>
      <c r="Y344" s="29" t="n">
        <f>IF(AND(ISNUMBER('DATOS'!G344),ISNUMBER('DATOS'!H344),ISNUMBER('DATOS'!J344)),1,0)</f>
        <v>0</v>
      </c>
    </row>
    <row r="345" ht="64" customHeight="1">
      <c r="B345" s="26">
        <f>IF(N345=1,336,"")</f>
      </c>
      <c r="C345" s="26">
        <f>IF(AND(N345=1,LEN(TRIM('DATOS'!B345&amp;""))&gt;0),'DATOS'!B345,"")</f>
      </c>
      <c r="D345" s="26">
        <f>IF(AND(N345=1,LEN(TRIM('DATOS'!C345&amp;""))&gt;0),'DATOS'!C345,"")</f>
      </c>
      <c r="E345" s="26">
        <f>IF(NOT(ISNUMBER(P345)),"",IF(P345=2,"ROJO",IF(P345=1,"ÁMBAR","VERDE")))</f>
      </c>
      <c r="F345" s="26">
        <f>IF(NOT(ISNUMBER(Q345)),"",IF(Q345=2,"ROJO",IF(Q345=1,"ÁMBAR","VERDE")))</f>
      </c>
      <c r="G345" s="26">
        <f>IF(NOT(ISNUMBER(R345)),"",IF(R345=2,"ROJO",IF(R345=1,"ÁMBAR","VERDE")))</f>
      </c>
      <c r="H345" s="26">
        <f>IF(NOT(ISNUMBER(S345)),"",IF(S345=2,"ROJO",IF(S345=1,"ÁMBAR","VERDE")))</f>
      </c>
      <c r="I345" s="26">
        <f>IF(NOT(ISNUMBER(T345)),"",IF(T345=2,"ROJO",IF(T345=1,"ÁMBAR","VERDE")))</f>
      </c>
      <c r="J345" s="26">
        <f>IF(NOT(ISNUMBER(O345)),"",IF(O345=2,"ROJO",IF(O345=1,"ÁMBAR","VERDE")))</f>
      </c>
      <c r="K345" s="26">
        <f>IFERROR(IF(AND(N345=1,LEN(TRIM('DATOS'!N345&amp;""))&gt;0),'DATOS'!N345,""),"Hay una entrada con error. Corregimos el dato antes de cerrar la comprobación.")</f>
      </c>
      <c r="L345" s="26">
        <f>IFERROR(IF(N345=0,"",IF(O345&gt;0,"Completamos datos, claves o motivo. ","")&amp;IF(P345&gt;0,"Cotejamos precios e importe. ","")&amp;IF(Q345&gt;0,"Aclaramos el cero. ","")&amp;IF(R345&gt;0,"Comprobamos el texto. ","")&amp;IF(S345&gt;0,"Revisamos decimales visibles. ","")&amp;IF(T345&gt;0,"Confirmamos la unidad.","")),"Hay una entrada con error. Corregimos el dato antes de cerrar la comprobación.")</f>
      </c>
      <c r="N345" s="29" t="n">
        <f>IF(COUNTA('DATOS'!B345:O345)&gt;0,1,0)</f>
        <v>0</v>
      </c>
      <c r="O345" s="29">
        <f>IFERROR(IF(N345=0,"",IF(OR(NOT(AND(LEN(TRIM('DATOS'!B345&amp;""))&gt;0,TRIM('DATOS'!B345&amp;"")&lt;&gt;"Pendiente",TRIM('DATOS'!B345&amp;"")&lt;&gt;"Por confirmar",TRIM('DATOS'!B345&amp;"")&lt;&gt;"No consta",TRIM('DATOS'!B345&amp;"")&lt;&gt;"Desconocido",TRIM('DATOS'!B345&amp;"")&lt;&gt;"Sin confirmar",TRIM('DATOS'!B345&amp;"")&lt;&gt;"Por decidir",TRIM('DATOS'!B345&amp;"")&lt;&gt;"Por comprobar")),NOT(AND(LEN(TRIM('DATOS'!C345&amp;""))&gt;0,TRIM('DATOS'!C345&amp;"")&lt;&gt;"Pendiente",TRIM('DATOS'!C345&amp;"")&lt;&gt;"Por confirmar",TRIM('DATOS'!C345&amp;"")&lt;&gt;"No consta",TRIM('DATOS'!C345&amp;"")&lt;&gt;"Desconocido",TRIM('DATOS'!C345&amp;"")&lt;&gt;"Sin confirmar",TRIM('DATOS'!C345&amp;"")&lt;&gt;"Por decidir",TRIM('DATOS'!C345&amp;"")&lt;&gt;"Por comprobar")),NOT(AND(LEN(TRIM('DATOS'!D345&amp;""))&gt;0,TRIM('DATOS'!D345&amp;"")&lt;&gt;"Pendiente",TRIM('DATOS'!D345&amp;"")&lt;&gt;"Por confirmar",TRIM('DATOS'!D345&amp;"")&lt;&gt;"No consta",TRIM('DATOS'!D345&amp;"")&lt;&gt;"Desconocido",TRIM('DATOS'!D345&amp;"")&lt;&gt;"Sin confirmar",TRIM('DATOS'!D345&amp;"")&lt;&gt;"Por decidir",TRIM('DATOS'!D345&amp;"")&lt;&gt;"Por comprobar")),NOT(AND(LEN(TRIM('DATOS'!E345&amp;""))&gt;0,TRIM('DATOS'!E345&amp;"")&lt;&gt;"Pendiente",TRIM('DATOS'!E345&amp;"")&lt;&gt;"Por confirmar",TRIM('DATOS'!E345&amp;"")&lt;&gt;"No consta",TRIM('DATOS'!E345&amp;"")&lt;&gt;"Desconocido",TRIM('DATOS'!E345&amp;"")&lt;&gt;"Sin confirmar",TRIM('DATOS'!E345&amp;"")&lt;&gt;"Por decidir",TRIM('DATOS'!E345&amp;"")&lt;&gt;"Por comprobar")),NOT(AND(LEN(TRIM('DATOS'!F345&amp;""))&gt;0,TRIM('DATOS'!F345&amp;"")&lt;&gt;"Pendiente",TRIM('DATOS'!F345&amp;"")&lt;&gt;"Por confirmar",TRIM('DATOS'!F345&amp;"")&lt;&gt;"No consta",TRIM('DATOS'!F345&amp;"")&lt;&gt;"Desconocido",TRIM('DATOS'!F345&amp;"")&lt;&gt;"Sin confirmar",TRIM('DATOS'!F345&amp;"")&lt;&gt;"Por decidir",TRIM('DATOS'!F345&amp;"")&lt;&gt;"Por comprobar")),NOT(AND(LEN(TRIM('DATOS'!N345&amp;""))&gt;0,TRIM('DATOS'!N345&amp;"")&lt;&gt;"Pendiente",TRIM('DATOS'!N345&amp;"")&lt;&gt;"Por confirmar",TRIM('DATOS'!N345&amp;"")&lt;&gt;"No consta",TRIM('DATOS'!N345&amp;"")&lt;&gt;"Desconocido",TRIM('DATOS'!N345&amp;"")&lt;&gt;"Sin confirmar",TRIM('DATOS'!N345&amp;"")&lt;&gt;"Por decidir",TRIM('DATOS'!N345&amp;"")&lt;&gt;"Por comprobar")),NOT(Y345=1),W345&lt;&gt;1,X345&gt;1,NOT(OR(LEN(TRIM('DATOS'!K345&amp;""))=0,'DATOS'!K345="Sin valorar",'DATOS'!K345="Sin coste documentado",'DATOS'!K345="Incluido en otra partida",'DATOS'!K345="Por confirmar")),NOT(OR(LEN(TRIM('DATOS'!M345&amp;""))=0,'DATOS'!M345="Sí",'DATOS'!M345="No",'DATOS'!M345="Por confirmar")),NOT(OR(LEN(TRIM('DATOS'!O345&amp;""))=0,'DATOS'!O345="Comparamos",'DATOS'!O345="No existe",'DATOS'!O345="Por confirmar"))),2,IF(AND(OR('DATOS'!G345&lt;0,'DATOS'!H345&lt;0,'DATOS'!J345&lt;0),NOT(AND(LEN(TRIM('DATOS'!L345&amp;""))&gt;0,TRIM('DATOS'!L345&amp;"")&lt;&gt;"Pendiente",TRIM('DATOS'!L345&amp;"")&lt;&gt;"Por confirmar",TRIM('DATOS'!L345&amp;"")&lt;&gt;"No consta",TRIM('DATOS'!L345&amp;"")&lt;&gt;"Desconocido",TRIM('DATOS'!L345&amp;"")&lt;&gt;"Sin confirmar",TRIM('DATOS'!L345&amp;"")&lt;&gt;"Por decidir",TRIM('DATOS'!L345&amp;"")&lt;&gt;"Por comprobar"))),1,0))),2)</f>
      </c>
      <c r="P345" s="29">
        <f>IFERROR(IF(N345=0,"",IF(NOT(Y345=1),1,IF('REFERENCIAS'!$Q$8&lt;&gt;1,2,IF(ABS('DATOS'!J345-ROUND('DATOS'!G345*'DATOS'!H345,'REFERENCIAS'!$K$8))&gt;0.00000001,2,IF('DATOS'!O345="No existe",IF(LEN(TRIM('DATOS'!I345&amp;""))=0,0,2),IF('DATOS'!O345="Comparamos",IF(LEN(TRIM('DATOS'!I345&amp;""))=0,1,IF(ISNUMBER('DATOS'!I345),IF(ABS('DATOS'!H345-'DATOS'!I345)&gt;0.00000001,2,0),2)),1)))))),2)</f>
      </c>
      <c r="Q345" s="29">
        <f>IFERROR(IF(N345=0,"",IF(NOT(Y345=1),1,IF('DATOS'!K345="Sin valorar",2,IF('DATOS'!G345=0,1,IF(OR('DATOS'!H345=0,'DATOS'!J345=0),IF(AND(OR('DATOS'!K345="Sin coste documentado",'DATOS'!K345="Incluido en otra partida"),AND(LEN(TRIM('DATOS'!L345&amp;""))&gt;0,TRIM('DATOS'!L345&amp;"")&lt;&gt;"Pendiente",TRIM('DATOS'!L345&amp;"")&lt;&gt;"Por confirmar",TRIM('DATOS'!L345&amp;"")&lt;&gt;"No consta",TRIM('DATOS'!L345&amp;"")&lt;&gt;"Desconocido",TRIM('DATOS'!L345&amp;"")&lt;&gt;"Sin confirmar",TRIM('DATOS'!L345&amp;"")&lt;&gt;"Por decidir",TRIM('DATOS'!L345&amp;"")&lt;&gt;"Por comprobar")),0,1),0))))),2)</f>
      </c>
      <c r="R345" s="29">
        <f>IFERROR(IF(N345=0,"",IF(OR(NOT(AND(LEN(TRIM('DATOS'!D345&amp;""))&gt;0,TRIM('DATOS'!D345&amp;"")&lt;&gt;"Pendiente",TRIM('DATOS'!D345&amp;"")&lt;&gt;"Por confirmar",TRIM('DATOS'!D345&amp;"")&lt;&gt;"No consta",TRIM('DATOS'!D345&amp;"")&lt;&gt;"Desconocido",TRIM('DATOS'!D345&amp;"")&lt;&gt;"Sin confirmar",TRIM('DATOS'!D345&amp;"")&lt;&gt;"Por decidir",TRIM('DATOS'!D345&amp;"")&lt;&gt;"Por comprobar")),NOT(AND(LEN(TRIM('DATOS'!E345&amp;""))&gt;0,TRIM('DATOS'!E345&amp;"")&lt;&gt;"Pendiente",TRIM('DATOS'!E345&amp;"")&lt;&gt;"Por confirmar",TRIM('DATOS'!E345&amp;"")&lt;&gt;"No consta",TRIM('DATOS'!E345&amp;"")&lt;&gt;"Desconocido",TRIM('DATOS'!E345&amp;"")&lt;&gt;"Sin confirmar",TRIM('DATOS'!E345&amp;"")&lt;&gt;"Por decidir",TRIM('DATOS'!E345&amp;"")&lt;&gt;"Por comprobar"))),2,IF('DATOS'!M345="No",2,IF('DATOS'!M345="Sí",0,IF(OR('DATOS'!D345&lt;&gt;'DATOS'!E345,LEN('DATOS'!E345)&gt;300,RIGHT(TRIM('DATOS'!E345),3)="...",RIGHT(TRIM('DATOS'!E345),1)="…"),1,0))))),2)</f>
      </c>
      <c r="S345" s="29">
        <f>IFERROR(IF(N345=0,"",IF('REFERENCIAS'!$Q$8&lt;&gt;1,2,IF(NOT(Y345=1),1,IF(OR(ABS('DATOS'!G345-ROUND('DATOS'!G345,'REFERENCIAS'!$E$8))&gt;0.00000001,ABS('DATOS'!H345-ROUND('DATOS'!H345,'REFERENCIAS'!$H$8))&gt;0.00000001,ABS('DATOS'!J345-ROUND('DATOS'!J345,'REFERENCIAS'!$K$8))&gt;0.00000001,IF(ISNUMBER('DATOS'!I345),ABS('DATOS'!I345-ROUND('DATOS'!I345,'REFERENCIAS'!$H$8))&gt;0.00000001,FALSE)),1,0)))),2)</f>
      </c>
      <c r="T345" s="29">
        <f>IFERROR(IF(N345=0,"",IF(NOT(AND(LEN(TRIM('DATOS'!F345&amp;""))&gt;0,TRIM('DATOS'!F345&amp;"")&lt;&gt;"Pendiente",TRIM('DATOS'!F345&amp;"")&lt;&gt;"Por confirmar",TRIM('DATOS'!F345&amp;"")&lt;&gt;"No consta",TRIM('DATOS'!F345&amp;"")&lt;&gt;"Desconocido",TRIM('DATOS'!F345&amp;"")&lt;&gt;"Sin confirmar",TRIM('DATOS'!F345&amp;"")&lt;&gt;"Por decidir",TRIM('DATOS'!F345&amp;"")&lt;&gt;"Por comprobar")),2,IF(COUNTIFS('REFERENCIAS'!$T$15:$T$34,"ID:"&amp;SUBSTITUTE(SUBSTITUTE(SUBSTITUTE(SUBSTITUTE(UPPER(TRIM('DATOS'!F345&amp;"")),"!","!E"),"*","!A"),"?","!B"),"~","!C"),'REFERENCIAS'!$H$15:$H$34,"&lt;&gt;")&gt;0,0,1))),2)</f>
      </c>
      <c r="U345" s="29" t="str">
        <f>'DATOS'!R345</f>
        <v>ID:</v>
      </c>
      <c r="V345" s="29" t="str">
        <f>'DATOS'!S345</f>
        <v>ID:</v>
      </c>
      <c r="W345" s="29" t="n">
        <f>IF(N345=0,0,COUNTIFS('REFERENCIAS'!$R$15:$R$64,U345))</f>
        <v>0</v>
      </c>
      <c r="X345" s="29" t="n">
        <f>IF(N345=0,0,COUNTIFS('DATOS'!$R$10:$R$509,U345,'DATOS'!$S$10:$S$509,V345))</f>
        <v>0</v>
      </c>
      <c r="Y345" s="29" t="n">
        <f>IF(AND(ISNUMBER('DATOS'!G345),ISNUMBER('DATOS'!H345),ISNUMBER('DATOS'!J345)),1,0)</f>
        <v>0</v>
      </c>
    </row>
    <row r="346" ht="64" customHeight="1">
      <c r="B346" s="26">
        <f>IF(N346=1,337,"")</f>
      </c>
      <c r="C346" s="26">
        <f>IF(AND(N346=1,LEN(TRIM('DATOS'!B346&amp;""))&gt;0),'DATOS'!B346,"")</f>
      </c>
      <c r="D346" s="26">
        <f>IF(AND(N346=1,LEN(TRIM('DATOS'!C346&amp;""))&gt;0),'DATOS'!C346,"")</f>
      </c>
      <c r="E346" s="26">
        <f>IF(NOT(ISNUMBER(P346)),"",IF(P346=2,"ROJO",IF(P346=1,"ÁMBAR","VERDE")))</f>
      </c>
      <c r="F346" s="26">
        <f>IF(NOT(ISNUMBER(Q346)),"",IF(Q346=2,"ROJO",IF(Q346=1,"ÁMBAR","VERDE")))</f>
      </c>
      <c r="G346" s="26">
        <f>IF(NOT(ISNUMBER(R346)),"",IF(R346=2,"ROJO",IF(R346=1,"ÁMBAR","VERDE")))</f>
      </c>
      <c r="H346" s="26">
        <f>IF(NOT(ISNUMBER(S346)),"",IF(S346=2,"ROJO",IF(S346=1,"ÁMBAR","VERDE")))</f>
      </c>
      <c r="I346" s="26">
        <f>IF(NOT(ISNUMBER(T346)),"",IF(T346=2,"ROJO",IF(T346=1,"ÁMBAR","VERDE")))</f>
      </c>
      <c r="J346" s="26">
        <f>IF(NOT(ISNUMBER(O346)),"",IF(O346=2,"ROJO",IF(O346=1,"ÁMBAR","VERDE")))</f>
      </c>
      <c r="K346" s="26">
        <f>IFERROR(IF(AND(N346=1,LEN(TRIM('DATOS'!N346&amp;""))&gt;0),'DATOS'!N346,""),"Hay una entrada con error. Corregimos el dato antes de cerrar la comprobación.")</f>
      </c>
      <c r="L346" s="26">
        <f>IFERROR(IF(N346=0,"",IF(O346&gt;0,"Completamos datos, claves o motivo. ","")&amp;IF(P346&gt;0,"Cotejamos precios e importe. ","")&amp;IF(Q346&gt;0,"Aclaramos el cero. ","")&amp;IF(R346&gt;0,"Comprobamos el texto. ","")&amp;IF(S346&gt;0,"Revisamos decimales visibles. ","")&amp;IF(T346&gt;0,"Confirmamos la unidad.","")),"Hay una entrada con error. Corregimos el dato antes de cerrar la comprobación.")</f>
      </c>
      <c r="N346" s="29" t="n">
        <f>IF(COUNTA('DATOS'!B346:O346)&gt;0,1,0)</f>
        <v>0</v>
      </c>
      <c r="O346" s="29">
        <f>IFERROR(IF(N346=0,"",IF(OR(NOT(AND(LEN(TRIM('DATOS'!B346&amp;""))&gt;0,TRIM('DATOS'!B346&amp;"")&lt;&gt;"Pendiente",TRIM('DATOS'!B346&amp;"")&lt;&gt;"Por confirmar",TRIM('DATOS'!B346&amp;"")&lt;&gt;"No consta",TRIM('DATOS'!B346&amp;"")&lt;&gt;"Desconocido",TRIM('DATOS'!B346&amp;"")&lt;&gt;"Sin confirmar",TRIM('DATOS'!B346&amp;"")&lt;&gt;"Por decidir",TRIM('DATOS'!B346&amp;"")&lt;&gt;"Por comprobar")),NOT(AND(LEN(TRIM('DATOS'!C346&amp;""))&gt;0,TRIM('DATOS'!C346&amp;"")&lt;&gt;"Pendiente",TRIM('DATOS'!C346&amp;"")&lt;&gt;"Por confirmar",TRIM('DATOS'!C346&amp;"")&lt;&gt;"No consta",TRIM('DATOS'!C346&amp;"")&lt;&gt;"Desconocido",TRIM('DATOS'!C346&amp;"")&lt;&gt;"Sin confirmar",TRIM('DATOS'!C346&amp;"")&lt;&gt;"Por decidir",TRIM('DATOS'!C346&amp;"")&lt;&gt;"Por comprobar")),NOT(AND(LEN(TRIM('DATOS'!D346&amp;""))&gt;0,TRIM('DATOS'!D346&amp;"")&lt;&gt;"Pendiente",TRIM('DATOS'!D346&amp;"")&lt;&gt;"Por confirmar",TRIM('DATOS'!D346&amp;"")&lt;&gt;"No consta",TRIM('DATOS'!D346&amp;"")&lt;&gt;"Desconocido",TRIM('DATOS'!D346&amp;"")&lt;&gt;"Sin confirmar",TRIM('DATOS'!D346&amp;"")&lt;&gt;"Por decidir",TRIM('DATOS'!D346&amp;"")&lt;&gt;"Por comprobar")),NOT(AND(LEN(TRIM('DATOS'!E346&amp;""))&gt;0,TRIM('DATOS'!E346&amp;"")&lt;&gt;"Pendiente",TRIM('DATOS'!E346&amp;"")&lt;&gt;"Por confirmar",TRIM('DATOS'!E346&amp;"")&lt;&gt;"No consta",TRIM('DATOS'!E346&amp;"")&lt;&gt;"Desconocido",TRIM('DATOS'!E346&amp;"")&lt;&gt;"Sin confirmar",TRIM('DATOS'!E346&amp;"")&lt;&gt;"Por decidir",TRIM('DATOS'!E346&amp;"")&lt;&gt;"Por comprobar")),NOT(AND(LEN(TRIM('DATOS'!F346&amp;""))&gt;0,TRIM('DATOS'!F346&amp;"")&lt;&gt;"Pendiente",TRIM('DATOS'!F346&amp;"")&lt;&gt;"Por confirmar",TRIM('DATOS'!F346&amp;"")&lt;&gt;"No consta",TRIM('DATOS'!F346&amp;"")&lt;&gt;"Desconocido",TRIM('DATOS'!F346&amp;"")&lt;&gt;"Sin confirmar",TRIM('DATOS'!F346&amp;"")&lt;&gt;"Por decidir",TRIM('DATOS'!F346&amp;"")&lt;&gt;"Por comprobar")),NOT(AND(LEN(TRIM('DATOS'!N346&amp;""))&gt;0,TRIM('DATOS'!N346&amp;"")&lt;&gt;"Pendiente",TRIM('DATOS'!N346&amp;"")&lt;&gt;"Por confirmar",TRIM('DATOS'!N346&amp;"")&lt;&gt;"No consta",TRIM('DATOS'!N346&amp;"")&lt;&gt;"Desconocido",TRIM('DATOS'!N346&amp;"")&lt;&gt;"Sin confirmar",TRIM('DATOS'!N346&amp;"")&lt;&gt;"Por decidir",TRIM('DATOS'!N346&amp;"")&lt;&gt;"Por comprobar")),NOT(Y346=1),W346&lt;&gt;1,X346&gt;1,NOT(OR(LEN(TRIM('DATOS'!K346&amp;""))=0,'DATOS'!K346="Sin valorar",'DATOS'!K346="Sin coste documentado",'DATOS'!K346="Incluido en otra partida",'DATOS'!K346="Por confirmar")),NOT(OR(LEN(TRIM('DATOS'!M346&amp;""))=0,'DATOS'!M346="Sí",'DATOS'!M346="No",'DATOS'!M346="Por confirmar")),NOT(OR(LEN(TRIM('DATOS'!O346&amp;""))=0,'DATOS'!O346="Comparamos",'DATOS'!O346="No existe",'DATOS'!O346="Por confirmar"))),2,IF(AND(OR('DATOS'!G346&lt;0,'DATOS'!H346&lt;0,'DATOS'!J346&lt;0),NOT(AND(LEN(TRIM('DATOS'!L346&amp;""))&gt;0,TRIM('DATOS'!L346&amp;"")&lt;&gt;"Pendiente",TRIM('DATOS'!L346&amp;"")&lt;&gt;"Por confirmar",TRIM('DATOS'!L346&amp;"")&lt;&gt;"No consta",TRIM('DATOS'!L346&amp;"")&lt;&gt;"Desconocido",TRIM('DATOS'!L346&amp;"")&lt;&gt;"Sin confirmar",TRIM('DATOS'!L346&amp;"")&lt;&gt;"Por decidir",TRIM('DATOS'!L346&amp;"")&lt;&gt;"Por comprobar"))),1,0))),2)</f>
      </c>
      <c r="P346" s="29">
        <f>IFERROR(IF(N346=0,"",IF(NOT(Y346=1),1,IF('REFERENCIAS'!$Q$8&lt;&gt;1,2,IF(ABS('DATOS'!J346-ROUND('DATOS'!G346*'DATOS'!H346,'REFERENCIAS'!$K$8))&gt;0.00000001,2,IF('DATOS'!O346="No existe",IF(LEN(TRIM('DATOS'!I346&amp;""))=0,0,2),IF('DATOS'!O346="Comparamos",IF(LEN(TRIM('DATOS'!I346&amp;""))=0,1,IF(ISNUMBER('DATOS'!I346),IF(ABS('DATOS'!H346-'DATOS'!I346)&gt;0.00000001,2,0),2)),1)))))),2)</f>
      </c>
      <c r="Q346" s="29">
        <f>IFERROR(IF(N346=0,"",IF(NOT(Y346=1),1,IF('DATOS'!K346="Sin valorar",2,IF('DATOS'!G346=0,1,IF(OR('DATOS'!H346=0,'DATOS'!J346=0),IF(AND(OR('DATOS'!K346="Sin coste documentado",'DATOS'!K346="Incluido en otra partida"),AND(LEN(TRIM('DATOS'!L346&amp;""))&gt;0,TRIM('DATOS'!L346&amp;"")&lt;&gt;"Pendiente",TRIM('DATOS'!L346&amp;"")&lt;&gt;"Por confirmar",TRIM('DATOS'!L346&amp;"")&lt;&gt;"No consta",TRIM('DATOS'!L346&amp;"")&lt;&gt;"Desconocido",TRIM('DATOS'!L346&amp;"")&lt;&gt;"Sin confirmar",TRIM('DATOS'!L346&amp;"")&lt;&gt;"Por decidir",TRIM('DATOS'!L346&amp;"")&lt;&gt;"Por comprobar")),0,1),0))))),2)</f>
      </c>
      <c r="R346" s="29">
        <f>IFERROR(IF(N346=0,"",IF(OR(NOT(AND(LEN(TRIM('DATOS'!D346&amp;""))&gt;0,TRIM('DATOS'!D346&amp;"")&lt;&gt;"Pendiente",TRIM('DATOS'!D346&amp;"")&lt;&gt;"Por confirmar",TRIM('DATOS'!D346&amp;"")&lt;&gt;"No consta",TRIM('DATOS'!D346&amp;"")&lt;&gt;"Desconocido",TRIM('DATOS'!D346&amp;"")&lt;&gt;"Sin confirmar",TRIM('DATOS'!D346&amp;"")&lt;&gt;"Por decidir",TRIM('DATOS'!D346&amp;"")&lt;&gt;"Por comprobar")),NOT(AND(LEN(TRIM('DATOS'!E346&amp;""))&gt;0,TRIM('DATOS'!E346&amp;"")&lt;&gt;"Pendiente",TRIM('DATOS'!E346&amp;"")&lt;&gt;"Por confirmar",TRIM('DATOS'!E346&amp;"")&lt;&gt;"No consta",TRIM('DATOS'!E346&amp;"")&lt;&gt;"Desconocido",TRIM('DATOS'!E346&amp;"")&lt;&gt;"Sin confirmar",TRIM('DATOS'!E346&amp;"")&lt;&gt;"Por decidir",TRIM('DATOS'!E346&amp;"")&lt;&gt;"Por comprobar"))),2,IF('DATOS'!M346="No",2,IF('DATOS'!M346="Sí",0,IF(OR('DATOS'!D346&lt;&gt;'DATOS'!E346,LEN('DATOS'!E346)&gt;300,RIGHT(TRIM('DATOS'!E346),3)="...",RIGHT(TRIM('DATOS'!E346),1)="…"),1,0))))),2)</f>
      </c>
      <c r="S346" s="29">
        <f>IFERROR(IF(N346=0,"",IF('REFERENCIAS'!$Q$8&lt;&gt;1,2,IF(NOT(Y346=1),1,IF(OR(ABS('DATOS'!G346-ROUND('DATOS'!G346,'REFERENCIAS'!$E$8))&gt;0.00000001,ABS('DATOS'!H346-ROUND('DATOS'!H346,'REFERENCIAS'!$H$8))&gt;0.00000001,ABS('DATOS'!J346-ROUND('DATOS'!J346,'REFERENCIAS'!$K$8))&gt;0.00000001,IF(ISNUMBER('DATOS'!I346),ABS('DATOS'!I346-ROUND('DATOS'!I346,'REFERENCIAS'!$H$8))&gt;0.00000001,FALSE)),1,0)))),2)</f>
      </c>
      <c r="T346" s="29">
        <f>IFERROR(IF(N346=0,"",IF(NOT(AND(LEN(TRIM('DATOS'!F346&amp;""))&gt;0,TRIM('DATOS'!F346&amp;"")&lt;&gt;"Pendiente",TRIM('DATOS'!F346&amp;"")&lt;&gt;"Por confirmar",TRIM('DATOS'!F346&amp;"")&lt;&gt;"No consta",TRIM('DATOS'!F346&amp;"")&lt;&gt;"Desconocido",TRIM('DATOS'!F346&amp;"")&lt;&gt;"Sin confirmar",TRIM('DATOS'!F346&amp;"")&lt;&gt;"Por decidir",TRIM('DATOS'!F346&amp;"")&lt;&gt;"Por comprobar")),2,IF(COUNTIFS('REFERENCIAS'!$T$15:$T$34,"ID:"&amp;SUBSTITUTE(SUBSTITUTE(SUBSTITUTE(SUBSTITUTE(UPPER(TRIM('DATOS'!F346&amp;"")),"!","!E"),"*","!A"),"?","!B"),"~","!C"),'REFERENCIAS'!$H$15:$H$34,"&lt;&gt;")&gt;0,0,1))),2)</f>
      </c>
      <c r="U346" s="29" t="str">
        <f>'DATOS'!R346</f>
        <v>ID:</v>
      </c>
      <c r="V346" s="29" t="str">
        <f>'DATOS'!S346</f>
        <v>ID:</v>
      </c>
      <c r="W346" s="29" t="n">
        <f>IF(N346=0,0,COUNTIFS('REFERENCIAS'!$R$15:$R$64,U346))</f>
        <v>0</v>
      </c>
      <c r="X346" s="29" t="n">
        <f>IF(N346=0,0,COUNTIFS('DATOS'!$R$10:$R$509,U346,'DATOS'!$S$10:$S$509,V346))</f>
        <v>0</v>
      </c>
      <c r="Y346" s="29" t="n">
        <f>IF(AND(ISNUMBER('DATOS'!G346),ISNUMBER('DATOS'!H346),ISNUMBER('DATOS'!J346)),1,0)</f>
        <v>0</v>
      </c>
    </row>
    <row r="347" ht="64" customHeight="1">
      <c r="B347" s="26">
        <f>IF(N347=1,338,"")</f>
      </c>
      <c r="C347" s="26">
        <f>IF(AND(N347=1,LEN(TRIM('DATOS'!B347&amp;""))&gt;0),'DATOS'!B347,"")</f>
      </c>
      <c r="D347" s="26">
        <f>IF(AND(N347=1,LEN(TRIM('DATOS'!C347&amp;""))&gt;0),'DATOS'!C347,"")</f>
      </c>
      <c r="E347" s="26">
        <f>IF(NOT(ISNUMBER(P347)),"",IF(P347=2,"ROJO",IF(P347=1,"ÁMBAR","VERDE")))</f>
      </c>
      <c r="F347" s="26">
        <f>IF(NOT(ISNUMBER(Q347)),"",IF(Q347=2,"ROJO",IF(Q347=1,"ÁMBAR","VERDE")))</f>
      </c>
      <c r="G347" s="26">
        <f>IF(NOT(ISNUMBER(R347)),"",IF(R347=2,"ROJO",IF(R347=1,"ÁMBAR","VERDE")))</f>
      </c>
      <c r="H347" s="26">
        <f>IF(NOT(ISNUMBER(S347)),"",IF(S347=2,"ROJO",IF(S347=1,"ÁMBAR","VERDE")))</f>
      </c>
      <c r="I347" s="26">
        <f>IF(NOT(ISNUMBER(T347)),"",IF(T347=2,"ROJO",IF(T347=1,"ÁMBAR","VERDE")))</f>
      </c>
      <c r="J347" s="26">
        <f>IF(NOT(ISNUMBER(O347)),"",IF(O347=2,"ROJO",IF(O347=1,"ÁMBAR","VERDE")))</f>
      </c>
      <c r="K347" s="26">
        <f>IFERROR(IF(AND(N347=1,LEN(TRIM('DATOS'!N347&amp;""))&gt;0),'DATOS'!N347,""),"Hay una entrada con error. Corregimos el dato antes de cerrar la comprobación.")</f>
      </c>
      <c r="L347" s="26">
        <f>IFERROR(IF(N347=0,"",IF(O347&gt;0,"Completamos datos, claves o motivo. ","")&amp;IF(P347&gt;0,"Cotejamos precios e importe. ","")&amp;IF(Q347&gt;0,"Aclaramos el cero. ","")&amp;IF(R347&gt;0,"Comprobamos el texto. ","")&amp;IF(S347&gt;0,"Revisamos decimales visibles. ","")&amp;IF(T347&gt;0,"Confirmamos la unidad.","")),"Hay una entrada con error. Corregimos el dato antes de cerrar la comprobación.")</f>
      </c>
      <c r="N347" s="29" t="n">
        <f>IF(COUNTA('DATOS'!B347:O347)&gt;0,1,0)</f>
        <v>0</v>
      </c>
      <c r="O347" s="29">
        <f>IFERROR(IF(N347=0,"",IF(OR(NOT(AND(LEN(TRIM('DATOS'!B347&amp;""))&gt;0,TRIM('DATOS'!B347&amp;"")&lt;&gt;"Pendiente",TRIM('DATOS'!B347&amp;"")&lt;&gt;"Por confirmar",TRIM('DATOS'!B347&amp;"")&lt;&gt;"No consta",TRIM('DATOS'!B347&amp;"")&lt;&gt;"Desconocido",TRIM('DATOS'!B347&amp;"")&lt;&gt;"Sin confirmar",TRIM('DATOS'!B347&amp;"")&lt;&gt;"Por decidir",TRIM('DATOS'!B347&amp;"")&lt;&gt;"Por comprobar")),NOT(AND(LEN(TRIM('DATOS'!C347&amp;""))&gt;0,TRIM('DATOS'!C347&amp;"")&lt;&gt;"Pendiente",TRIM('DATOS'!C347&amp;"")&lt;&gt;"Por confirmar",TRIM('DATOS'!C347&amp;"")&lt;&gt;"No consta",TRIM('DATOS'!C347&amp;"")&lt;&gt;"Desconocido",TRIM('DATOS'!C347&amp;"")&lt;&gt;"Sin confirmar",TRIM('DATOS'!C347&amp;"")&lt;&gt;"Por decidir",TRIM('DATOS'!C347&amp;"")&lt;&gt;"Por comprobar")),NOT(AND(LEN(TRIM('DATOS'!D347&amp;""))&gt;0,TRIM('DATOS'!D347&amp;"")&lt;&gt;"Pendiente",TRIM('DATOS'!D347&amp;"")&lt;&gt;"Por confirmar",TRIM('DATOS'!D347&amp;"")&lt;&gt;"No consta",TRIM('DATOS'!D347&amp;"")&lt;&gt;"Desconocido",TRIM('DATOS'!D347&amp;"")&lt;&gt;"Sin confirmar",TRIM('DATOS'!D347&amp;"")&lt;&gt;"Por decidir",TRIM('DATOS'!D347&amp;"")&lt;&gt;"Por comprobar")),NOT(AND(LEN(TRIM('DATOS'!E347&amp;""))&gt;0,TRIM('DATOS'!E347&amp;"")&lt;&gt;"Pendiente",TRIM('DATOS'!E347&amp;"")&lt;&gt;"Por confirmar",TRIM('DATOS'!E347&amp;"")&lt;&gt;"No consta",TRIM('DATOS'!E347&amp;"")&lt;&gt;"Desconocido",TRIM('DATOS'!E347&amp;"")&lt;&gt;"Sin confirmar",TRIM('DATOS'!E347&amp;"")&lt;&gt;"Por decidir",TRIM('DATOS'!E347&amp;"")&lt;&gt;"Por comprobar")),NOT(AND(LEN(TRIM('DATOS'!F347&amp;""))&gt;0,TRIM('DATOS'!F347&amp;"")&lt;&gt;"Pendiente",TRIM('DATOS'!F347&amp;"")&lt;&gt;"Por confirmar",TRIM('DATOS'!F347&amp;"")&lt;&gt;"No consta",TRIM('DATOS'!F347&amp;"")&lt;&gt;"Desconocido",TRIM('DATOS'!F347&amp;"")&lt;&gt;"Sin confirmar",TRIM('DATOS'!F347&amp;"")&lt;&gt;"Por decidir",TRIM('DATOS'!F347&amp;"")&lt;&gt;"Por comprobar")),NOT(AND(LEN(TRIM('DATOS'!N347&amp;""))&gt;0,TRIM('DATOS'!N347&amp;"")&lt;&gt;"Pendiente",TRIM('DATOS'!N347&amp;"")&lt;&gt;"Por confirmar",TRIM('DATOS'!N347&amp;"")&lt;&gt;"No consta",TRIM('DATOS'!N347&amp;"")&lt;&gt;"Desconocido",TRIM('DATOS'!N347&amp;"")&lt;&gt;"Sin confirmar",TRIM('DATOS'!N347&amp;"")&lt;&gt;"Por decidir",TRIM('DATOS'!N347&amp;"")&lt;&gt;"Por comprobar")),NOT(Y347=1),W347&lt;&gt;1,X347&gt;1,NOT(OR(LEN(TRIM('DATOS'!K347&amp;""))=0,'DATOS'!K347="Sin valorar",'DATOS'!K347="Sin coste documentado",'DATOS'!K347="Incluido en otra partida",'DATOS'!K347="Por confirmar")),NOT(OR(LEN(TRIM('DATOS'!M347&amp;""))=0,'DATOS'!M347="Sí",'DATOS'!M347="No",'DATOS'!M347="Por confirmar")),NOT(OR(LEN(TRIM('DATOS'!O347&amp;""))=0,'DATOS'!O347="Comparamos",'DATOS'!O347="No existe",'DATOS'!O347="Por confirmar"))),2,IF(AND(OR('DATOS'!G347&lt;0,'DATOS'!H347&lt;0,'DATOS'!J347&lt;0),NOT(AND(LEN(TRIM('DATOS'!L347&amp;""))&gt;0,TRIM('DATOS'!L347&amp;"")&lt;&gt;"Pendiente",TRIM('DATOS'!L347&amp;"")&lt;&gt;"Por confirmar",TRIM('DATOS'!L347&amp;"")&lt;&gt;"No consta",TRIM('DATOS'!L347&amp;"")&lt;&gt;"Desconocido",TRIM('DATOS'!L347&amp;"")&lt;&gt;"Sin confirmar",TRIM('DATOS'!L347&amp;"")&lt;&gt;"Por decidir",TRIM('DATOS'!L347&amp;"")&lt;&gt;"Por comprobar"))),1,0))),2)</f>
      </c>
      <c r="P347" s="29">
        <f>IFERROR(IF(N347=0,"",IF(NOT(Y347=1),1,IF('REFERENCIAS'!$Q$8&lt;&gt;1,2,IF(ABS('DATOS'!J347-ROUND('DATOS'!G347*'DATOS'!H347,'REFERENCIAS'!$K$8))&gt;0.00000001,2,IF('DATOS'!O347="No existe",IF(LEN(TRIM('DATOS'!I347&amp;""))=0,0,2),IF('DATOS'!O347="Comparamos",IF(LEN(TRIM('DATOS'!I347&amp;""))=0,1,IF(ISNUMBER('DATOS'!I347),IF(ABS('DATOS'!H347-'DATOS'!I347)&gt;0.00000001,2,0),2)),1)))))),2)</f>
      </c>
      <c r="Q347" s="29">
        <f>IFERROR(IF(N347=0,"",IF(NOT(Y347=1),1,IF('DATOS'!K347="Sin valorar",2,IF('DATOS'!G347=0,1,IF(OR('DATOS'!H347=0,'DATOS'!J347=0),IF(AND(OR('DATOS'!K347="Sin coste documentado",'DATOS'!K347="Incluido en otra partida"),AND(LEN(TRIM('DATOS'!L347&amp;""))&gt;0,TRIM('DATOS'!L347&amp;"")&lt;&gt;"Pendiente",TRIM('DATOS'!L347&amp;"")&lt;&gt;"Por confirmar",TRIM('DATOS'!L347&amp;"")&lt;&gt;"No consta",TRIM('DATOS'!L347&amp;"")&lt;&gt;"Desconocido",TRIM('DATOS'!L347&amp;"")&lt;&gt;"Sin confirmar",TRIM('DATOS'!L347&amp;"")&lt;&gt;"Por decidir",TRIM('DATOS'!L347&amp;"")&lt;&gt;"Por comprobar")),0,1),0))))),2)</f>
      </c>
      <c r="R347" s="29">
        <f>IFERROR(IF(N347=0,"",IF(OR(NOT(AND(LEN(TRIM('DATOS'!D347&amp;""))&gt;0,TRIM('DATOS'!D347&amp;"")&lt;&gt;"Pendiente",TRIM('DATOS'!D347&amp;"")&lt;&gt;"Por confirmar",TRIM('DATOS'!D347&amp;"")&lt;&gt;"No consta",TRIM('DATOS'!D347&amp;"")&lt;&gt;"Desconocido",TRIM('DATOS'!D347&amp;"")&lt;&gt;"Sin confirmar",TRIM('DATOS'!D347&amp;"")&lt;&gt;"Por decidir",TRIM('DATOS'!D347&amp;"")&lt;&gt;"Por comprobar")),NOT(AND(LEN(TRIM('DATOS'!E347&amp;""))&gt;0,TRIM('DATOS'!E347&amp;"")&lt;&gt;"Pendiente",TRIM('DATOS'!E347&amp;"")&lt;&gt;"Por confirmar",TRIM('DATOS'!E347&amp;"")&lt;&gt;"No consta",TRIM('DATOS'!E347&amp;"")&lt;&gt;"Desconocido",TRIM('DATOS'!E347&amp;"")&lt;&gt;"Sin confirmar",TRIM('DATOS'!E347&amp;"")&lt;&gt;"Por decidir",TRIM('DATOS'!E347&amp;"")&lt;&gt;"Por comprobar"))),2,IF('DATOS'!M347="No",2,IF('DATOS'!M347="Sí",0,IF(OR('DATOS'!D347&lt;&gt;'DATOS'!E347,LEN('DATOS'!E347)&gt;300,RIGHT(TRIM('DATOS'!E347),3)="...",RIGHT(TRIM('DATOS'!E347),1)="…"),1,0))))),2)</f>
      </c>
      <c r="S347" s="29">
        <f>IFERROR(IF(N347=0,"",IF('REFERENCIAS'!$Q$8&lt;&gt;1,2,IF(NOT(Y347=1),1,IF(OR(ABS('DATOS'!G347-ROUND('DATOS'!G347,'REFERENCIAS'!$E$8))&gt;0.00000001,ABS('DATOS'!H347-ROUND('DATOS'!H347,'REFERENCIAS'!$H$8))&gt;0.00000001,ABS('DATOS'!J347-ROUND('DATOS'!J347,'REFERENCIAS'!$K$8))&gt;0.00000001,IF(ISNUMBER('DATOS'!I347),ABS('DATOS'!I347-ROUND('DATOS'!I347,'REFERENCIAS'!$H$8))&gt;0.00000001,FALSE)),1,0)))),2)</f>
      </c>
      <c r="T347" s="29">
        <f>IFERROR(IF(N347=0,"",IF(NOT(AND(LEN(TRIM('DATOS'!F347&amp;""))&gt;0,TRIM('DATOS'!F347&amp;"")&lt;&gt;"Pendiente",TRIM('DATOS'!F347&amp;"")&lt;&gt;"Por confirmar",TRIM('DATOS'!F347&amp;"")&lt;&gt;"No consta",TRIM('DATOS'!F347&amp;"")&lt;&gt;"Desconocido",TRIM('DATOS'!F347&amp;"")&lt;&gt;"Sin confirmar",TRIM('DATOS'!F347&amp;"")&lt;&gt;"Por decidir",TRIM('DATOS'!F347&amp;"")&lt;&gt;"Por comprobar")),2,IF(COUNTIFS('REFERENCIAS'!$T$15:$T$34,"ID:"&amp;SUBSTITUTE(SUBSTITUTE(SUBSTITUTE(SUBSTITUTE(UPPER(TRIM('DATOS'!F347&amp;"")),"!","!E"),"*","!A"),"?","!B"),"~","!C"),'REFERENCIAS'!$H$15:$H$34,"&lt;&gt;")&gt;0,0,1))),2)</f>
      </c>
      <c r="U347" s="29" t="str">
        <f>'DATOS'!R347</f>
        <v>ID:</v>
      </c>
      <c r="V347" s="29" t="str">
        <f>'DATOS'!S347</f>
        <v>ID:</v>
      </c>
      <c r="W347" s="29" t="n">
        <f>IF(N347=0,0,COUNTIFS('REFERENCIAS'!$R$15:$R$64,U347))</f>
        <v>0</v>
      </c>
      <c r="X347" s="29" t="n">
        <f>IF(N347=0,0,COUNTIFS('DATOS'!$R$10:$R$509,U347,'DATOS'!$S$10:$S$509,V347))</f>
        <v>0</v>
      </c>
      <c r="Y347" s="29" t="n">
        <f>IF(AND(ISNUMBER('DATOS'!G347),ISNUMBER('DATOS'!H347),ISNUMBER('DATOS'!J347)),1,0)</f>
        <v>0</v>
      </c>
    </row>
    <row r="348" ht="64" customHeight="1">
      <c r="B348" s="26">
        <f>IF(N348=1,339,"")</f>
      </c>
      <c r="C348" s="26">
        <f>IF(AND(N348=1,LEN(TRIM('DATOS'!B348&amp;""))&gt;0),'DATOS'!B348,"")</f>
      </c>
      <c r="D348" s="26">
        <f>IF(AND(N348=1,LEN(TRIM('DATOS'!C348&amp;""))&gt;0),'DATOS'!C348,"")</f>
      </c>
      <c r="E348" s="26">
        <f>IF(NOT(ISNUMBER(P348)),"",IF(P348=2,"ROJO",IF(P348=1,"ÁMBAR","VERDE")))</f>
      </c>
      <c r="F348" s="26">
        <f>IF(NOT(ISNUMBER(Q348)),"",IF(Q348=2,"ROJO",IF(Q348=1,"ÁMBAR","VERDE")))</f>
      </c>
      <c r="G348" s="26">
        <f>IF(NOT(ISNUMBER(R348)),"",IF(R348=2,"ROJO",IF(R348=1,"ÁMBAR","VERDE")))</f>
      </c>
      <c r="H348" s="26">
        <f>IF(NOT(ISNUMBER(S348)),"",IF(S348=2,"ROJO",IF(S348=1,"ÁMBAR","VERDE")))</f>
      </c>
      <c r="I348" s="26">
        <f>IF(NOT(ISNUMBER(T348)),"",IF(T348=2,"ROJO",IF(T348=1,"ÁMBAR","VERDE")))</f>
      </c>
      <c r="J348" s="26">
        <f>IF(NOT(ISNUMBER(O348)),"",IF(O348=2,"ROJO",IF(O348=1,"ÁMBAR","VERDE")))</f>
      </c>
      <c r="K348" s="26">
        <f>IFERROR(IF(AND(N348=1,LEN(TRIM('DATOS'!N348&amp;""))&gt;0),'DATOS'!N348,""),"Hay una entrada con error. Corregimos el dato antes de cerrar la comprobación.")</f>
      </c>
      <c r="L348" s="26">
        <f>IFERROR(IF(N348=0,"",IF(O348&gt;0,"Completamos datos, claves o motivo. ","")&amp;IF(P348&gt;0,"Cotejamos precios e importe. ","")&amp;IF(Q348&gt;0,"Aclaramos el cero. ","")&amp;IF(R348&gt;0,"Comprobamos el texto. ","")&amp;IF(S348&gt;0,"Revisamos decimales visibles. ","")&amp;IF(T348&gt;0,"Confirmamos la unidad.","")),"Hay una entrada con error. Corregimos el dato antes de cerrar la comprobación.")</f>
      </c>
      <c r="N348" s="29" t="n">
        <f>IF(COUNTA('DATOS'!B348:O348)&gt;0,1,0)</f>
        <v>0</v>
      </c>
      <c r="O348" s="29">
        <f>IFERROR(IF(N348=0,"",IF(OR(NOT(AND(LEN(TRIM('DATOS'!B348&amp;""))&gt;0,TRIM('DATOS'!B348&amp;"")&lt;&gt;"Pendiente",TRIM('DATOS'!B348&amp;"")&lt;&gt;"Por confirmar",TRIM('DATOS'!B348&amp;"")&lt;&gt;"No consta",TRIM('DATOS'!B348&amp;"")&lt;&gt;"Desconocido",TRIM('DATOS'!B348&amp;"")&lt;&gt;"Sin confirmar",TRIM('DATOS'!B348&amp;"")&lt;&gt;"Por decidir",TRIM('DATOS'!B348&amp;"")&lt;&gt;"Por comprobar")),NOT(AND(LEN(TRIM('DATOS'!C348&amp;""))&gt;0,TRIM('DATOS'!C348&amp;"")&lt;&gt;"Pendiente",TRIM('DATOS'!C348&amp;"")&lt;&gt;"Por confirmar",TRIM('DATOS'!C348&amp;"")&lt;&gt;"No consta",TRIM('DATOS'!C348&amp;"")&lt;&gt;"Desconocido",TRIM('DATOS'!C348&amp;"")&lt;&gt;"Sin confirmar",TRIM('DATOS'!C348&amp;"")&lt;&gt;"Por decidir",TRIM('DATOS'!C348&amp;"")&lt;&gt;"Por comprobar")),NOT(AND(LEN(TRIM('DATOS'!D348&amp;""))&gt;0,TRIM('DATOS'!D348&amp;"")&lt;&gt;"Pendiente",TRIM('DATOS'!D348&amp;"")&lt;&gt;"Por confirmar",TRIM('DATOS'!D348&amp;"")&lt;&gt;"No consta",TRIM('DATOS'!D348&amp;"")&lt;&gt;"Desconocido",TRIM('DATOS'!D348&amp;"")&lt;&gt;"Sin confirmar",TRIM('DATOS'!D348&amp;"")&lt;&gt;"Por decidir",TRIM('DATOS'!D348&amp;"")&lt;&gt;"Por comprobar")),NOT(AND(LEN(TRIM('DATOS'!E348&amp;""))&gt;0,TRIM('DATOS'!E348&amp;"")&lt;&gt;"Pendiente",TRIM('DATOS'!E348&amp;"")&lt;&gt;"Por confirmar",TRIM('DATOS'!E348&amp;"")&lt;&gt;"No consta",TRIM('DATOS'!E348&amp;"")&lt;&gt;"Desconocido",TRIM('DATOS'!E348&amp;"")&lt;&gt;"Sin confirmar",TRIM('DATOS'!E348&amp;"")&lt;&gt;"Por decidir",TRIM('DATOS'!E348&amp;"")&lt;&gt;"Por comprobar")),NOT(AND(LEN(TRIM('DATOS'!F348&amp;""))&gt;0,TRIM('DATOS'!F348&amp;"")&lt;&gt;"Pendiente",TRIM('DATOS'!F348&amp;"")&lt;&gt;"Por confirmar",TRIM('DATOS'!F348&amp;"")&lt;&gt;"No consta",TRIM('DATOS'!F348&amp;"")&lt;&gt;"Desconocido",TRIM('DATOS'!F348&amp;"")&lt;&gt;"Sin confirmar",TRIM('DATOS'!F348&amp;"")&lt;&gt;"Por decidir",TRIM('DATOS'!F348&amp;"")&lt;&gt;"Por comprobar")),NOT(AND(LEN(TRIM('DATOS'!N348&amp;""))&gt;0,TRIM('DATOS'!N348&amp;"")&lt;&gt;"Pendiente",TRIM('DATOS'!N348&amp;"")&lt;&gt;"Por confirmar",TRIM('DATOS'!N348&amp;"")&lt;&gt;"No consta",TRIM('DATOS'!N348&amp;"")&lt;&gt;"Desconocido",TRIM('DATOS'!N348&amp;"")&lt;&gt;"Sin confirmar",TRIM('DATOS'!N348&amp;"")&lt;&gt;"Por decidir",TRIM('DATOS'!N348&amp;"")&lt;&gt;"Por comprobar")),NOT(Y348=1),W348&lt;&gt;1,X348&gt;1,NOT(OR(LEN(TRIM('DATOS'!K348&amp;""))=0,'DATOS'!K348="Sin valorar",'DATOS'!K348="Sin coste documentado",'DATOS'!K348="Incluido en otra partida",'DATOS'!K348="Por confirmar")),NOT(OR(LEN(TRIM('DATOS'!M348&amp;""))=0,'DATOS'!M348="Sí",'DATOS'!M348="No",'DATOS'!M348="Por confirmar")),NOT(OR(LEN(TRIM('DATOS'!O348&amp;""))=0,'DATOS'!O348="Comparamos",'DATOS'!O348="No existe",'DATOS'!O348="Por confirmar"))),2,IF(AND(OR('DATOS'!G348&lt;0,'DATOS'!H348&lt;0,'DATOS'!J348&lt;0),NOT(AND(LEN(TRIM('DATOS'!L348&amp;""))&gt;0,TRIM('DATOS'!L348&amp;"")&lt;&gt;"Pendiente",TRIM('DATOS'!L348&amp;"")&lt;&gt;"Por confirmar",TRIM('DATOS'!L348&amp;"")&lt;&gt;"No consta",TRIM('DATOS'!L348&amp;"")&lt;&gt;"Desconocido",TRIM('DATOS'!L348&amp;"")&lt;&gt;"Sin confirmar",TRIM('DATOS'!L348&amp;"")&lt;&gt;"Por decidir",TRIM('DATOS'!L348&amp;"")&lt;&gt;"Por comprobar"))),1,0))),2)</f>
      </c>
      <c r="P348" s="29">
        <f>IFERROR(IF(N348=0,"",IF(NOT(Y348=1),1,IF('REFERENCIAS'!$Q$8&lt;&gt;1,2,IF(ABS('DATOS'!J348-ROUND('DATOS'!G348*'DATOS'!H348,'REFERENCIAS'!$K$8))&gt;0.00000001,2,IF('DATOS'!O348="No existe",IF(LEN(TRIM('DATOS'!I348&amp;""))=0,0,2),IF('DATOS'!O348="Comparamos",IF(LEN(TRIM('DATOS'!I348&amp;""))=0,1,IF(ISNUMBER('DATOS'!I348),IF(ABS('DATOS'!H348-'DATOS'!I348)&gt;0.00000001,2,0),2)),1)))))),2)</f>
      </c>
      <c r="Q348" s="29">
        <f>IFERROR(IF(N348=0,"",IF(NOT(Y348=1),1,IF('DATOS'!K348="Sin valorar",2,IF('DATOS'!G348=0,1,IF(OR('DATOS'!H348=0,'DATOS'!J348=0),IF(AND(OR('DATOS'!K348="Sin coste documentado",'DATOS'!K348="Incluido en otra partida"),AND(LEN(TRIM('DATOS'!L348&amp;""))&gt;0,TRIM('DATOS'!L348&amp;"")&lt;&gt;"Pendiente",TRIM('DATOS'!L348&amp;"")&lt;&gt;"Por confirmar",TRIM('DATOS'!L348&amp;"")&lt;&gt;"No consta",TRIM('DATOS'!L348&amp;"")&lt;&gt;"Desconocido",TRIM('DATOS'!L348&amp;"")&lt;&gt;"Sin confirmar",TRIM('DATOS'!L348&amp;"")&lt;&gt;"Por decidir",TRIM('DATOS'!L348&amp;"")&lt;&gt;"Por comprobar")),0,1),0))))),2)</f>
      </c>
      <c r="R348" s="29">
        <f>IFERROR(IF(N348=0,"",IF(OR(NOT(AND(LEN(TRIM('DATOS'!D348&amp;""))&gt;0,TRIM('DATOS'!D348&amp;"")&lt;&gt;"Pendiente",TRIM('DATOS'!D348&amp;"")&lt;&gt;"Por confirmar",TRIM('DATOS'!D348&amp;"")&lt;&gt;"No consta",TRIM('DATOS'!D348&amp;"")&lt;&gt;"Desconocido",TRIM('DATOS'!D348&amp;"")&lt;&gt;"Sin confirmar",TRIM('DATOS'!D348&amp;"")&lt;&gt;"Por decidir",TRIM('DATOS'!D348&amp;"")&lt;&gt;"Por comprobar")),NOT(AND(LEN(TRIM('DATOS'!E348&amp;""))&gt;0,TRIM('DATOS'!E348&amp;"")&lt;&gt;"Pendiente",TRIM('DATOS'!E348&amp;"")&lt;&gt;"Por confirmar",TRIM('DATOS'!E348&amp;"")&lt;&gt;"No consta",TRIM('DATOS'!E348&amp;"")&lt;&gt;"Desconocido",TRIM('DATOS'!E348&amp;"")&lt;&gt;"Sin confirmar",TRIM('DATOS'!E348&amp;"")&lt;&gt;"Por decidir",TRIM('DATOS'!E348&amp;"")&lt;&gt;"Por comprobar"))),2,IF('DATOS'!M348="No",2,IF('DATOS'!M348="Sí",0,IF(OR('DATOS'!D348&lt;&gt;'DATOS'!E348,LEN('DATOS'!E348)&gt;300,RIGHT(TRIM('DATOS'!E348),3)="...",RIGHT(TRIM('DATOS'!E348),1)="…"),1,0))))),2)</f>
      </c>
      <c r="S348" s="29">
        <f>IFERROR(IF(N348=0,"",IF('REFERENCIAS'!$Q$8&lt;&gt;1,2,IF(NOT(Y348=1),1,IF(OR(ABS('DATOS'!G348-ROUND('DATOS'!G348,'REFERENCIAS'!$E$8))&gt;0.00000001,ABS('DATOS'!H348-ROUND('DATOS'!H348,'REFERENCIAS'!$H$8))&gt;0.00000001,ABS('DATOS'!J348-ROUND('DATOS'!J348,'REFERENCIAS'!$K$8))&gt;0.00000001,IF(ISNUMBER('DATOS'!I348),ABS('DATOS'!I348-ROUND('DATOS'!I348,'REFERENCIAS'!$H$8))&gt;0.00000001,FALSE)),1,0)))),2)</f>
      </c>
      <c r="T348" s="29">
        <f>IFERROR(IF(N348=0,"",IF(NOT(AND(LEN(TRIM('DATOS'!F348&amp;""))&gt;0,TRIM('DATOS'!F348&amp;"")&lt;&gt;"Pendiente",TRIM('DATOS'!F348&amp;"")&lt;&gt;"Por confirmar",TRIM('DATOS'!F348&amp;"")&lt;&gt;"No consta",TRIM('DATOS'!F348&amp;"")&lt;&gt;"Desconocido",TRIM('DATOS'!F348&amp;"")&lt;&gt;"Sin confirmar",TRIM('DATOS'!F348&amp;"")&lt;&gt;"Por decidir",TRIM('DATOS'!F348&amp;"")&lt;&gt;"Por comprobar")),2,IF(COUNTIFS('REFERENCIAS'!$T$15:$T$34,"ID:"&amp;SUBSTITUTE(SUBSTITUTE(SUBSTITUTE(SUBSTITUTE(UPPER(TRIM('DATOS'!F348&amp;"")),"!","!E"),"*","!A"),"?","!B"),"~","!C"),'REFERENCIAS'!$H$15:$H$34,"&lt;&gt;")&gt;0,0,1))),2)</f>
      </c>
      <c r="U348" s="29" t="str">
        <f>'DATOS'!R348</f>
        <v>ID:</v>
      </c>
      <c r="V348" s="29" t="str">
        <f>'DATOS'!S348</f>
        <v>ID:</v>
      </c>
      <c r="W348" s="29" t="n">
        <f>IF(N348=0,0,COUNTIFS('REFERENCIAS'!$R$15:$R$64,U348))</f>
        <v>0</v>
      </c>
      <c r="X348" s="29" t="n">
        <f>IF(N348=0,0,COUNTIFS('DATOS'!$R$10:$R$509,U348,'DATOS'!$S$10:$S$509,V348))</f>
        <v>0</v>
      </c>
      <c r="Y348" s="29" t="n">
        <f>IF(AND(ISNUMBER('DATOS'!G348),ISNUMBER('DATOS'!H348),ISNUMBER('DATOS'!J348)),1,0)</f>
        <v>0</v>
      </c>
    </row>
    <row r="349" ht="64" customHeight="1">
      <c r="B349" s="26">
        <f>IF(N349=1,340,"")</f>
      </c>
      <c r="C349" s="26">
        <f>IF(AND(N349=1,LEN(TRIM('DATOS'!B349&amp;""))&gt;0),'DATOS'!B349,"")</f>
      </c>
      <c r="D349" s="26">
        <f>IF(AND(N349=1,LEN(TRIM('DATOS'!C349&amp;""))&gt;0),'DATOS'!C349,"")</f>
      </c>
      <c r="E349" s="26">
        <f>IF(NOT(ISNUMBER(P349)),"",IF(P349=2,"ROJO",IF(P349=1,"ÁMBAR","VERDE")))</f>
      </c>
      <c r="F349" s="26">
        <f>IF(NOT(ISNUMBER(Q349)),"",IF(Q349=2,"ROJO",IF(Q349=1,"ÁMBAR","VERDE")))</f>
      </c>
      <c r="G349" s="26">
        <f>IF(NOT(ISNUMBER(R349)),"",IF(R349=2,"ROJO",IF(R349=1,"ÁMBAR","VERDE")))</f>
      </c>
      <c r="H349" s="26">
        <f>IF(NOT(ISNUMBER(S349)),"",IF(S349=2,"ROJO",IF(S349=1,"ÁMBAR","VERDE")))</f>
      </c>
      <c r="I349" s="26">
        <f>IF(NOT(ISNUMBER(T349)),"",IF(T349=2,"ROJO",IF(T349=1,"ÁMBAR","VERDE")))</f>
      </c>
      <c r="J349" s="26">
        <f>IF(NOT(ISNUMBER(O349)),"",IF(O349=2,"ROJO",IF(O349=1,"ÁMBAR","VERDE")))</f>
      </c>
      <c r="K349" s="26">
        <f>IFERROR(IF(AND(N349=1,LEN(TRIM('DATOS'!N349&amp;""))&gt;0),'DATOS'!N349,""),"Hay una entrada con error. Corregimos el dato antes de cerrar la comprobación.")</f>
      </c>
      <c r="L349" s="26">
        <f>IFERROR(IF(N349=0,"",IF(O349&gt;0,"Completamos datos, claves o motivo. ","")&amp;IF(P349&gt;0,"Cotejamos precios e importe. ","")&amp;IF(Q349&gt;0,"Aclaramos el cero. ","")&amp;IF(R349&gt;0,"Comprobamos el texto. ","")&amp;IF(S349&gt;0,"Revisamos decimales visibles. ","")&amp;IF(T349&gt;0,"Confirmamos la unidad.","")),"Hay una entrada con error. Corregimos el dato antes de cerrar la comprobación.")</f>
      </c>
      <c r="N349" s="29" t="n">
        <f>IF(COUNTA('DATOS'!B349:O349)&gt;0,1,0)</f>
        <v>0</v>
      </c>
      <c r="O349" s="29">
        <f>IFERROR(IF(N349=0,"",IF(OR(NOT(AND(LEN(TRIM('DATOS'!B349&amp;""))&gt;0,TRIM('DATOS'!B349&amp;"")&lt;&gt;"Pendiente",TRIM('DATOS'!B349&amp;"")&lt;&gt;"Por confirmar",TRIM('DATOS'!B349&amp;"")&lt;&gt;"No consta",TRIM('DATOS'!B349&amp;"")&lt;&gt;"Desconocido",TRIM('DATOS'!B349&amp;"")&lt;&gt;"Sin confirmar",TRIM('DATOS'!B349&amp;"")&lt;&gt;"Por decidir",TRIM('DATOS'!B349&amp;"")&lt;&gt;"Por comprobar")),NOT(AND(LEN(TRIM('DATOS'!C349&amp;""))&gt;0,TRIM('DATOS'!C349&amp;"")&lt;&gt;"Pendiente",TRIM('DATOS'!C349&amp;"")&lt;&gt;"Por confirmar",TRIM('DATOS'!C349&amp;"")&lt;&gt;"No consta",TRIM('DATOS'!C349&amp;"")&lt;&gt;"Desconocido",TRIM('DATOS'!C349&amp;"")&lt;&gt;"Sin confirmar",TRIM('DATOS'!C349&amp;"")&lt;&gt;"Por decidir",TRIM('DATOS'!C349&amp;"")&lt;&gt;"Por comprobar")),NOT(AND(LEN(TRIM('DATOS'!D349&amp;""))&gt;0,TRIM('DATOS'!D349&amp;"")&lt;&gt;"Pendiente",TRIM('DATOS'!D349&amp;"")&lt;&gt;"Por confirmar",TRIM('DATOS'!D349&amp;"")&lt;&gt;"No consta",TRIM('DATOS'!D349&amp;"")&lt;&gt;"Desconocido",TRIM('DATOS'!D349&amp;"")&lt;&gt;"Sin confirmar",TRIM('DATOS'!D349&amp;"")&lt;&gt;"Por decidir",TRIM('DATOS'!D349&amp;"")&lt;&gt;"Por comprobar")),NOT(AND(LEN(TRIM('DATOS'!E349&amp;""))&gt;0,TRIM('DATOS'!E349&amp;"")&lt;&gt;"Pendiente",TRIM('DATOS'!E349&amp;"")&lt;&gt;"Por confirmar",TRIM('DATOS'!E349&amp;"")&lt;&gt;"No consta",TRIM('DATOS'!E349&amp;"")&lt;&gt;"Desconocido",TRIM('DATOS'!E349&amp;"")&lt;&gt;"Sin confirmar",TRIM('DATOS'!E349&amp;"")&lt;&gt;"Por decidir",TRIM('DATOS'!E349&amp;"")&lt;&gt;"Por comprobar")),NOT(AND(LEN(TRIM('DATOS'!F349&amp;""))&gt;0,TRIM('DATOS'!F349&amp;"")&lt;&gt;"Pendiente",TRIM('DATOS'!F349&amp;"")&lt;&gt;"Por confirmar",TRIM('DATOS'!F349&amp;"")&lt;&gt;"No consta",TRIM('DATOS'!F349&amp;"")&lt;&gt;"Desconocido",TRIM('DATOS'!F349&amp;"")&lt;&gt;"Sin confirmar",TRIM('DATOS'!F349&amp;"")&lt;&gt;"Por decidir",TRIM('DATOS'!F349&amp;"")&lt;&gt;"Por comprobar")),NOT(AND(LEN(TRIM('DATOS'!N349&amp;""))&gt;0,TRIM('DATOS'!N349&amp;"")&lt;&gt;"Pendiente",TRIM('DATOS'!N349&amp;"")&lt;&gt;"Por confirmar",TRIM('DATOS'!N349&amp;"")&lt;&gt;"No consta",TRIM('DATOS'!N349&amp;"")&lt;&gt;"Desconocido",TRIM('DATOS'!N349&amp;"")&lt;&gt;"Sin confirmar",TRIM('DATOS'!N349&amp;"")&lt;&gt;"Por decidir",TRIM('DATOS'!N349&amp;"")&lt;&gt;"Por comprobar")),NOT(Y349=1),W349&lt;&gt;1,X349&gt;1,NOT(OR(LEN(TRIM('DATOS'!K349&amp;""))=0,'DATOS'!K349="Sin valorar",'DATOS'!K349="Sin coste documentado",'DATOS'!K349="Incluido en otra partida",'DATOS'!K349="Por confirmar")),NOT(OR(LEN(TRIM('DATOS'!M349&amp;""))=0,'DATOS'!M349="Sí",'DATOS'!M349="No",'DATOS'!M349="Por confirmar")),NOT(OR(LEN(TRIM('DATOS'!O349&amp;""))=0,'DATOS'!O349="Comparamos",'DATOS'!O349="No existe",'DATOS'!O349="Por confirmar"))),2,IF(AND(OR('DATOS'!G349&lt;0,'DATOS'!H349&lt;0,'DATOS'!J349&lt;0),NOT(AND(LEN(TRIM('DATOS'!L349&amp;""))&gt;0,TRIM('DATOS'!L349&amp;"")&lt;&gt;"Pendiente",TRIM('DATOS'!L349&amp;"")&lt;&gt;"Por confirmar",TRIM('DATOS'!L349&amp;"")&lt;&gt;"No consta",TRIM('DATOS'!L349&amp;"")&lt;&gt;"Desconocido",TRIM('DATOS'!L349&amp;"")&lt;&gt;"Sin confirmar",TRIM('DATOS'!L349&amp;"")&lt;&gt;"Por decidir",TRIM('DATOS'!L349&amp;"")&lt;&gt;"Por comprobar"))),1,0))),2)</f>
      </c>
      <c r="P349" s="29">
        <f>IFERROR(IF(N349=0,"",IF(NOT(Y349=1),1,IF('REFERENCIAS'!$Q$8&lt;&gt;1,2,IF(ABS('DATOS'!J349-ROUND('DATOS'!G349*'DATOS'!H349,'REFERENCIAS'!$K$8))&gt;0.00000001,2,IF('DATOS'!O349="No existe",IF(LEN(TRIM('DATOS'!I349&amp;""))=0,0,2),IF('DATOS'!O349="Comparamos",IF(LEN(TRIM('DATOS'!I349&amp;""))=0,1,IF(ISNUMBER('DATOS'!I349),IF(ABS('DATOS'!H349-'DATOS'!I349)&gt;0.00000001,2,0),2)),1)))))),2)</f>
      </c>
      <c r="Q349" s="29">
        <f>IFERROR(IF(N349=0,"",IF(NOT(Y349=1),1,IF('DATOS'!K349="Sin valorar",2,IF('DATOS'!G349=0,1,IF(OR('DATOS'!H349=0,'DATOS'!J349=0),IF(AND(OR('DATOS'!K349="Sin coste documentado",'DATOS'!K349="Incluido en otra partida"),AND(LEN(TRIM('DATOS'!L349&amp;""))&gt;0,TRIM('DATOS'!L349&amp;"")&lt;&gt;"Pendiente",TRIM('DATOS'!L349&amp;"")&lt;&gt;"Por confirmar",TRIM('DATOS'!L349&amp;"")&lt;&gt;"No consta",TRIM('DATOS'!L349&amp;"")&lt;&gt;"Desconocido",TRIM('DATOS'!L349&amp;"")&lt;&gt;"Sin confirmar",TRIM('DATOS'!L349&amp;"")&lt;&gt;"Por decidir",TRIM('DATOS'!L349&amp;"")&lt;&gt;"Por comprobar")),0,1),0))))),2)</f>
      </c>
      <c r="R349" s="29">
        <f>IFERROR(IF(N349=0,"",IF(OR(NOT(AND(LEN(TRIM('DATOS'!D349&amp;""))&gt;0,TRIM('DATOS'!D349&amp;"")&lt;&gt;"Pendiente",TRIM('DATOS'!D349&amp;"")&lt;&gt;"Por confirmar",TRIM('DATOS'!D349&amp;"")&lt;&gt;"No consta",TRIM('DATOS'!D349&amp;"")&lt;&gt;"Desconocido",TRIM('DATOS'!D349&amp;"")&lt;&gt;"Sin confirmar",TRIM('DATOS'!D349&amp;"")&lt;&gt;"Por decidir",TRIM('DATOS'!D349&amp;"")&lt;&gt;"Por comprobar")),NOT(AND(LEN(TRIM('DATOS'!E349&amp;""))&gt;0,TRIM('DATOS'!E349&amp;"")&lt;&gt;"Pendiente",TRIM('DATOS'!E349&amp;"")&lt;&gt;"Por confirmar",TRIM('DATOS'!E349&amp;"")&lt;&gt;"No consta",TRIM('DATOS'!E349&amp;"")&lt;&gt;"Desconocido",TRIM('DATOS'!E349&amp;"")&lt;&gt;"Sin confirmar",TRIM('DATOS'!E349&amp;"")&lt;&gt;"Por decidir",TRIM('DATOS'!E349&amp;"")&lt;&gt;"Por comprobar"))),2,IF('DATOS'!M349="No",2,IF('DATOS'!M349="Sí",0,IF(OR('DATOS'!D349&lt;&gt;'DATOS'!E349,LEN('DATOS'!E349)&gt;300,RIGHT(TRIM('DATOS'!E349),3)="...",RIGHT(TRIM('DATOS'!E349),1)="…"),1,0))))),2)</f>
      </c>
      <c r="S349" s="29">
        <f>IFERROR(IF(N349=0,"",IF('REFERENCIAS'!$Q$8&lt;&gt;1,2,IF(NOT(Y349=1),1,IF(OR(ABS('DATOS'!G349-ROUND('DATOS'!G349,'REFERENCIAS'!$E$8))&gt;0.00000001,ABS('DATOS'!H349-ROUND('DATOS'!H349,'REFERENCIAS'!$H$8))&gt;0.00000001,ABS('DATOS'!J349-ROUND('DATOS'!J349,'REFERENCIAS'!$K$8))&gt;0.00000001,IF(ISNUMBER('DATOS'!I349),ABS('DATOS'!I349-ROUND('DATOS'!I349,'REFERENCIAS'!$H$8))&gt;0.00000001,FALSE)),1,0)))),2)</f>
      </c>
      <c r="T349" s="29">
        <f>IFERROR(IF(N349=0,"",IF(NOT(AND(LEN(TRIM('DATOS'!F349&amp;""))&gt;0,TRIM('DATOS'!F349&amp;"")&lt;&gt;"Pendiente",TRIM('DATOS'!F349&amp;"")&lt;&gt;"Por confirmar",TRIM('DATOS'!F349&amp;"")&lt;&gt;"No consta",TRIM('DATOS'!F349&amp;"")&lt;&gt;"Desconocido",TRIM('DATOS'!F349&amp;"")&lt;&gt;"Sin confirmar",TRIM('DATOS'!F349&amp;"")&lt;&gt;"Por decidir",TRIM('DATOS'!F349&amp;"")&lt;&gt;"Por comprobar")),2,IF(COUNTIFS('REFERENCIAS'!$T$15:$T$34,"ID:"&amp;SUBSTITUTE(SUBSTITUTE(SUBSTITUTE(SUBSTITUTE(UPPER(TRIM('DATOS'!F349&amp;"")),"!","!E"),"*","!A"),"?","!B"),"~","!C"),'REFERENCIAS'!$H$15:$H$34,"&lt;&gt;")&gt;0,0,1))),2)</f>
      </c>
      <c r="U349" s="29" t="str">
        <f>'DATOS'!R349</f>
        <v>ID:</v>
      </c>
      <c r="V349" s="29" t="str">
        <f>'DATOS'!S349</f>
        <v>ID:</v>
      </c>
      <c r="W349" s="29" t="n">
        <f>IF(N349=0,0,COUNTIFS('REFERENCIAS'!$R$15:$R$64,U349))</f>
        <v>0</v>
      </c>
      <c r="X349" s="29" t="n">
        <f>IF(N349=0,0,COUNTIFS('DATOS'!$R$10:$R$509,U349,'DATOS'!$S$10:$S$509,V349))</f>
        <v>0</v>
      </c>
      <c r="Y349" s="29" t="n">
        <f>IF(AND(ISNUMBER('DATOS'!G349),ISNUMBER('DATOS'!H349),ISNUMBER('DATOS'!J349)),1,0)</f>
        <v>0</v>
      </c>
    </row>
    <row r="350" ht="64" customHeight="1">
      <c r="B350" s="26">
        <f>IF(N350=1,341,"")</f>
      </c>
      <c r="C350" s="26">
        <f>IF(AND(N350=1,LEN(TRIM('DATOS'!B350&amp;""))&gt;0),'DATOS'!B350,"")</f>
      </c>
      <c r="D350" s="26">
        <f>IF(AND(N350=1,LEN(TRIM('DATOS'!C350&amp;""))&gt;0),'DATOS'!C350,"")</f>
      </c>
      <c r="E350" s="26">
        <f>IF(NOT(ISNUMBER(P350)),"",IF(P350=2,"ROJO",IF(P350=1,"ÁMBAR","VERDE")))</f>
      </c>
      <c r="F350" s="26">
        <f>IF(NOT(ISNUMBER(Q350)),"",IF(Q350=2,"ROJO",IF(Q350=1,"ÁMBAR","VERDE")))</f>
      </c>
      <c r="G350" s="26">
        <f>IF(NOT(ISNUMBER(R350)),"",IF(R350=2,"ROJO",IF(R350=1,"ÁMBAR","VERDE")))</f>
      </c>
      <c r="H350" s="26">
        <f>IF(NOT(ISNUMBER(S350)),"",IF(S350=2,"ROJO",IF(S350=1,"ÁMBAR","VERDE")))</f>
      </c>
      <c r="I350" s="26">
        <f>IF(NOT(ISNUMBER(T350)),"",IF(T350=2,"ROJO",IF(T350=1,"ÁMBAR","VERDE")))</f>
      </c>
      <c r="J350" s="26">
        <f>IF(NOT(ISNUMBER(O350)),"",IF(O350=2,"ROJO",IF(O350=1,"ÁMBAR","VERDE")))</f>
      </c>
      <c r="K350" s="26">
        <f>IFERROR(IF(AND(N350=1,LEN(TRIM('DATOS'!N350&amp;""))&gt;0),'DATOS'!N350,""),"Hay una entrada con error. Corregimos el dato antes de cerrar la comprobación.")</f>
      </c>
      <c r="L350" s="26">
        <f>IFERROR(IF(N350=0,"",IF(O350&gt;0,"Completamos datos, claves o motivo. ","")&amp;IF(P350&gt;0,"Cotejamos precios e importe. ","")&amp;IF(Q350&gt;0,"Aclaramos el cero. ","")&amp;IF(R350&gt;0,"Comprobamos el texto. ","")&amp;IF(S350&gt;0,"Revisamos decimales visibles. ","")&amp;IF(T350&gt;0,"Confirmamos la unidad.","")),"Hay una entrada con error. Corregimos el dato antes de cerrar la comprobación.")</f>
      </c>
      <c r="N350" s="29" t="n">
        <f>IF(COUNTA('DATOS'!B350:O350)&gt;0,1,0)</f>
        <v>0</v>
      </c>
      <c r="O350" s="29">
        <f>IFERROR(IF(N350=0,"",IF(OR(NOT(AND(LEN(TRIM('DATOS'!B350&amp;""))&gt;0,TRIM('DATOS'!B350&amp;"")&lt;&gt;"Pendiente",TRIM('DATOS'!B350&amp;"")&lt;&gt;"Por confirmar",TRIM('DATOS'!B350&amp;"")&lt;&gt;"No consta",TRIM('DATOS'!B350&amp;"")&lt;&gt;"Desconocido",TRIM('DATOS'!B350&amp;"")&lt;&gt;"Sin confirmar",TRIM('DATOS'!B350&amp;"")&lt;&gt;"Por decidir",TRIM('DATOS'!B350&amp;"")&lt;&gt;"Por comprobar")),NOT(AND(LEN(TRIM('DATOS'!C350&amp;""))&gt;0,TRIM('DATOS'!C350&amp;"")&lt;&gt;"Pendiente",TRIM('DATOS'!C350&amp;"")&lt;&gt;"Por confirmar",TRIM('DATOS'!C350&amp;"")&lt;&gt;"No consta",TRIM('DATOS'!C350&amp;"")&lt;&gt;"Desconocido",TRIM('DATOS'!C350&amp;"")&lt;&gt;"Sin confirmar",TRIM('DATOS'!C350&amp;"")&lt;&gt;"Por decidir",TRIM('DATOS'!C350&amp;"")&lt;&gt;"Por comprobar")),NOT(AND(LEN(TRIM('DATOS'!D350&amp;""))&gt;0,TRIM('DATOS'!D350&amp;"")&lt;&gt;"Pendiente",TRIM('DATOS'!D350&amp;"")&lt;&gt;"Por confirmar",TRIM('DATOS'!D350&amp;"")&lt;&gt;"No consta",TRIM('DATOS'!D350&amp;"")&lt;&gt;"Desconocido",TRIM('DATOS'!D350&amp;"")&lt;&gt;"Sin confirmar",TRIM('DATOS'!D350&amp;"")&lt;&gt;"Por decidir",TRIM('DATOS'!D350&amp;"")&lt;&gt;"Por comprobar")),NOT(AND(LEN(TRIM('DATOS'!E350&amp;""))&gt;0,TRIM('DATOS'!E350&amp;"")&lt;&gt;"Pendiente",TRIM('DATOS'!E350&amp;"")&lt;&gt;"Por confirmar",TRIM('DATOS'!E350&amp;"")&lt;&gt;"No consta",TRIM('DATOS'!E350&amp;"")&lt;&gt;"Desconocido",TRIM('DATOS'!E350&amp;"")&lt;&gt;"Sin confirmar",TRIM('DATOS'!E350&amp;"")&lt;&gt;"Por decidir",TRIM('DATOS'!E350&amp;"")&lt;&gt;"Por comprobar")),NOT(AND(LEN(TRIM('DATOS'!F350&amp;""))&gt;0,TRIM('DATOS'!F350&amp;"")&lt;&gt;"Pendiente",TRIM('DATOS'!F350&amp;"")&lt;&gt;"Por confirmar",TRIM('DATOS'!F350&amp;"")&lt;&gt;"No consta",TRIM('DATOS'!F350&amp;"")&lt;&gt;"Desconocido",TRIM('DATOS'!F350&amp;"")&lt;&gt;"Sin confirmar",TRIM('DATOS'!F350&amp;"")&lt;&gt;"Por decidir",TRIM('DATOS'!F350&amp;"")&lt;&gt;"Por comprobar")),NOT(AND(LEN(TRIM('DATOS'!N350&amp;""))&gt;0,TRIM('DATOS'!N350&amp;"")&lt;&gt;"Pendiente",TRIM('DATOS'!N350&amp;"")&lt;&gt;"Por confirmar",TRIM('DATOS'!N350&amp;"")&lt;&gt;"No consta",TRIM('DATOS'!N350&amp;"")&lt;&gt;"Desconocido",TRIM('DATOS'!N350&amp;"")&lt;&gt;"Sin confirmar",TRIM('DATOS'!N350&amp;"")&lt;&gt;"Por decidir",TRIM('DATOS'!N350&amp;"")&lt;&gt;"Por comprobar")),NOT(Y350=1),W350&lt;&gt;1,X350&gt;1,NOT(OR(LEN(TRIM('DATOS'!K350&amp;""))=0,'DATOS'!K350="Sin valorar",'DATOS'!K350="Sin coste documentado",'DATOS'!K350="Incluido en otra partida",'DATOS'!K350="Por confirmar")),NOT(OR(LEN(TRIM('DATOS'!M350&amp;""))=0,'DATOS'!M350="Sí",'DATOS'!M350="No",'DATOS'!M350="Por confirmar")),NOT(OR(LEN(TRIM('DATOS'!O350&amp;""))=0,'DATOS'!O350="Comparamos",'DATOS'!O350="No existe",'DATOS'!O350="Por confirmar"))),2,IF(AND(OR('DATOS'!G350&lt;0,'DATOS'!H350&lt;0,'DATOS'!J350&lt;0),NOT(AND(LEN(TRIM('DATOS'!L350&amp;""))&gt;0,TRIM('DATOS'!L350&amp;"")&lt;&gt;"Pendiente",TRIM('DATOS'!L350&amp;"")&lt;&gt;"Por confirmar",TRIM('DATOS'!L350&amp;"")&lt;&gt;"No consta",TRIM('DATOS'!L350&amp;"")&lt;&gt;"Desconocido",TRIM('DATOS'!L350&amp;"")&lt;&gt;"Sin confirmar",TRIM('DATOS'!L350&amp;"")&lt;&gt;"Por decidir",TRIM('DATOS'!L350&amp;"")&lt;&gt;"Por comprobar"))),1,0))),2)</f>
      </c>
      <c r="P350" s="29">
        <f>IFERROR(IF(N350=0,"",IF(NOT(Y350=1),1,IF('REFERENCIAS'!$Q$8&lt;&gt;1,2,IF(ABS('DATOS'!J350-ROUND('DATOS'!G350*'DATOS'!H350,'REFERENCIAS'!$K$8))&gt;0.00000001,2,IF('DATOS'!O350="No existe",IF(LEN(TRIM('DATOS'!I350&amp;""))=0,0,2),IF('DATOS'!O350="Comparamos",IF(LEN(TRIM('DATOS'!I350&amp;""))=0,1,IF(ISNUMBER('DATOS'!I350),IF(ABS('DATOS'!H350-'DATOS'!I350)&gt;0.00000001,2,0),2)),1)))))),2)</f>
      </c>
      <c r="Q350" s="29">
        <f>IFERROR(IF(N350=0,"",IF(NOT(Y350=1),1,IF('DATOS'!K350="Sin valorar",2,IF('DATOS'!G350=0,1,IF(OR('DATOS'!H350=0,'DATOS'!J350=0),IF(AND(OR('DATOS'!K350="Sin coste documentado",'DATOS'!K350="Incluido en otra partida"),AND(LEN(TRIM('DATOS'!L350&amp;""))&gt;0,TRIM('DATOS'!L350&amp;"")&lt;&gt;"Pendiente",TRIM('DATOS'!L350&amp;"")&lt;&gt;"Por confirmar",TRIM('DATOS'!L350&amp;"")&lt;&gt;"No consta",TRIM('DATOS'!L350&amp;"")&lt;&gt;"Desconocido",TRIM('DATOS'!L350&amp;"")&lt;&gt;"Sin confirmar",TRIM('DATOS'!L350&amp;"")&lt;&gt;"Por decidir",TRIM('DATOS'!L350&amp;"")&lt;&gt;"Por comprobar")),0,1),0))))),2)</f>
      </c>
      <c r="R350" s="29">
        <f>IFERROR(IF(N350=0,"",IF(OR(NOT(AND(LEN(TRIM('DATOS'!D350&amp;""))&gt;0,TRIM('DATOS'!D350&amp;"")&lt;&gt;"Pendiente",TRIM('DATOS'!D350&amp;"")&lt;&gt;"Por confirmar",TRIM('DATOS'!D350&amp;"")&lt;&gt;"No consta",TRIM('DATOS'!D350&amp;"")&lt;&gt;"Desconocido",TRIM('DATOS'!D350&amp;"")&lt;&gt;"Sin confirmar",TRIM('DATOS'!D350&amp;"")&lt;&gt;"Por decidir",TRIM('DATOS'!D350&amp;"")&lt;&gt;"Por comprobar")),NOT(AND(LEN(TRIM('DATOS'!E350&amp;""))&gt;0,TRIM('DATOS'!E350&amp;"")&lt;&gt;"Pendiente",TRIM('DATOS'!E350&amp;"")&lt;&gt;"Por confirmar",TRIM('DATOS'!E350&amp;"")&lt;&gt;"No consta",TRIM('DATOS'!E350&amp;"")&lt;&gt;"Desconocido",TRIM('DATOS'!E350&amp;"")&lt;&gt;"Sin confirmar",TRIM('DATOS'!E350&amp;"")&lt;&gt;"Por decidir",TRIM('DATOS'!E350&amp;"")&lt;&gt;"Por comprobar"))),2,IF('DATOS'!M350="No",2,IF('DATOS'!M350="Sí",0,IF(OR('DATOS'!D350&lt;&gt;'DATOS'!E350,LEN('DATOS'!E350)&gt;300,RIGHT(TRIM('DATOS'!E350),3)="...",RIGHT(TRIM('DATOS'!E350),1)="…"),1,0))))),2)</f>
      </c>
      <c r="S350" s="29">
        <f>IFERROR(IF(N350=0,"",IF('REFERENCIAS'!$Q$8&lt;&gt;1,2,IF(NOT(Y350=1),1,IF(OR(ABS('DATOS'!G350-ROUND('DATOS'!G350,'REFERENCIAS'!$E$8))&gt;0.00000001,ABS('DATOS'!H350-ROUND('DATOS'!H350,'REFERENCIAS'!$H$8))&gt;0.00000001,ABS('DATOS'!J350-ROUND('DATOS'!J350,'REFERENCIAS'!$K$8))&gt;0.00000001,IF(ISNUMBER('DATOS'!I350),ABS('DATOS'!I350-ROUND('DATOS'!I350,'REFERENCIAS'!$H$8))&gt;0.00000001,FALSE)),1,0)))),2)</f>
      </c>
      <c r="T350" s="29">
        <f>IFERROR(IF(N350=0,"",IF(NOT(AND(LEN(TRIM('DATOS'!F350&amp;""))&gt;0,TRIM('DATOS'!F350&amp;"")&lt;&gt;"Pendiente",TRIM('DATOS'!F350&amp;"")&lt;&gt;"Por confirmar",TRIM('DATOS'!F350&amp;"")&lt;&gt;"No consta",TRIM('DATOS'!F350&amp;"")&lt;&gt;"Desconocido",TRIM('DATOS'!F350&amp;"")&lt;&gt;"Sin confirmar",TRIM('DATOS'!F350&amp;"")&lt;&gt;"Por decidir",TRIM('DATOS'!F350&amp;"")&lt;&gt;"Por comprobar")),2,IF(COUNTIFS('REFERENCIAS'!$T$15:$T$34,"ID:"&amp;SUBSTITUTE(SUBSTITUTE(SUBSTITUTE(SUBSTITUTE(UPPER(TRIM('DATOS'!F350&amp;"")),"!","!E"),"*","!A"),"?","!B"),"~","!C"),'REFERENCIAS'!$H$15:$H$34,"&lt;&gt;")&gt;0,0,1))),2)</f>
      </c>
      <c r="U350" s="29" t="str">
        <f>'DATOS'!R350</f>
        <v>ID:</v>
      </c>
      <c r="V350" s="29" t="str">
        <f>'DATOS'!S350</f>
        <v>ID:</v>
      </c>
      <c r="W350" s="29" t="n">
        <f>IF(N350=0,0,COUNTIFS('REFERENCIAS'!$R$15:$R$64,U350))</f>
        <v>0</v>
      </c>
      <c r="X350" s="29" t="n">
        <f>IF(N350=0,0,COUNTIFS('DATOS'!$R$10:$R$509,U350,'DATOS'!$S$10:$S$509,V350))</f>
        <v>0</v>
      </c>
      <c r="Y350" s="29" t="n">
        <f>IF(AND(ISNUMBER('DATOS'!G350),ISNUMBER('DATOS'!H350),ISNUMBER('DATOS'!J350)),1,0)</f>
        <v>0</v>
      </c>
    </row>
    <row r="351" ht="64" customHeight="1">
      <c r="B351" s="26">
        <f>IF(N351=1,342,"")</f>
      </c>
      <c r="C351" s="26">
        <f>IF(AND(N351=1,LEN(TRIM('DATOS'!B351&amp;""))&gt;0),'DATOS'!B351,"")</f>
      </c>
      <c r="D351" s="26">
        <f>IF(AND(N351=1,LEN(TRIM('DATOS'!C351&amp;""))&gt;0),'DATOS'!C351,"")</f>
      </c>
      <c r="E351" s="26">
        <f>IF(NOT(ISNUMBER(P351)),"",IF(P351=2,"ROJO",IF(P351=1,"ÁMBAR","VERDE")))</f>
      </c>
      <c r="F351" s="26">
        <f>IF(NOT(ISNUMBER(Q351)),"",IF(Q351=2,"ROJO",IF(Q351=1,"ÁMBAR","VERDE")))</f>
      </c>
      <c r="G351" s="26">
        <f>IF(NOT(ISNUMBER(R351)),"",IF(R351=2,"ROJO",IF(R351=1,"ÁMBAR","VERDE")))</f>
      </c>
      <c r="H351" s="26">
        <f>IF(NOT(ISNUMBER(S351)),"",IF(S351=2,"ROJO",IF(S351=1,"ÁMBAR","VERDE")))</f>
      </c>
      <c r="I351" s="26">
        <f>IF(NOT(ISNUMBER(T351)),"",IF(T351=2,"ROJO",IF(T351=1,"ÁMBAR","VERDE")))</f>
      </c>
      <c r="J351" s="26">
        <f>IF(NOT(ISNUMBER(O351)),"",IF(O351=2,"ROJO",IF(O351=1,"ÁMBAR","VERDE")))</f>
      </c>
      <c r="K351" s="26">
        <f>IFERROR(IF(AND(N351=1,LEN(TRIM('DATOS'!N351&amp;""))&gt;0),'DATOS'!N351,""),"Hay una entrada con error. Corregimos el dato antes de cerrar la comprobación.")</f>
      </c>
      <c r="L351" s="26">
        <f>IFERROR(IF(N351=0,"",IF(O351&gt;0,"Completamos datos, claves o motivo. ","")&amp;IF(P351&gt;0,"Cotejamos precios e importe. ","")&amp;IF(Q351&gt;0,"Aclaramos el cero. ","")&amp;IF(R351&gt;0,"Comprobamos el texto. ","")&amp;IF(S351&gt;0,"Revisamos decimales visibles. ","")&amp;IF(T351&gt;0,"Confirmamos la unidad.","")),"Hay una entrada con error. Corregimos el dato antes de cerrar la comprobación.")</f>
      </c>
      <c r="N351" s="29" t="n">
        <f>IF(COUNTA('DATOS'!B351:O351)&gt;0,1,0)</f>
        <v>0</v>
      </c>
      <c r="O351" s="29">
        <f>IFERROR(IF(N351=0,"",IF(OR(NOT(AND(LEN(TRIM('DATOS'!B351&amp;""))&gt;0,TRIM('DATOS'!B351&amp;"")&lt;&gt;"Pendiente",TRIM('DATOS'!B351&amp;"")&lt;&gt;"Por confirmar",TRIM('DATOS'!B351&amp;"")&lt;&gt;"No consta",TRIM('DATOS'!B351&amp;"")&lt;&gt;"Desconocido",TRIM('DATOS'!B351&amp;"")&lt;&gt;"Sin confirmar",TRIM('DATOS'!B351&amp;"")&lt;&gt;"Por decidir",TRIM('DATOS'!B351&amp;"")&lt;&gt;"Por comprobar")),NOT(AND(LEN(TRIM('DATOS'!C351&amp;""))&gt;0,TRIM('DATOS'!C351&amp;"")&lt;&gt;"Pendiente",TRIM('DATOS'!C351&amp;"")&lt;&gt;"Por confirmar",TRIM('DATOS'!C351&amp;"")&lt;&gt;"No consta",TRIM('DATOS'!C351&amp;"")&lt;&gt;"Desconocido",TRIM('DATOS'!C351&amp;"")&lt;&gt;"Sin confirmar",TRIM('DATOS'!C351&amp;"")&lt;&gt;"Por decidir",TRIM('DATOS'!C351&amp;"")&lt;&gt;"Por comprobar")),NOT(AND(LEN(TRIM('DATOS'!D351&amp;""))&gt;0,TRIM('DATOS'!D351&amp;"")&lt;&gt;"Pendiente",TRIM('DATOS'!D351&amp;"")&lt;&gt;"Por confirmar",TRIM('DATOS'!D351&amp;"")&lt;&gt;"No consta",TRIM('DATOS'!D351&amp;"")&lt;&gt;"Desconocido",TRIM('DATOS'!D351&amp;"")&lt;&gt;"Sin confirmar",TRIM('DATOS'!D351&amp;"")&lt;&gt;"Por decidir",TRIM('DATOS'!D351&amp;"")&lt;&gt;"Por comprobar")),NOT(AND(LEN(TRIM('DATOS'!E351&amp;""))&gt;0,TRIM('DATOS'!E351&amp;"")&lt;&gt;"Pendiente",TRIM('DATOS'!E351&amp;"")&lt;&gt;"Por confirmar",TRIM('DATOS'!E351&amp;"")&lt;&gt;"No consta",TRIM('DATOS'!E351&amp;"")&lt;&gt;"Desconocido",TRIM('DATOS'!E351&amp;"")&lt;&gt;"Sin confirmar",TRIM('DATOS'!E351&amp;"")&lt;&gt;"Por decidir",TRIM('DATOS'!E351&amp;"")&lt;&gt;"Por comprobar")),NOT(AND(LEN(TRIM('DATOS'!F351&amp;""))&gt;0,TRIM('DATOS'!F351&amp;"")&lt;&gt;"Pendiente",TRIM('DATOS'!F351&amp;"")&lt;&gt;"Por confirmar",TRIM('DATOS'!F351&amp;"")&lt;&gt;"No consta",TRIM('DATOS'!F351&amp;"")&lt;&gt;"Desconocido",TRIM('DATOS'!F351&amp;"")&lt;&gt;"Sin confirmar",TRIM('DATOS'!F351&amp;"")&lt;&gt;"Por decidir",TRIM('DATOS'!F351&amp;"")&lt;&gt;"Por comprobar")),NOT(AND(LEN(TRIM('DATOS'!N351&amp;""))&gt;0,TRIM('DATOS'!N351&amp;"")&lt;&gt;"Pendiente",TRIM('DATOS'!N351&amp;"")&lt;&gt;"Por confirmar",TRIM('DATOS'!N351&amp;"")&lt;&gt;"No consta",TRIM('DATOS'!N351&amp;"")&lt;&gt;"Desconocido",TRIM('DATOS'!N351&amp;"")&lt;&gt;"Sin confirmar",TRIM('DATOS'!N351&amp;"")&lt;&gt;"Por decidir",TRIM('DATOS'!N351&amp;"")&lt;&gt;"Por comprobar")),NOT(Y351=1),W351&lt;&gt;1,X351&gt;1,NOT(OR(LEN(TRIM('DATOS'!K351&amp;""))=0,'DATOS'!K351="Sin valorar",'DATOS'!K351="Sin coste documentado",'DATOS'!K351="Incluido en otra partida",'DATOS'!K351="Por confirmar")),NOT(OR(LEN(TRIM('DATOS'!M351&amp;""))=0,'DATOS'!M351="Sí",'DATOS'!M351="No",'DATOS'!M351="Por confirmar")),NOT(OR(LEN(TRIM('DATOS'!O351&amp;""))=0,'DATOS'!O351="Comparamos",'DATOS'!O351="No existe",'DATOS'!O351="Por confirmar"))),2,IF(AND(OR('DATOS'!G351&lt;0,'DATOS'!H351&lt;0,'DATOS'!J351&lt;0),NOT(AND(LEN(TRIM('DATOS'!L351&amp;""))&gt;0,TRIM('DATOS'!L351&amp;"")&lt;&gt;"Pendiente",TRIM('DATOS'!L351&amp;"")&lt;&gt;"Por confirmar",TRIM('DATOS'!L351&amp;"")&lt;&gt;"No consta",TRIM('DATOS'!L351&amp;"")&lt;&gt;"Desconocido",TRIM('DATOS'!L351&amp;"")&lt;&gt;"Sin confirmar",TRIM('DATOS'!L351&amp;"")&lt;&gt;"Por decidir",TRIM('DATOS'!L351&amp;"")&lt;&gt;"Por comprobar"))),1,0))),2)</f>
      </c>
      <c r="P351" s="29">
        <f>IFERROR(IF(N351=0,"",IF(NOT(Y351=1),1,IF('REFERENCIAS'!$Q$8&lt;&gt;1,2,IF(ABS('DATOS'!J351-ROUND('DATOS'!G351*'DATOS'!H351,'REFERENCIAS'!$K$8))&gt;0.00000001,2,IF('DATOS'!O351="No existe",IF(LEN(TRIM('DATOS'!I351&amp;""))=0,0,2),IF('DATOS'!O351="Comparamos",IF(LEN(TRIM('DATOS'!I351&amp;""))=0,1,IF(ISNUMBER('DATOS'!I351),IF(ABS('DATOS'!H351-'DATOS'!I351)&gt;0.00000001,2,0),2)),1)))))),2)</f>
      </c>
      <c r="Q351" s="29">
        <f>IFERROR(IF(N351=0,"",IF(NOT(Y351=1),1,IF('DATOS'!K351="Sin valorar",2,IF('DATOS'!G351=0,1,IF(OR('DATOS'!H351=0,'DATOS'!J351=0),IF(AND(OR('DATOS'!K351="Sin coste documentado",'DATOS'!K351="Incluido en otra partida"),AND(LEN(TRIM('DATOS'!L351&amp;""))&gt;0,TRIM('DATOS'!L351&amp;"")&lt;&gt;"Pendiente",TRIM('DATOS'!L351&amp;"")&lt;&gt;"Por confirmar",TRIM('DATOS'!L351&amp;"")&lt;&gt;"No consta",TRIM('DATOS'!L351&amp;"")&lt;&gt;"Desconocido",TRIM('DATOS'!L351&amp;"")&lt;&gt;"Sin confirmar",TRIM('DATOS'!L351&amp;"")&lt;&gt;"Por decidir",TRIM('DATOS'!L351&amp;"")&lt;&gt;"Por comprobar")),0,1),0))))),2)</f>
      </c>
      <c r="R351" s="29">
        <f>IFERROR(IF(N351=0,"",IF(OR(NOT(AND(LEN(TRIM('DATOS'!D351&amp;""))&gt;0,TRIM('DATOS'!D351&amp;"")&lt;&gt;"Pendiente",TRIM('DATOS'!D351&amp;"")&lt;&gt;"Por confirmar",TRIM('DATOS'!D351&amp;"")&lt;&gt;"No consta",TRIM('DATOS'!D351&amp;"")&lt;&gt;"Desconocido",TRIM('DATOS'!D351&amp;"")&lt;&gt;"Sin confirmar",TRIM('DATOS'!D351&amp;"")&lt;&gt;"Por decidir",TRIM('DATOS'!D351&amp;"")&lt;&gt;"Por comprobar")),NOT(AND(LEN(TRIM('DATOS'!E351&amp;""))&gt;0,TRIM('DATOS'!E351&amp;"")&lt;&gt;"Pendiente",TRIM('DATOS'!E351&amp;"")&lt;&gt;"Por confirmar",TRIM('DATOS'!E351&amp;"")&lt;&gt;"No consta",TRIM('DATOS'!E351&amp;"")&lt;&gt;"Desconocido",TRIM('DATOS'!E351&amp;"")&lt;&gt;"Sin confirmar",TRIM('DATOS'!E351&amp;"")&lt;&gt;"Por decidir",TRIM('DATOS'!E351&amp;"")&lt;&gt;"Por comprobar"))),2,IF('DATOS'!M351="No",2,IF('DATOS'!M351="Sí",0,IF(OR('DATOS'!D351&lt;&gt;'DATOS'!E351,LEN('DATOS'!E351)&gt;300,RIGHT(TRIM('DATOS'!E351),3)="...",RIGHT(TRIM('DATOS'!E351),1)="…"),1,0))))),2)</f>
      </c>
      <c r="S351" s="29">
        <f>IFERROR(IF(N351=0,"",IF('REFERENCIAS'!$Q$8&lt;&gt;1,2,IF(NOT(Y351=1),1,IF(OR(ABS('DATOS'!G351-ROUND('DATOS'!G351,'REFERENCIAS'!$E$8))&gt;0.00000001,ABS('DATOS'!H351-ROUND('DATOS'!H351,'REFERENCIAS'!$H$8))&gt;0.00000001,ABS('DATOS'!J351-ROUND('DATOS'!J351,'REFERENCIAS'!$K$8))&gt;0.00000001,IF(ISNUMBER('DATOS'!I351),ABS('DATOS'!I351-ROUND('DATOS'!I351,'REFERENCIAS'!$H$8))&gt;0.00000001,FALSE)),1,0)))),2)</f>
      </c>
      <c r="T351" s="29">
        <f>IFERROR(IF(N351=0,"",IF(NOT(AND(LEN(TRIM('DATOS'!F351&amp;""))&gt;0,TRIM('DATOS'!F351&amp;"")&lt;&gt;"Pendiente",TRIM('DATOS'!F351&amp;"")&lt;&gt;"Por confirmar",TRIM('DATOS'!F351&amp;"")&lt;&gt;"No consta",TRIM('DATOS'!F351&amp;"")&lt;&gt;"Desconocido",TRIM('DATOS'!F351&amp;"")&lt;&gt;"Sin confirmar",TRIM('DATOS'!F351&amp;"")&lt;&gt;"Por decidir",TRIM('DATOS'!F351&amp;"")&lt;&gt;"Por comprobar")),2,IF(COUNTIFS('REFERENCIAS'!$T$15:$T$34,"ID:"&amp;SUBSTITUTE(SUBSTITUTE(SUBSTITUTE(SUBSTITUTE(UPPER(TRIM('DATOS'!F351&amp;"")),"!","!E"),"*","!A"),"?","!B"),"~","!C"),'REFERENCIAS'!$H$15:$H$34,"&lt;&gt;")&gt;0,0,1))),2)</f>
      </c>
      <c r="U351" s="29" t="str">
        <f>'DATOS'!R351</f>
        <v>ID:</v>
      </c>
      <c r="V351" s="29" t="str">
        <f>'DATOS'!S351</f>
        <v>ID:</v>
      </c>
      <c r="W351" s="29" t="n">
        <f>IF(N351=0,0,COUNTIFS('REFERENCIAS'!$R$15:$R$64,U351))</f>
        <v>0</v>
      </c>
      <c r="X351" s="29" t="n">
        <f>IF(N351=0,0,COUNTIFS('DATOS'!$R$10:$R$509,U351,'DATOS'!$S$10:$S$509,V351))</f>
        <v>0</v>
      </c>
      <c r="Y351" s="29" t="n">
        <f>IF(AND(ISNUMBER('DATOS'!G351),ISNUMBER('DATOS'!H351),ISNUMBER('DATOS'!J351)),1,0)</f>
        <v>0</v>
      </c>
    </row>
    <row r="352" ht="64" customHeight="1">
      <c r="B352" s="26">
        <f>IF(N352=1,343,"")</f>
      </c>
      <c r="C352" s="26">
        <f>IF(AND(N352=1,LEN(TRIM('DATOS'!B352&amp;""))&gt;0),'DATOS'!B352,"")</f>
      </c>
      <c r="D352" s="26">
        <f>IF(AND(N352=1,LEN(TRIM('DATOS'!C352&amp;""))&gt;0),'DATOS'!C352,"")</f>
      </c>
      <c r="E352" s="26">
        <f>IF(NOT(ISNUMBER(P352)),"",IF(P352=2,"ROJO",IF(P352=1,"ÁMBAR","VERDE")))</f>
      </c>
      <c r="F352" s="26">
        <f>IF(NOT(ISNUMBER(Q352)),"",IF(Q352=2,"ROJO",IF(Q352=1,"ÁMBAR","VERDE")))</f>
      </c>
      <c r="G352" s="26">
        <f>IF(NOT(ISNUMBER(R352)),"",IF(R352=2,"ROJO",IF(R352=1,"ÁMBAR","VERDE")))</f>
      </c>
      <c r="H352" s="26">
        <f>IF(NOT(ISNUMBER(S352)),"",IF(S352=2,"ROJO",IF(S352=1,"ÁMBAR","VERDE")))</f>
      </c>
      <c r="I352" s="26">
        <f>IF(NOT(ISNUMBER(T352)),"",IF(T352=2,"ROJO",IF(T352=1,"ÁMBAR","VERDE")))</f>
      </c>
      <c r="J352" s="26">
        <f>IF(NOT(ISNUMBER(O352)),"",IF(O352=2,"ROJO",IF(O352=1,"ÁMBAR","VERDE")))</f>
      </c>
      <c r="K352" s="26">
        <f>IFERROR(IF(AND(N352=1,LEN(TRIM('DATOS'!N352&amp;""))&gt;0),'DATOS'!N352,""),"Hay una entrada con error. Corregimos el dato antes de cerrar la comprobación.")</f>
      </c>
      <c r="L352" s="26">
        <f>IFERROR(IF(N352=0,"",IF(O352&gt;0,"Completamos datos, claves o motivo. ","")&amp;IF(P352&gt;0,"Cotejamos precios e importe. ","")&amp;IF(Q352&gt;0,"Aclaramos el cero. ","")&amp;IF(R352&gt;0,"Comprobamos el texto. ","")&amp;IF(S352&gt;0,"Revisamos decimales visibles. ","")&amp;IF(T352&gt;0,"Confirmamos la unidad.","")),"Hay una entrada con error. Corregimos el dato antes de cerrar la comprobación.")</f>
      </c>
      <c r="N352" s="29" t="n">
        <f>IF(COUNTA('DATOS'!B352:O352)&gt;0,1,0)</f>
        <v>0</v>
      </c>
      <c r="O352" s="29">
        <f>IFERROR(IF(N352=0,"",IF(OR(NOT(AND(LEN(TRIM('DATOS'!B352&amp;""))&gt;0,TRIM('DATOS'!B352&amp;"")&lt;&gt;"Pendiente",TRIM('DATOS'!B352&amp;"")&lt;&gt;"Por confirmar",TRIM('DATOS'!B352&amp;"")&lt;&gt;"No consta",TRIM('DATOS'!B352&amp;"")&lt;&gt;"Desconocido",TRIM('DATOS'!B352&amp;"")&lt;&gt;"Sin confirmar",TRIM('DATOS'!B352&amp;"")&lt;&gt;"Por decidir",TRIM('DATOS'!B352&amp;"")&lt;&gt;"Por comprobar")),NOT(AND(LEN(TRIM('DATOS'!C352&amp;""))&gt;0,TRIM('DATOS'!C352&amp;"")&lt;&gt;"Pendiente",TRIM('DATOS'!C352&amp;"")&lt;&gt;"Por confirmar",TRIM('DATOS'!C352&amp;"")&lt;&gt;"No consta",TRIM('DATOS'!C352&amp;"")&lt;&gt;"Desconocido",TRIM('DATOS'!C352&amp;"")&lt;&gt;"Sin confirmar",TRIM('DATOS'!C352&amp;"")&lt;&gt;"Por decidir",TRIM('DATOS'!C352&amp;"")&lt;&gt;"Por comprobar")),NOT(AND(LEN(TRIM('DATOS'!D352&amp;""))&gt;0,TRIM('DATOS'!D352&amp;"")&lt;&gt;"Pendiente",TRIM('DATOS'!D352&amp;"")&lt;&gt;"Por confirmar",TRIM('DATOS'!D352&amp;"")&lt;&gt;"No consta",TRIM('DATOS'!D352&amp;"")&lt;&gt;"Desconocido",TRIM('DATOS'!D352&amp;"")&lt;&gt;"Sin confirmar",TRIM('DATOS'!D352&amp;"")&lt;&gt;"Por decidir",TRIM('DATOS'!D352&amp;"")&lt;&gt;"Por comprobar")),NOT(AND(LEN(TRIM('DATOS'!E352&amp;""))&gt;0,TRIM('DATOS'!E352&amp;"")&lt;&gt;"Pendiente",TRIM('DATOS'!E352&amp;"")&lt;&gt;"Por confirmar",TRIM('DATOS'!E352&amp;"")&lt;&gt;"No consta",TRIM('DATOS'!E352&amp;"")&lt;&gt;"Desconocido",TRIM('DATOS'!E352&amp;"")&lt;&gt;"Sin confirmar",TRIM('DATOS'!E352&amp;"")&lt;&gt;"Por decidir",TRIM('DATOS'!E352&amp;"")&lt;&gt;"Por comprobar")),NOT(AND(LEN(TRIM('DATOS'!F352&amp;""))&gt;0,TRIM('DATOS'!F352&amp;"")&lt;&gt;"Pendiente",TRIM('DATOS'!F352&amp;"")&lt;&gt;"Por confirmar",TRIM('DATOS'!F352&amp;"")&lt;&gt;"No consta",TRIM('DATOS'!F352&amp;"")&lt;&gt;"Desconocido",TRIM('DATOS'!F352&amp;"")&lt;&gt;"Sin confirmar",TRIM('DATOS'!F352&amp;"")&lt;&gt;"Por decidir",TRIM('DATOS'!F352&amp;"")&lt;&gt;"Por comprobar")),NOT(AND(LEN(TRIM('DATOS'!N352&amp;""))&gt;0,TRIM('DATOS'!N352&amp;"")&lt;&gt;"Pendiente",TRIM('DATOS'!N352&amp;"")&lt;&gt;"Por confirmar",TRIM('DATOS'!N352&amp;"")&lt;&gt;"No consta",TRIM('DATOS'!N352&amp;"")&lt;&gt;"Desconocido",TRIM('DATOS'!N352&amp;"")&lt;&gt;"Sin confirmar",TRIM('DATOS'!N352&amp;"")&lt;&gt;"Por decidir",TRIM('DATOS'!N352&amp;"")&lt;&gt;"Por comprobar")),NOT(Y352=1),W352&lt;&gt;1,X352&gt;1,NOT(OR(LEN(TRIM('DATOS'!K352&amp;""))=0,'DATOS'!K352="Sin valorar",'DATOS'!K352="Sin coste documentado",'DATOS'!K352="Incluido en otra partida",'DATOS'!K352="Por confirmar")),NOT(OR(LEN(TRIM('DATOS'!M352&amp;""))=0,'DATOS'!M352="Sí",'DATOS'!M352="No",'DATOS'!M352="Por confirmar")),NOT(OR(LEN(TRIM('DATOS'!O352&amp;""))=0,'DATOS'!O352="Comparamos",'DATOS'!O352="No existe",'DATOS'!O352="Por confirmar"))),2,IF(AND(OR('DATOS'!G352&lt;0,'DATOS'!H352&lt;0,'DATOS'!J352&lt;0),NOT(AND(LEN(TRIM('DATOS'!L352&amp;""))&gt;0,TRIM('DATOS'!L352&amp;"")&lt;&gt;"Pendiente",TRIM('DATOS'!L352&amp;"")&lt;&gt;"Por confirmar",TRIM('DATOS'!L352&amp;"")&lt;&gt;"No consta",TRIM('DATOS'!L352&amp;"")&lt;&gt;"Desconocido",TRIM('DATOS'!L352&amp;"")&lt;&gt;"Sin confirmar",TRIM('DATOS'!L352&amp;"")&lt;&gt;"Por decidir",TRIM('DATOS'!L352&amp;"")&lt;&gt;"Por comprobar"))),1,0))),2)</f>
      </c>
      <c r="P352" s="29">
        <f>IFERROR(IF(N352=0,"",IF(NOT(Y352=1),1,IF('REFERENCIAS'!$Q$8&lt;&gt;1,2,IF(ABS('DATOS'!J352-ROUND('DATOS'!G352*'DATOS'!H352,'REFERENCIAS'!$K$8))&gt;0.00000001,2,IF('DATOS'!O352="No existe",IF(LEN(TRIM('DATOS'!I352&amp;""))=0,0,2),IF('DATOS'!O352="Comparamos",IF(LEN(TRIM('DATOS'!I352&amp;""))=0,1,IF(ISNUMBER('DATOS'!I352),IF(ABS('DATOS'!H352-'DATOS'!I352)&gt;0.00000001,2,0),2)),1)))))),2)</f>
      </c>
      <c r="Q352" s="29">
        <f>IFERROR(IF(N352=0,"",IF(NOT(Y352=1),1,IF('DATOS'!K352="Sin valorar",2,IF('DATOS'!G352=0,1,IF(OR('DATOS'!H352=0,'DATOS'!J352=0),IF(AND(OR('DATOS'!K352="Sin coste documentado",'DATOS'!K352="Incluido en otra partida"),AND(LEN(TRIM('DATOS'!L352&amp;""))&gt;0,TRIM('DATOS'!L352&amp;"")&lt;&gt;"Pendiente",TRIM('DATOS'!L352&amp;"")&lt;&gt;"Por confirmar",TRIM('DATOS'!L352&amp;"")&lt;&gt;"No consta",TRIM('DATOS'!L352&amp;"")&lt;&gt;"Desconocido",TRIM('DATOS'!L352&amp;"")&lt;&gt;"Sin confirmar",TRIM('DATOS'!L352&amp;"")&lt;&gt;"Por decidir",TRIM('DATOS'!L352&amp;"")&lt;&gt;"Por comprobar")),0,1),0))))),2)</f>
      </c>
      <c r="R352" s="29">
        <f>IFERROR(IF(N352=0,"",IF(OR(NOT(AND(LEN(TRIM('DATOS'!D352&amp;""))&gt;0,TRIM('DATOS'!D352&amp;"")&lt;&gt;"Pendiente",TRIM('DATOS'!D352&amp;"")&lt;&gt;"Por confirmar",TRIM('DATOS'!D352&amp;"")&lt;&gt;"No consta",TRIM('DATOS'!D352&amp;"")&lt;&gt;"Desconocido",TRIM('DATOS'!D352&amp;"")&lt;&gt;"Sin confirmar",TRIM('DATOS'!D352&amp;"")&lt;&gt;"Por decidir",TRIM('DATOS'!D352&amp;"")&lt;&gt;"Por comprobar")),NOT(AND(LEN(TRIM('DATOS'!E352&amp;""))&gt;0,TRIM('DATOS'!E352&amp;"")&lt;&gt;"Pendiente",TRIM('DATOS'!E352&amp;"")&lt;&gt;"Por confirmar",TRIM('DATOS'!E352&amp;"")&lt;&gt;"No consta",TRIM('DATOS'!E352&amp;"")&lt;&gt;"Desconocido",TRIM('DATOS'!E352&amp;"")&lt;&gt;"Sin confirmar",TRIM('DATOS'!E352&amp;"")&lt;&gt;"Por decidir",TRIM('DATOS'!E352&amp;"")&lt;&gt;"Por comprobar"))),2,IF('DATOS'!M352="No",2,IF('DATOS'!M352="Sí",0,IF(OR('DATOS'!D352&lt;&gt;'DATOS'!E352,LEN('DATOS'!E352)&gt;300,RIGHT(TRIM('DATOS'!E352),3)="...",RIGHT(TRIM('DATOS'!E352),1)="…"),1,0))))),2)</f>
      </c>
      <c r="S352" s="29">
        <f>IFERROR(IF(N352=0,"",IF('REFERENCIAS'!$Q$8&lt;&gt;1,2,IF(NOT(Y352=1),1,IF(OR(ABS('DATOS'!G352-ROUND('DATOS'!G352,'REFERENCIAS'!$E$8))&gt;0.00000001,ABS('DATOS'!H352-ROUND('DATOS'!H352,'REFERENCIAS'!$H$8))&gt;0.00000001,ABS('DATOS'!J352-ROUND('DATOS'!J352,'REFERENCIAS'!$K$8))&gt;0.00000001,IF(ISNUMBER('DATOS'!I352),ABS('DATOS'!I352-ROUND('DATOS'!I352,'REFERENCIAS'!$H$8))&gt;0.00000001,FALSE)),1,0)))),2)</f>
      </c>
      <c r="T352" s="29">
        <f>IFERROR(IF(N352=0,"",IF(NOT(AND(LEN(TRIM('DATOS'!F352&amp;""))&gt;0,TRIM('DATOS'!F352&amp;"")&lt;&gt;"Pendiente",TRIM('DATOS'!F352&amp;"")&lt;&gt;"Por confirmar",TRIM('DATOS'!F352&amp;"")&lt;&gt;"No consta",TRIM('DATOS'!F352&amp;"")&lt;&gt;"Desconocido",TRIM('DATOS'!F352&amp;"")&lt;&gt;"Sin confirmar",TRIM('DATOS'!F352&amp;"")&lt;&gt;"Por decidir",TRIM('DATOS'!F352&amp;"")&lt;&gt;"Por comprobar")),2,IF(COUNTIFS('REFERENCIAS'!$T$15:$T$34,"ID:"&amp;SUBSTITUTE(SUBSTITUTE(SUBSTITUTE(SUBSTITUTE(UPPER(TRIM('DATOS'!F352&amp;"")),"!","!E"),"*","!A"),"?","!B"),"~","!C"),'REFERENCIAS'!$H$15:$H$34,"&lt;&gt;")&gt;0,0,1))),2)</f>
      </c>
      <c r="U352" s="29" t="str">
        <f>'DATOS'!R352</f>
        <v>ID:</v>
      </c>
      <c r="V352" s="29" t="str">
        <f>'DATOS'!S352</f>
        <v>ID:</v>
      </c>
      <c r="W352" s="29" t="n">
        <f>IF(N352=0,0,COUNTIFS('REFERENCIAS'!$R$15:$R$64,U352))</f>
        <v>0</v>
      </c>
      <c r="X352" s="29" t="n">
        <f>IF(N352=0,0,COUNTIFS('DATOS'!$R$10:$R$509,U352,'DATOS'!$S$10:$S$509,V352))</f>
        <v>0</v>
      </c>
      <c r="Y352" s="29" t="n">
        <f>IF(AND(ISNUMBER('DATOS'!G352),ISNUMBER('DATOS'!H352),ISNUMBER('DATOS'!J352)),1,0)</f>
        <v>0</v>
      </c>
    </row>
    <row r="353" ht="64" customHeight="1">
      <c r="B353" s="26">
        <f>IF(N353=1,344,"")</f>
      </c>
      <c r="C353" s="26">
        <f>IF(AND(N353=1,LEN(TRIM('DATOS'!B353&amp;""))&gt;0),'DATOS'!B353,"")</f>
      </c>
      <c r="D353" s="26">
        <f>IF(AND(N353=1,LEN(TRIM('DATOS'!C353&amp;""))&gt;0),'DATOS'!C353,"")</f>
      </c>
      <c r="E353" s="26">
        <f>IF(NOT(ISNUMBER(P353)),"",IF(P353=2,"ROJO",IF(P353=1,"ÁMBAR","VERDE")))</f>
      </c>
      <c r="F353" s="26">
        <f>IF(NOT(ISNUMBER(Q353)),"",IF(Q353=2,"ROJO",IF(Q353=1,"ÁMBAR","VERDE")))</f>
      </c>
      <c r="G353" s="26">
        <f>IF(NOT(ISNUMBER(R353)),"",IF(R353=2,"ROJO",IF(R353=1,"ÁMBAR","VERDE")))</f>
      </c>
      <c r="H353" s="26">
        <f>IF(NOT(ISNUMBER(S353)),"",IF(S353=2,"ROJO",IF(S353=1,"ÁMBAR","VERDE")))</f>
      </c>
      <c r="I353" s="26">
        <f>IF(NOT(ISNUMBER(T353)),"",IF(T353=2,"ROJO",IF(T353=1,"ÁMBAR","VERDE")))</f>
      </c>
      <c r="J353" s="26">
        <f>IF(NOT(ISNUMBER(O353)),"",IF(O353=2,"ROJO",IF(O353=1,"ÁMBAR","VERDE")))</f>
      </c>
      <c r="K353" s="26">
        <f>IFERROR(IF(AND(N353=1,LEN(TRIM('DATOS'!N353&amp;""))&gt;0),'DATOS'!N353,""),"Hay una entrada con error. Corregimos el dato antes de cerrar la comprobación.")</f>
      </c>
      <c r="L353" s="26">
        <f>IFERROR(IF(N353=0,"",IF(O353&gt;0,"Completamos datos, claves o motivo. ","")&amp;IF(P353&gt;0,"Cotejamos precios e importe. ","")&amp;IF(Q353&gt;0,"Aclaramos el cero. ","")&amp;IF(R353&gt;0,"Comprobamos el texto. ","")&amp;IF(S353&gt;0,"Revisamos decimales visibles. ","")&amp;IF(T353&gt;0,"Confirmamos la unidad.","")),"Hay una entrada con error. Corregimos el dato antes de cerrar la comprobación.")</f>
      </c>
      <c r="N353" s="29" t="n">
        <f>IF(COUNTA('DATOS'!B353:O353)&gt;0,1,0)</f>
        <v>0</v>
      </c>
      <c r="O353" s="29">
        <f>IFERROR(IF(N353=0,"",IF(OR(NOT(AND(LEN(TRIM('DATOS'!B353&amp;""))&gt;0,TRIM('DATOS'!B353&amp;"")&lt;&gt;"Pendiente",TRIM('DATOS'!B353&amp;"")&lt;&gt;"Por confirmar",TRIM('DATOS'!B353&amp;"")&lt;&gt;"No consta",TRIM('DATOS'!B353&amp;"")&lt;&gt;"Desconocido",TRIM('DATOS'!B353&amp;"")&lt;&gt;"Sin confirmar",TRIM('DATOS'!B353&amp;"")&lt;&gt;"Por decidir",TRIM('DATOS'!B353&amp;"")&lt;&gt;"Por comprobar")),NOT(AND(LEN(TRIM('DATOS'!C353&amp;""))&gt;0,TRIM('DATOS'!C353&amp;"")&lt;&gt;"Pendiente",TRIM('DATOS'!C353&amp;"")&lt;&gt;"Por confirmar",TRIM('DATOS'!C353&amp;"")&lt;&gt;"No consta",TRIM('DATOS'!C353&amp;"")&lt;&gt;"Desconocido",TRIM('DATOS'!C353&amp;"")&lt;&gt;"Sin confirmar",TRIM('DATOS'!C353&amp;"")&lt;&gt;"Por decidir",TRIM('DATOS'!C353&amp;"")&lt;&gt;"Por comprobar")),NOT(AND(LEN(TRIM('DATOS'!D353&amp;""))&gt;0,TRIM('DATOS'!D353&amp;"")&lt;&gt;"Pendiente",TRIM('DATOS'!D353&amp;"")&lt;&gt;"Por confirmar",TRIM('DATOS'!D353&amp;"")&lt;&gt;"No consta",TRIM('DATOS'!D353&amp;"")&lt;&gt;"Desconocido",TRIM('DATOS'!D353&amp;"")&lt;&gt;"Sin confirmar",TRIM('DATOS'!D353&amp;"")&lt;&gt;"Por decidir",TRIM('DATOS'!D353&amp;"")&lt;&gt;"Por comprobar")),NOT(AND(LEN(TRIM('DATOS'!E353&amp;""))&gt;0,TRIM('DATOS'!E353&amp;"")&lt;&gt;"Pendiente",TRIM('DATOS'!E353&amp;"")&lt;&gt;"Por confirmar",TRIM('DATOS'!E353&amp;"")&lt;&gt;"No consta",TRIM('DATOS'!E353&amp;"")&lt;&gt;"Desconocido",TRIM('DATOS'!E353&amp;"")&lt;&gt;"Sin confirmar",TRIM('DATOS'!E353&amp;"")&lt;&gt;"Por decidir",TRIM('DATOS'!E353&amp;"")&lt;&gt;"Por comprobar")),NOT(AND(LEN(TRIM('DATOS'!F353&amp;""))&gt;0,TRIM('DATOS'!F353&amp;"")&lt;&gt;"Pendiente",TRIM('DATOS'!F353&amp;"")&lt;&gt;"Por confirmar",TRIM('DATOS'!F353&amp;"")&lt;&gt;"No consta",TRIM('DATOS'!F353&amp;"")&lt;&gt;"Desconocido",TRIM('DATOS'!F353&amp;"")&lt;&gt;"Sin confirmar",TRIM('DATOS'!F353&amp;"")&lt;&gt;"Por decidir",TRIM('DATOS'!F353&amp;"")&lt;&gt;"Por comprobar")),NOT(AND(LEN(TRIM('DATOS'!N353&amp;""))&gt;0,TRIM('DATOS'!N353&amp;"")&lt;&gt;"Pendiente",TRIM('DATOS'!N353&amp;"")&lt;&gt;"Por confirmar",TRIM('DATOS'!N353&amp;"")&lt;&gt;"No consta",TRIM('DATOS'!N353&amp;"")&lt;&gt;"Desconocido",TRIM('DATOS'!N353&amp;"")&lt;&gt;"Sin confirmar",TRIM('DATOS'!N353&amp;"")&lt;&gt;"Por decidir",TRIM('DATOS'!N353&amp;"")&lt;&gt;"Por comprobar")),NOT(Y353=1),W353&lt;&gt;1,X353&gt;1,NOT(OR(LEN(TRIM('DATOS'!K353&amp;""))=0,'DATOS'!K353="Sin valorar",'DATOS'!K353="Sin coste documentado",'DATOS'!K353="Incluido en otra partida",'DATOS'!K353="Por confirmar")),NOT(OR(LEN(TRIM('DATOS'!M353&amp;""))=0,'DATOS'!M353="Sí",'DATOS'!M353="No",'DATOS'!M353="Por confirmar")),NOT(OR(LEN(TRIM('DATOS'!O353&amp;""))=0,'DATOS'!O353="Comparamos",'DATOS'!O353="No existe",'DATOS'!O353="Por confirmar"))),2,IF(AND(OR('DATOS'!G353&lt;0,'DATOS'!H353&lt;0,'DATOS'!J353&lt;0),NOT(AND(LEN(TRIM('DATOS'!L353&amp;""))&gt;0,TRIM('DATOS'!L353&amp;"")&lt;&gt;"Pendiente",TRIM('DATOS'!L353&amp;"")&lt;&gt;"Por confirmar",TRIM('DATOS'!L353&amp;"")&lt;&gt;"No consta",TRIM('DATOS'!L353&amp;"")&lt;&gt;"Desconocido",TRIM('DATOS'!L353&amp;"")&lt;&gt;"Sin confirmar",TRIM('DATOS'!L353&amp;"")&lt;&gt;"Por decidir",TRIM('DATOS'!L353&amp;"")&lt;&gt;"Por comprobar"))),1,0))),2)</f>
      </c>
      <c r="P353" s="29">
        <f>IFERROR(IF(N353=0,"",IF(NOT(Y353=1),1,IF('REFERENCIAS'!$Q$8&lt;&gt;1,2,IF(ABS('DATOS'!J353-ROUND('DATOS'!G353*'DATOS'!H353,'REFERENCIAS'!$K$8))&gt;0.00000001,2,IF('DATOS'!O353="No existe",IF(LEN(TRIM('DATOS'!I353&amp;""))=0,0,2),IF('DATOS'!O353="Comparamos",IF(LEN(TRIM('DATOS'!I353&amp;""))=0,1,IF(ISNUMBER('DATOS'!I353),IF(ABS('DATOS'!H353-'DATOS'!I353)&gt;0.00000001,2,0),2)),1)))))),2)</f>
      </c>
      <c r="Q353" s="29">
        <f>IFERROR(IF(N353=0,"",IF(NOT(Y353=1),1,IF('DATOS'!K353="Sin valorar",2,IF('DATOS'!G353=0,1,IF(OR('DATOS'!H353=0,'DATOS'!J353=0),IF(AND(OR('DATOS'!K353="Sin coste documentado",'DATOS'!K353="Incluido en otra partida"),AND(LEN(TRIM('DATOS'!L353&amp;""))&gt;0,TRIM('DATOS'!L353&amp;"")&lt;&gt;"Pendiente",TRIM('DATOS'!L353&amp;"")&lt;&gt;"Por confirmar",TRIM('DATOS'!L353&amp;"")&lt;&gt;"No consta",TRIM('DATOS'!L353&amp;"")&lt;&gt;"Desconocido",TRIM('DATOS'!L353&amp;"")&lt;&gt;"Sin confirmar",TRIM('DATOS'!L353&amp;"")&lt;&gt;"Por decidir",TRIM('DATOS'!L353&amp;"")&lt;&gt;"Por comprobar")),0,1),0))))),2)</f>
      </c>
      <c r="R353" s="29">
        <f>IFERROR(IF(N353=0,"",IF(OR(NOT(AND(LEN(TRIM('DATOS'!D353&amp;""))&gt;0,TRIM('DATOS'!D353&amp;"")&lt;&gt;"Pendiente",TRIM('DATOS'!D353&amp;"")&lt;&gt;"Por confirmar",TRIM('DATOS'!D353&amp;"")&lt;&gt;"No consta",TRIM('DATOS'!D353&amp;"")&lt;&gt;"Desconocido",TRIM('DATOS'!D353&amp;"")&lt;&gt;"Sin confirmar",TRIM('DATOS'!D353&amp;"")&lt;&gt;"Por decidir",TRIM('DATOS'!D353&amp;"")&lt;&gt;"Por comprobar")),NOT(AND(LEN(TRIM('DATOS'!E353&amp;""))&gt;0,TRIM('DATOS'!E353&amp;"")&lt;&gt;"Pendiente",TRIM('DATOS'!E353&amp;"")&lt;&gt;"Por confirmar",TRIM('DATOS'!E353&amp;"")&lt;&gt;"No consta",TRIM('DATOS'!E353&amp;"")&lt;&gt;"Desconocido",TRIM('DATOS'!E353&amp;"")&lt;&gt;"Sin confirmar",TRIM('DATOS'!E353&amp;"")&lt;&gt;"Por decidir",TRIM('DATOS'!E353&amp;"")&lt;&gt;"Por comprobar"))),2,IF('DATOS'!M353="No",2,IF('DATOS'!M353="Sí",0,IF(OR('DATOS'!D353&lt;&gt;'DATOS'!E353,LEN('DATOS'!E353)&gt;300,RIGHT(TRIM('DATOS'!E353),3)="...",RIGHT(TRIM('DATOS'!E353),1)="…"),1,0))))),2)</f>
      </c>
      <c r="S353" s="29">
        <f>IFERROR(IF(N353=0,"",IF('REFERENCIAS'!$Q$8&lt;&gt;1,2,IF(NOT(Y353=1),1,IF(OR(ABS('DATOS'!G353-ROUND('DATOS'!G353,'REFERENCIAS'!$E$8))&gt;0.00000001,ABS('DATOS'!H353-ROUND('DATOS'!H353,'REFERENCIAS'!$H$8))&gt;0.00000001,ABS('DATOS'!J353-ROUND('DATOS'!J353,'REFERENCIAS'!$K$8))&gt;0.00000001,IF(ISNUMBER('DATOS'!I353),ABS('DATOS'!I353-ROUND('DATOS'!I353,'REFERENCIAS'!$H$8))&gt;0.00000001,FALSE)),1,0)))),2)</f>
      </c>
      <c r="T353" s="29">
        <f>IFERROR(IF(N353=0,"",IF(NOT(AND(LEN(TRIM('DATOS'!F353&amp;""))&gt;0,TRIM('DATOS'!F353&amp;"")&lt;&gt;"Pendiente",TRIM('DATOS'!F353&amp;"")&lt;&gt;"Por confirmar",TRIM('DATOS'!F353&amp;"")&lt;&gt;"No consta",TRIM('DATOS'!F353&amp;"")&lt;&gt;"Desconocido",TRIM('DATOS'!F353&amp;"")&lt;&gt;"Sin confirmar",TRIM('DATOS'!F353&amp;"")&lt;&gt;"Por decidir",TRIM('DATOS'!F353&amp;"")&lt;&gt;"Por comprobar")),2,IF(COUNTIFS('REFERENCIAS'!$T$15:$T$34,"ID:"&amp;SUBSTITUTE(SUBSTITUTE(SUBSTITUTE(SUBSTITUTE(UPPER(TRIM('DATOS'!F353&amp;"")),"!","!E"),"*","!A"),"?","!B"),"~","!C"),'REFERENCIAS'!$H$15:$H$34,"&lt;&gt;")&gt;0,0,1))),2)</f>
      </c>
      <c r="U353" s="29" t="str">
        <f>'DATOS'!R353</f>
        <v>ID:</v>
      </c>
      <c r="V353" s="29" t="str">
        <f>'DATOS'!S353</f>
        <v>ID:</v>
      </c>
      <c r="W353" s="29" t="n">
        <f>IF(N353=0,0,COUNTIFS('REFERENCIAS'!$R$15:$R$64,U353))</f>
        <v>0</v>
      </c>
      <c r="X353" s="29" t="n">
        <f>IF(N353=0,0,COUNTIFS('DATOS'!$R$10:$R$509,U353,'DATOS'!$S$10:$S$509,V353))</f>
        <v>0</v>
      </c>
      <c r="Y353" s="29" t="n">
        <f>IF(AND(ISNUMBER('DATOS'!G353),ISNUMBER('DATOS'!H353),ISNUMBER('DATOS'!J353)),1,0)</f>
        <v>0</v>
      </c>
    </row>
    <row r="354" ht="64" customHeight="1">
      <c r="B354" s="26">
        <f>IF(N354=1,345,"")</f>
      </c>
      <c r="C354" s="26">
        <f>IF(AND(N354=1,LEN(TRIM('DATOS'!B354&amp;""))&gt;0),'DATOS'!B354,"")</f>
      </c>
      <c r="D354" s="26">
        <f>IF(AND(N354=1,LEN(TRIM('DATOS'!C354&amp;""))&gt;0),'DATOS'!C354,"")</f>
      </c>
      <c r="E354" s="26">
        <f>IF(NOT(ISNUMBER(P354)),"",IF(P354=2,"ROJO",IF(P354=1,"ÁMBAR","VERDE")))</f>
      </c>
      <c r="F354" s="26">
        <f>IF(NOT(ISNUMBER(Q354)),"",IF(Q354=2,"ROJO",IF(Q354=1,"ÁMBAR","VERDE")))</f>
      </c>
      <c r="G354" s="26">
        <f>IF(NOT(ISNUMBER(R354)),"",IF(R354=2,"ROJO",IF(R354=1,"ÁMBAR","VERDE")))</f>
      </c>
      <c r="H354" s="26">
        <f>IF(NOT(ISNUMBER(S354)),"",IF(S354=2,"ROJO",IF(S354=1,"ÁMBAR","VERDE")))</f>
      </c>
      <c r="I354" s="26">
        <f>IF(NOT(ISNUMBER(T354)),"",IF(T354=2,"ROJO",IF(T354=1,"ÁMBAR","VERDE")))</f>
      </c>
      <c r="J354" s="26">
        <f>IF(NOT(ISNUMBER(O354)),"",IF(O354=2,"ROJO",IF(O354=1,"ÁMBAR","VERDE")))</f>
      </c>
      <c r="K354" s="26">
        <f>IFERROR(IF(AND(N354=1,LEN(TRIM('DATOS'!N354&amp;""))&gt;0),'DATOS'!N354,""),"Hay una entrada con error. Corregimos el dato antes de cerrar la comprobación.")</f>
      </c>
      <c r="L354" s="26">
        <f>IFERROR(IF(N354=0,"",IF(O354&gt;0,"Completamos datos, claves o motivo. ","")&amp;IF(P354&gt;0,"Cotejamos precios e importe. ","")&amp;IF(Q354&gt;0,"Aclaramos el cero. ","")&amp;IF(R354&gt;0,"Comprobamos el texto. ","")&amp;IF(S354&gt;0,"Revisamos decimales visibles. ","")&amp;IF(T354&gt;0,"Confirmamos la unidad.","")),"Hay una entrada con error. Corregimos el dato antes de cerrar la comprobación.")</f>
      </c>
      <c r="N354" s="29" t="n">
        <f>IF(COUNTA('DATOS'!B354:O354)&gt;0,1,0)</f>
        <v>0</v>
      </c>
      <c r="O354" s="29">
        <f>IFERROR(IF(N354=0,"",IF(OR(NOT(AND(LEN(TRIM('DATOS'!B354&amp;""))&gt;0,TRIM('DATOS'!B354&amp;"")&lt;&gt;"Pendiente",TRIM('DATOS'!B354&amp;"")&lt;&gt;"Por confirmar",TRIM('DATOS'!B354&amp;"")&lt;&gt;"No consta",TRIM('DATOS'!B354&amp;"")&lt;&gt;"Desconocido",TRIM('DATOS'!B354&amp;"")&lt;&gt;"Sin confirmar",TRIM('DATOS'!B354&amp;"")&lt;&gt;"Por decidir",TRIM('DATOS'!B354&amp;"")&lt;&gt;"Por comprobar")),NOT(AND(LEN(TRIM('DATOS'!C354&amp;""))&gt;0,TRIM('DATOS'!C354&amp;"")&lt;&gt;"Pendiente",TRIM('DATOS'!C354&amp;"")&lt;&gt;"Por confirmar",TRIM('DATOS'!C354&amp;"")&lt;&gt;"No consta",TRIM('DATOS'!C354&amp;"")&lt;&gt;"Desconocido",TRIM('DATOS'!C354&amp;"")&lt;&gt;"Sin confirmar",TRIM('DATOS'!C354&amp;"")&lt;&gt;"Por decidir",TRIM('DATOS'!C354&amp;"")&lt;&gt;"Por comprobar")),NOT(AND(LEN(TRIM('DATOS'!D354&amp;""))&gt;0,TRIM('DATOS'!D354&amp;"")&lt;&gt;"Pendiente",TRIM('DATOS'!D354&amp;"")&lt;&gt;"Por confirmar",TRIM('DATOS'!D354&amp;"")&lt;&gt;"No consta",TRIM('DATOS'!D354&amp;"")&lt;&gt;"Desconocido",TRIM('DATOS'!D354&amp;"")&lt;&gt;"Sin confirmar",TRIM('DATOS'!D354&amp;"")&lt;&gt;"Por decidir",TRIM('DATOS'!D354&amp;"")&lt;&gt;"Por comprobar")),NOT(AND(LEN(TRIM('DATOS'!E354&amp;""))&gt;0,TRIM('DATOS'!E354&amp;"")&lt;&gt;"Pendiente",TRIM('DATOS'!E354&amp;"")&lt;&gt;"Por confirmar",TRIM('DATOS'!E354&amp;"")&lt;&gt;"No consta",TRIM('DATOS'!E354&amp;"")&lt;&gt;"Desconocido",TRIM('DATOS'!E354&amp;"")&lt;&gt;"Sin confirmar",TRIM('DATOS'!E354&amp;"")&lt;&gt;"Por decidir",TRIM('DATOS'!E354&amp;"")&lt;&gt;"Por comprobar")),NOT(AND(LEN(TRIM('DATOS'!F354&amp;""))&gt;0,TRIM('DATOS'!F354&amp;"")&lt;&gt;"Pendiente",TRIM('DATOS'!F354&amp;"")&lt;&gt;"Por confirmar",TRIM('DATOS'!F354&amp;"")&lt;&gt;"No consta",TRIM('DATOS'!F354&amp;"")&lt;&gt;"Desconocido",TRIM('DATOS'!F354&amp;"")&lt;&gt;"Sin confirmar",TRIM('DATOS'!F354&amp;"")&lt;&gt;"Por decidir",TRIM('DATOS'!F354&amp;"")&lt;&gt;"Por comprobar")),NOT(AND(LEN(TRIM('DATOS'!N354&amp;""))&gt;0,TRIM('DATOS'!N354&amp;"")&lt;&gt;"Pendiente",TRIM('DATOS'!N354&amp;"")&lt;&gt;"Por confirmar",TRIM('DATOS'!N354&amp;"")&lt;&gt;"No consta",TRIM('DATOS'!N354&amp;"")&lt;&gt;"Desconocido",TRIM('DATOS'!N354&amp;"")&lt;&gt;"Sin confirmar",TRIM('DATOS'!N354&amp;"")&lt;&gt;"Por decidir",TRIM('DATOS'!N354&amp;"")&lt;&gt;"Por comprobar")),NOT(Y354=1),W354&lt;&gt;1,X354&gt;1,NOT(OR(LEN(TRIM('DATOS'!K354&amp;""))=0,'DATOS'!K354="Sin valorar",'DATOS'!K354="Sin coste documentado",'DATOS'!K354="Incluido en otra partida",'DATOS'!K354="Por confirmar")),NOT(OR(LEN(TRIM('DATOS'!M354&amp;""))=0,'DATOS'!M354="Sí",'DATOS'!M354="No",'DATOS'!M354="Por confirmar")),NOT(OR(LEN(TRIM('DATOS'!O354&amp;""))=0,'DATOS'!O354="Comparamos",'DATOS'!O354="No existe",'DATOS'!O354="Por confirmar"))),2,IF(AND(OR('DATOS'!G354&lt;0,'DATOS'!H354&lt;0,'DATOS'!J354&lt;0),NOT(AND(LEN(TRIM('DATOS'!L354&amp;""))&gt;0,TRIM('DATOS'!L354&amp;"")&lt;&gt;"Pendiente",TRIM('DATOS'!L354&amp;"")&lt;&gt;"Por confirmar",TRIM('DATOS'!L354&amp;"")&lt;&gt;"No consta",TRIM('DATOS'!L354&amp;"")&lt;&gt;"Desconocido",TRIM('DATOS'!L354&amp;"")&lt;&gt;"Sin confirmar",TRIM('DATOS'!L354&amp;"")&lt;&gt;"Por decidir",TRIM('DATOS'!L354&amp;"")&lt;&gt;"Por comprobar"))),1,0))),2)</f>
      </c>
      <c r="P354" s="29">
        <f>IFERROR(IF(N354=0,"",IF(NOT(Y354=1),1,IF('REFERENCIAS'!$Q$8&lt;&gt;1,2,IF(ABS('DATOS'!J354-ROUND('DATOS'!G354*'DATOS'!H354,'REFERENCIAS'!$K$8))&gt;0.00000001,2,IF('DATOS'!O354="No existe",IF(LEN(TRIM('DATOS'!I354&amp;""))=0,0,2),IF('DATOS'!O354="Comparamos",IF(LEN(TRIM('DATOS'!I354&amp;""))=0,1,IF(ISNUMBER('DATOS'!I354),IF(ABS('DATOS'!H354-'DATOS'!I354)&gt;0.00000001,2,0),2)),1)))))),2)</f>
      </c>
      <c r="Q354" s="29">
        <f>IFERROR(IF(N354=0,"",IF(NOT(Y354=1),1,IF('DATOS'!K354="Sin valorar",2,IF('DATOS'!G354=0,1,IF(OR('DATOS'!H354=0,'DATOS'!J354=0),IF(AND(OR('DATOS'!K354="Sin coste documentado",'DATOS'!K354="Incluido en otra partida"),AND(LEN(TRIM('DATOS'!L354&amp;""))&gt;0,TRIM('DATOS'!L354&amp;"")&lt;&gt;"Pendiente",TRIM('DATOS'!L354&amp;"")&lt;&gt;"Por confirmar",TRIM('DATOS'!L354&amp;"")&lt;&gt;"No consta",TRIM('DATOS'!L354&amp;"")&lt;&gt;"Desconocido",TRIM('DATOS'!L354&amp;"")&lt;&gt;"Sin confirmar",TRIM('DATOS'!L354&amp;"")&lt;&gt;"Por decidir",TRIM('DATOS'!L354&amp;"")&lt;&gt;"Por comprobar")),0,1),0))))),2)</f>
      </c>
      <c r="R354" s="29">
        <f>IFERROR(IF(N354=0,"",IF(OR(NOT(AND(LEN(TRIM('DATOS'!D354&amp;""))&gt;0,TRIM('DATOS'!D354&amp;"")&lt;&gt;"Pendiente",TRIM('DATOS'!D354&amp;"")&lt;&gt;"Por confirmar",TRIM('DATOS'!D354&amp;"")&lt;&gt;"No consta",TRIM('DATOS'!D354&amp;"")&lt;&gt;"Desconocido",TRIM('DATOS'!D354&amp;"")&lt;&gt;"Sin confirmar",TRIM('DATOS'!D354&amp;"")&lt;&gt;"Por decidir",TRIM('DATOS'!D354&amp;"")&lt;&gt;"Por comprobar")),NOT(AND(LEN(TRIM('DATOS'!E354&amp;""))&gt;0,TRIM('DATOS'!E354&amp;"")&lt;&gt;"Pendiente",TRIM('DATOS'!E354&amp;"")&lt;&gt;"Por confirmar",TRIM('DATOS'!E354&amp;"")&lt;&gt;"No consta",TRIM('DATOS'!E354&amp;"")&lt;&gt;"Desconocido",TRIM('DATOS'!E354&amp;"")&lt;&gt;"Sin confirmar",TRIM('DATOS'!E354&amp;"")&lt;&gt;"Por decidir",TRIM('DATOS'!E354&amp;"")&lt;&gt;"Por comprobar"))),2,IF('DATOS'!M354="No",2,IF('DATOS'!M354="Sí",0,IF(OR('DATOS'!D354&lt;&gt;'DATOS'!E354,LEN('DATOS'!E354)&gt;300,RIGHT(TRIM('DATOS'!E354),3)="...",RIGHT(TRIM('DATOS'!E354),1)="…"),1,0))))),2)</f>
      </c>
      <c r="S354" s="29">
        <f>IFERROR(IF(N354=0,"",IF('REFERENCIAS'!$Q$8&lt;&gt;1,2,IF(NOT(Y354=1),1,IF(OR(ABS('DATOS'!G354-ROUND('DATOS'!G354,'REFERENCIAS'!$E$8))&gt;0.00000001,ABS('DATOS'!H354-ROUND('DATOS'!H354,'REFERENCIAS'!$H$8))&gt;0.00000001,ABS('DATOS'!J354-ROUND('DATOS'!J354,'REFERENCIAS'!$K$8))&gt;0.00000001,IF(ISNUMBER('DATOS'!I354),ABS('DATOS'!I354-ROUND('DATOS'!I354,'REFERENCIAS'!$H$8))&gt;0.00000001,FALSE)),1,0)))),2)</f>
      </c>
      <c r="T354" s="29">
        <f>IFERROR(IF(N354=0,"",IF(NOT(AND(LEN(TRIM('DATOS'!F354&amp;""))&gt;0,TRIM('DATOS'!F354&amp;"")&lt;&gt;"Pendiente",TRIM('DATOS'!F354&amp;"")&lt;&gt;"Por confirmar",TRIM('DATOS'!F354&amp;"")&lt;&gt;"No consta",TRIM('DATOS'!F354&amp;"")&lt;&gt;"Desconocido",TRIM('DATOS'!F354&amp;"")&lt;&gt;"Sin confirmar",TRIM('DATOS'!F354&amp;"")&lt;&gt;"Por decidir",TRIM('DATOS'!F354&amp;"")&lt;&gt;"Por comprobar")),2,IF(COUNTIFS('REFERENCIAS'!$T$15:$T$34,"ID:"&amp;SUBSTITUTE(SUBSTITUTE(SUBSTITUTE(SUBSTITUTE(UPPER(TRIM('DATOS'!F354&amp;"")),"!","!E"),"*","!A"),"?","!B"),"~","!C"),'REFERENCIAS'!$H$15:$H$34,"&lt;&gt;")&gt;0,0,1))),2)</f>
      </c>
      <c r="U354" s="29" t="str">
        <f>'DATOS'!R354</f>
        <v>ID:</v>
      </c>
      <c r="V354" s="29" t="str">
        <f>'DATOS'!S354</f>
        <v>ID:</v>
      </c>
      <c r="W354" s="29" t="n">
        <f>IF(N354=0,0,COUNTIFS('REFERENCIAS'!$R$15:$R$64,U354))</f>
        <v>0</v>
      </c>
      <c r="X354" s="29" t="n">
        <f>IF(N354=0,0,COUNTIFS('DATOS'!$R$10:$R$509,U354,'DATOS'!$S$10:$S$509,V354))</f>
        <v>0</v>
      </c>
      <c r="Y354" s="29" t="n">
        <f>IF(AND(ISNUMBER('DATOS'!G354),ISNUMBER('DATOS'!H354),ISNUMBER('DATOS'!J354)),1,0)</f>
        <v>0</v>
      </c>
    </row>
    <row r="355" ht="64" customHeight="1">
      <c r="B355" s="26">
        <f>IF(N355=1,346,"")</f>
      </c>
      <c r="C355" s="26">
        <f>IF(AND(N355=1,LEN(TRIM('DATOS'!B355&amp;""))&gt;0),'DATOS'!B355,"")</f>
      </c>
      <c r="D355" s="26">
        <f>IF(AND(N355=1,LEN(TRIM('DATOS'!C355&amp;""))&gt;0),'DATOS'!C355,"")</f>
      </c>
      <c r="E355" s="26">
        <f>IF(NOT(ISNUMBER(P355)),"",IF(P355=2,"ROJO",IF(P355=1,"ÁMBAR","VERDE")))</f>
      </c>
      <c r="F355" s="26">
        <f>IF(NOT(ISNUMBER(Q355)),"",IF(Q355=2,"ROJO",IF(Q355=1,"ÁMBAR","VERDE")))</f>
      </c>
      <c r="G355" s="26">
        <f>IF(NOT(ISNUMBER(R355)),"",IF(R355=2,"ROJO",IF(R355=1,"ÁMBAR","VERDE")))</f>
      </c>
      <c r="H355" s="26">
        <f>IF(NOT(ISNUMBER(S355)),"",IF(S355=2,"ROJO",IF(S355=1,"ÁMBAR","VERDE")))</f>
      </c>
      <c r="I355" s="26">
        <f>IF(NOT(ISNUMBER(T355)),"",IF(T355=2,"ROJO",IF(T355=1,"ÁMBAR","VERDE")))</f>
      </c>
      <c r="J355" s="26">
        <f>IF(NOT(ISNUMBER(O355)),"",IF(O355=2,"ROJO",IF(O355=1,"ÁMBAR","VERDE")))</f>
      </c>
      <c r="K355" s="26">
        <f>IFERROR(IF(AND(N355=1,LEN(TRIM('DATOS'!N355&amp;""))&gt;0),'DATOS'!N355,""),"Hay una entrada con error. Corregimos el dato antes de cerrar la comprobación.")</f>
      </c>
      <c r="L355" s="26">
        <f>IFERROR(IF(N355=0,"",IF(O355&gt;0,"Completamos datos, claves o motivo. ","")&amp;IF(P355&gt;0,"Cotejamos precios e importe. ","")&amp;IF(Q355&gt;0,"Aclaramos el cero. ","")&amp;IF(R355&gt;0,"Comprobamos el texto. ","")&amp;IF(S355&gt;0,"Revisamos decimales visibles. ","")&amp;IF(T355&gt;0,"Confirmamos la unidad.","")),"Hay una entrada con error. Corregimos el dato antes de cerrar la comprobación.")</f>
      </c>
      <c r="N355" s="29" t="n">
        <f>IF(COUNTA('DATOS'!B355:O355)&gt;0,1,0)</f>
        <v>0</v>
      </c>
      <c r="O355" s="29">
        <f>IFERROR(IF(N355=0,"",IF(OR(NOT(AND(LEN(TRIM('DATOS'!B355&amp;""))&gt;0,TRIM('DATOS'!B355&amp;"")&lt;&gt;"Pendiente",TRIM('DATOS'!B355&amp;"")&lt;&gt;"Por confirmar",TRIM('DATOS'!B355&amp;"")&lt;&gt;"No consta",TRIM('DATOS'!B355&amp;"")&lt;&gt;"Desconocido",TRIM('DATOS'!B355&amp;"")&lt;&gt;"Sin confirmar",TRIM('DATOS'!B355&amp;"")&lt;&gt;"Por decidir",TRIM('DATOS'!B355&amp;"")&lt;&gt;"Por comprobar")),NOT(AND(LEN(TRIM('DATOS'!C355&amp;""))&gt;0,TRIM('DATOS'!C355&amp;"")&lt;&gt;"Pendiente",TRIM('DATOS'!C355&amp;"")&lt;&gt;"Por confirmar",TRIM('DATOS'!C355&amp;"")&lt;&gt;"No consta",TRIM('DATOS'!C355&amp;"")&lt;&gt;"Desconocido",TRIM('DATOS'!C355&amp;"")&lt;&gt;"Sin confirmar",TRIM('DATOS'!C355&amp;"")&lt;&gt;"Por decidir",TRIM('DATOS'!C355&amp;"")&lt;&gt;"Por comprobar")),NOT(AND(LEN(TRIM('DATOS'!D355&amp;""))&gt;0,TRIM('DATOS'!D355&amp;"")&lt;&gt;"Pendiente",TRIM('DATOS'!D355&amp;"")&lt;&gt;"Por confirmar",TRIM('DATOS'!D355&amp;"")&lt;&gt;"No consta",TRIM('DATOS'!D355&amp;"")&lt;&gt;"Desconocido",TRIM('DATOS'!D355&amp;"")&lt;&gt;"Sin confirmar",TRIM('DATOS'!D355&amp;"")&lt;&gt;"Por decidir",TRIM('DATOS'!D355&amp;"")&lt;&gt;"Por comprobar")),NOT(AND(LEN(TRIM('DATOS'!E355&amp;""))&gt;0,TRIM('DATOS'!E355&amp;"")&lt;&gt;"Pendiente",TRIM('DATOS'!E355&amp;"")&lt;&gt;"Por confirmar",TRIM('DATOS'!E355&amp;"")&lt;&gt;"No consta",TRIM('DATOS'!E355&amp;"")&lt;&gt;"Desconocido",TRIM('DATOS'!E355&amp;"")&lt;&gt;"Sin confirmar",TRIM('DATOS'!E355&amp;"")&lt;&gt;"Por decidir",TRIM('DATOS'!E355&amp;"")&lt;&gt;"Por comprobar")),NOT(AND(LEN(TRIM('DATOS'!F355&amp;""))&gt;0,TRIM('DATOS'!F355&amp;"")&lt;&gt;"Pendiente",TRIM('DATOS'!F355&amp;"")&lt;&gt;"Por confirmar",TRIM('DATOS'!F355&amp;"")&lt;&gt;"No consta",TRIM('DATOS'!F355&amp;"")&lt;&gt;"Desconocido",TRIM('DATOS'!F355&amp;"")&lt;&gt;"Sin confirmar",TRIM('DATOS'!F355&amp;"")&lt;&gt;"Por decidir",TRIM('DATOS'!F355&amp;"")&lt;&gt;"Por comprobar")),NOT(AND(LEN(TRIM('DATOS'!N355&amp;""))&gt;0,TRIM('DATOS'!N355&amp;"")&lt;&gt;"Pendiente",TRIM('DATOS'!N355&amp;"")&lt;&gt;"Por confirmar",TRIM('DATOS'!N355&amp;"")&lt;&gt;"No consta",TRIM('DATOS'!N355&amp;"")&lt;&gt;"Desconocido",TRIM('DATOS'!N355&amp;"")&lt;&gt;"Sin confirmar",TRIM('DATOS'!N355&amp;"")&lt;&gt;"Por decidir",TRIM('DATOS'!N355&amp;"")&lt;&gt;"Por comprobar")),NOT(Y355=1),W355&lt;&gt;1,X355&gt;1,NOT(OR(LEN(TRIM('DATOS'!K355&amp;""))=0,'DATOS'!K355="Sin valorar",'DATOS'!K355="Sin coste documentado",'DATOS'!K355="Incluido en otra partida",'DATOS'!K355="Por confirmar")),NOT(OR(LEN(TRIM('DATOS'!M355&amp;""))=0,'DATOS'!M355="Sí",'DATOS'!M355="No",'DATOS'!M355="Por confirmar")),NOT(OR(LEN(TRIM('DATOS'!O355&amp;""))=0,'DATOS'!O355="Comparamos",'DATOS'!O355="No existe",'DATOS'!O355="Por confirmar"))),2,IF(AND(OR('DATOS'!G355&lt;0,'DATOS'!H355&lt;0,'DATOS'!J355&lt;0),NOT(AND(LEN(TRIM('DATOS'!L355&amp;""))&gt;0,TRIM('DATOS'!L355&amp;"")&lt;&gt;"Pendiente",TRIM('DATOS'!L355&amp;"")&lt;&gt;"Por confirmar",TRIM('DATOS'!L355&amp;"")&lt;&gt;"No consta",TRIM('DATOS'!L355&amp;"")&lt;&gt;"Desconocido",TRIM('DATOS'!L355&amp;"")&lt;&gt;"Sin confirmar",TRIM('DATOS'!L355&amp;"")&lt;&gt;"Por decidir",TRIM('DATOS'!L355&amp;"")&lt;&gt;"Por comprobar"))),1,0))),2)</f>
      </c>
      <c r="P355" s="29">
        <f>IFERROR(IF(N355=0,"",IF(NOT(Y355=1),1,IF('REFERENCIAS'!$Q$8&lt;&gt;1,2,IF(ABS('DATOS'!J355-ROUND('DATOS'!G355*'DATOS'!H355,'REFERENCIAS'!$K$8))&gt;0.00000001,2,IF('DATOS'!O355="No existe",IF(LEN(TRIM('DATOS'!I355&amp;""))=0,0,2),IF('DATOS'!O355="Comparamos",IF(LEN(TRIM('DATOS'!I355&amp;""))=0,1,IF(ISNUMBER('DATOS'!I355),IF(ABS('DATOS'!H355-'DATOS'!I355)&gt;0.00000001,2,0),2)),1)))))),2)</f>
      </c>
      <c r="Q355" s="29">
        <f>IFERROR(IF(N355=0,"",IF(NOT(Y355=1),1,IF('DATOS'!K355="Sin valorar",2,IF('DATOS'!G355=0,1,IF(OR('DATOS'!H355=0,'DATOS'!J355=0),IF(AND(OR('DATOS'!K355="Sin coste documentado",'DATOS'!K355="Incluido en otra partida"),AND(LEN(TRIM('DATOS'!L355&amp;""))&gt;0,TRIM('DATOS'!L355&amp;"")&lt;&gt;"Pendiente",TRIM('DATOS'!L355&amp;"")&lt;&gt;"Por confirmar",TRIM('DATOS'!L355&amp;"")&lt;&gt;"No consta",TRIM('DATOS'!L355&amp;"")&lt;&gt;"Desconocido",TRIM('DATOS'!L355&amp;"")&lt;&gt;"Sin confirmar",TRIM('DATOS'!L355&amp;"")&lt;&gt;"Por decidir",TRIM('DATOS'!L355&amp;"")&lt;&gt;"Por comprobar")),0,1),0))))),2)</f>
      </c>
      <c r="R355" s="29">
        <f>IFERROR(IF(N355=0,"",IF(OR(NOT(AND(LEN(TRIM('DATOS'!D355&amp;""))&gt;0,TRIM('DATOS'!D355&amp;"")&lt;&gt;"Pendiente",TRIM('DATOS'!D355&amp;"")&lt;&gt;"Por confirmar",TRIM('DATOS'!D355&amp;"")&lt;&gt;"No consta",TRIM('DATOS'!D355&amp;"")&lt;&gt;"Desconocido",TRIM('DATOS'!D355&amp;"")&lt;&gt;"Sin confirmar",TRIM('DATOS'!D355&amp;"")&lt;&gt;"Por decidir",TRIM('DATOS'!D355&amp;"")&lt;&gt;"Por comprobar")),NOT(AND(LEN(TRIM('DATOS'!E355&amp;""))&gt;0,TRIM('DATOS'!E355&amp;"")&lt;&gt;"Pendiente",TRIM('DATOS'!E355&amp;"")&lt;&gt;"Por confirmar",TRIM('DATOS'!E355&amp;"")&lt;&gt;"No consta",TRIM('DATOS'!E355&amp;"")&lt;&gt;"Desconocido",TRIM('DATOS'!E355&amp;"")&lt;&gt;"Sin confirmar",TRIM('DATOS'!E355&amp;"")&lt;&gt;"Por decidir",TRIM('DATOS'!E355&amp;"")&lt;&gt;"Por comprobar"))),2,IF('DATOS'!M355="No",2,IF('DATOS'!M355="Sí",0,IF(OR('DATOS'!D355&lt;&gt;'DATOS'!E355,LEN('DATOS'!E355)&gt;300,RIGHT(TRIM('DATOS'!E355),3)="...",RIGHT(TRIM('DATOS'!E355),1)="…"),1,0))))),2)</f>
      </c>
      <c r="S355" s="29">
        <f>IFERROR(IF(N355=0,"",IF('REFERENCIAS'!$Q$8&lt;&gt;1,2,IF(NOT(Y355=1),1,IF(OR(ABS('DATOS'!G355-ROUND('DATOS'!G355,'REFERENCIAS'!$E$8))&gt;0.00000001,ABS('DATOS'!H355-ROUND('DATOS'!H355,'REFERENCIAS'!$H$8))&gt;0.00000001,ABS('DATOS'!J355-ROUND('DATOS'!J355,'REFERENCIAS'!$K$8))&gt;0.00000001,IF(ISNUMBER('DATOS'!I355),ABS('DATOS'!I355-ROUND('DATOS'!I355,'REFERENCIAS'!$H$8))&gt;0.00000001,FALSE)),1,0)))),2)</f>
      </c>
      <c r="T355" s="29">
        <f>IFERROR(IF(N355=0,"",IF(NOT(AND(LEN(TRIM('DATOS'!F355&amp;""))&gt;0,TRIM('DATOS'!F355&amp;"")&lt;&gt;"Pendiente",TRIM('DATOS'!F355&amp;"")&lt;&gt;"Por confirmar",TRIM('DATOS'!F355&amp;"")&lt;&gt;"No consta",TRIM('DATOS'!F355&amp;"")&lt;&gt;"Desconocido",TRIM('DATOS'!F355&amp;"")&lt;&gt;"Sin confirmar",TRIM('DATOS'!F355&amp;"")&lt;&gt;"Por decidir",TRIM('DATOS'!F355&amp;"")&lt;&gt;"Por comprobar")),2,IF(COUNTIFS('REFERENCIAS'!$T$15:$T$34,"ID:"&amp;SUBSTITUTE(SUBSTITUTE(SUBSTITUTE(SUBSTITUTE(UPPER(TRIM('DATOS'!F355&amp;"")),"!","!E"),"*","!A"),"?","!B"),"~","!C"),'REFERENCIAS'!$H$15:$H$34,"&lt;&gt;")&gt;0,0,1))),2)</f>
      </c>
      <c r="U355" s="29" t="str">
        <f>'DATOS'!R355</f>
        <v>ID:</v>
      </c>
      <c r="V355" s="29" t="str">
        <f>'DATOS'!S355</f>
        <v>ID:</v>
      </c>
      <c r="W355" s="29" t="n">
        <f>IF(N355=0,0,COUNTIFS('REFERENCIAS'!$R$15:$R$64,U355))</f>
        <v>0</v>
      </c>
      <c r="X355" s="29" t="n">
        <f>IF(N355=0,0,COUNTIFS('DATOS'!$R$10:$R$509,U355,'DATOS'!$S$10:$S$509,V355))</f>
        <v>0</v>
      </c>
      <c r="Y355" s="29" t="n">
        <f>IF(AND(ISNUMBER('DATOS'!G355),ISNUMBER('DATOS'!H355),ISNUMBER('DATOS'!J355)),1,0)</f>
        <v>0</v>
      </c>
    </row>
    <row r="356" ht="64" customHeight="1">
      <c r="B356" s="26">
        <f>IF(N356=1,347,"")</f>
      </c>
      <c r="C356" s="26">
        <f>IF(AND(N356=1,LEN(TRIM('DATOS'!B356&amp;""))&gt;0),'DATOS'!B356,"")</f>
      </c>
      <c r="D356" s="26">
        <f>IF(AND(N356=1,LEN(TRIM('DATOS'!C356&amp;""))&gt;0),'DATOS'!C356,"")</f>
      </c>
      <c r="E356" s="26">
        <f>IF(NOT(ISNUMBER(P356)),"",IF(P356=2,"ROJO",IF(P356=1,"ÁMBAR","VERDE")))</f>
      </c>
      <c r="F356" s="26">
        <f>IF(NOT(ISNUMBER(Q356)),"",IF(Q356=2,"ROJO",IF(Q356=1,"ÁMBAR","VERDE")))</f>
      </c>
      <c r="G356" s="26">
        <f>IF(NOT(ISNUMBER(R356)),"",IF(R356=2,"ROJO",IF(R356=1,"ÁMBAR","VERDE")))</f>
      </c>
      <c r="H356" s="26">
        <f>IF(NOT(ISNUMBER(S356)),"",IF(S356=2,"ROJO",IF(S356=1,"ÁMBAR","VERDE")))</f>
      </c>
      <c r="I356" s="26">
        <f>IF(NOT(ISNUMBER(T356)),"",IF(T356=2,"ROJO",IF(T356=1,"ÁMBAR","VERDE")))</f>
      </c>
      <c r="J356" s="26">
        <f>IF(NOT(ISNUMBER(O356)),"",IF(O356=2,"ROJO",IF(O356=1,"ÁMBAR","VERDE")))</f>
      </c>
      <c r="K356" s="26">
        <f>IFERROR(IF(AND(N356=1,LEN(TRIM('DATOS'!N356&amp;""))&gt;0),'DATOS'!N356,""),"Hay una entrada con error. Corregimos el dato antes de cerrar la comprobación.")</f>
      </c>
      <c r="L356" s="26">
        <f>IFERROR(IF(N356=0,"",IF(O356&gt;0,"Completamos datos, claves o motivo. ","")&amp;IF(P356&gt;0,"Cotejamos precios e importe. ","")&amp;IF(Q356&gt;0,"Aclaramos el cero. ","")&amp;IF(R356&gt;0,"Comprobamos el texto. ","")&amp;IF(S356&gt;0,"Revisamos decimales visibles. ","")&amp;IF(T356&gt;0,"Confirmamos la unidad.","")),"Hay una entrada con error. Corregimos el dato antes de cerrar la comprobación.")</f>
      </c>
      <c r="N356" s="29" t="n">
        <f>IF(COUNTA('DATOS'!B356:O356)&gt;0,1,0)</f>
        <v>0</v>
      </c>
      <c r="O356" s="29">
        <f>IFERROR(IF(N356=0,"",IF(OR(NOT(AND(LEN(TRIM('DATOS'!B356&amp;""))&gt;0,TRIM('DATOS'!B356&amp;"")&lt;&gt;"Pendiente",TRIM('DATOS'!B356&amp;"")&lt;&gt;"Por confirmar",TRIM('DATOS'!B356&amp;"")&lt;&gt;"No consta",TRIM('DATOS'!B356&amp;"")&lt;&gt;"Desconocido",TRIM('DATOS'!B356&amp;"")&lt;&gt;"Sin confirmar",TRIM('DATOS'!B356&amp;"")&lt;&gt;"Por decidir",TRIM('DATOS'!B356&amp;"")&lt;&gt;"Por comprobar")),NOT(AND(LEN(TRIM('DATOS'!C356&amp;""))&gt;0,TRIM('DATOS'!C356&amp;"")&lt;&gt;"Pendiente",TRIM('DATOS'!C356&amp;"")&lt;&gt;"Por confirmar",TRIM('DATOS'!C356&amp;"")&lt;&gt;"No consta",TRIM('DATOS'!C356&amp;"")&lt;&gt;"Desconocido",TRIM('DATOS'!C356&amp;"")&lt;&gt;"Sin confirmar",TRIM('DATOS'!C356&amp;"")&lt;&gt;"Por decidir",TRIM('DATOS'!C356&amp;"")&lt;&gt;"Por comprobar")),NOT(AND(LEN(TRIM('DATOS'!D356&amp;""))&gt;0,TRIM('DATOS'!D356&amp;"")&lt;&gt;"Pendiente",TRIM('DATOS'!D356&amp;"")&lt;&gt;"Por confirmar",TRIM('DATOS'!D356&amp;"")&lt;&gt;"No consta",TRIM('DATOS'!D356&amp;"")&lt;&gt;"Desconocido",TRIM('DATOS'!D356&amp;"")&lt;&gt;"Sin confirmar",TRIM('DATOS'!D356&amp;"")&lt;&gt;"Por decidir",TRIM('DATOS'!D356&amp;"")&lt;&gt;"Por comprobar")),NOT(AND(LEN(TRIM('DATOS'!E356&amp;""))&gt;0,TRIM('DATOS'!E356&amp;"")&lt;&gt;"Pendiente",TRIM('DATOS'!E356&amp;"")&lt;&gt;"Por confirmar",TRIM('DATOS'!E356&amp;"")&lt;&gt;"No consta",TRIM('DATOS'!E356&amp;"")&lt;&gt;"Desconocido",TRIM('DATOS'!E356&amp;"")&lt;&gt;"Sin confirmar",TRIM('DATOS'!E356&amp;"")&lt;&gt;"Por decidir",TRIM('DATOS'!E356&amp;"")&lt;&gt;"Por comprobar")),NOT(AND(LEN(TRIM('DATOS'!F356&amp;""))&gt;0,TRIM('DATOS'!F356&amp;"")&lt;&gt;"Pendiente",TRIM('DATOS'!F356&amp;"")&lt;&gt;"Por confirmar",TRIM('DATOS'!F356&amp;"")&lt;&gt;"No consta",TRIM('DATOS'!F356&amp;"")&lt;&gt;"Desconocido",TRIM('DATOS'!F356&amp;"")&lt;&gt;"Sin confirmar",TRIM('DATOS'!F356&amp;"")&lt;&gt;"Por decidir",TRIM('DATOS'!F356&amp;"")&lt;&gt;"Por comprobar")),NOT(AND(LEN(TRIM('DATOS'!N356&amp;""))&gt;0,TRIM('DATOS'!N356&amp;"")&lt;&gt;"Pendiente",TRIM('DATOS'!N356&amp;"")&lt;&gt;"Por confirmar",TRIM('DATOS'!N356&amp;"")&lt;&gt;"No consta",TRIM('DATOS'!N356&amp;"")&lt;&gt;"Desconocido",TRIM('DATOS'!N356&amp;"")&lt;&gt;"Sin confirmar",TRIM('DATOS'!N356&amp;"")&lt;&gt;"Por decidir",TRIM('DATOS'!N356&amp;"")&lt;&gt;"Por comprobar")),NOT(Y356=1),W356&lt;&gt;1,X356&gt;1,NOT(OR(LEN(TRIM('DATOS'!K356&amp;""))=0,'DATOS'!K356="Sin valorar",'DATOS'!K356="Sin coste documentado",'DATOS'!K356="Incluido en otra partida",'DATOS'!K356="Por confirmar")),NOT(OR(LEN(TRIM('DATOS'!M356&amp;""))=0,'DATOS'!M356="Sí",'DATOS'!M356="No",'DATOS'!M356="Por confirmar")),NOT(OR(LEN(TRIM('DATOS'!O356&amp;""))=0,'DATOS'!O356="Comparamos",'DATOS'!O356="No existe",'DATOS'!O356="Por confirmar"))),2,IF(AND(OR('DATOS'!G356&lt;0,'DATOS'!H356&lt;0,'DATOS'!J356&lt;0),NOT(AND(LEN(TRIM('DATOS'!L356&amp;""))&gt;0,TRIM('DATOS'!L356&amp;"")&lt;&gt;"Pendiente",TRIM('DATOS'!L356&amp;"")&lt;&gt;"Por confirmar",TRIM('DATOS'!L356&amp;"")&lt;&gt;"No consta",TRIM('DATOS'!L356&amp;"")&lt;&gt;"Desconocido",TRIM('DATOS'!L356&amp;"")&lt;&gt;"Sin confirmar",TRIM('DATOS'!L356&amp;"")&lt;&gt;"Por decidir",TRIM('DATOS'!L356&amp;"")&lt;&gt;"Por comprobar"))),1,0))),2)</f>
      </c>
      <c r="P356" s="29">
        <f>IFERROR(IF(N356=0,"",IF(NOT(Y356=1),1,IF('REFERENCIAS'!$Q$8&lt;&gt;1,2,IF(ABS('DATOS'!J356-ROUND('DATOS'!G356*'DATOS'!H356,'REFERENCIAS'!$K$8))&gt;0.00000001,2,IF('DATOS'!O356="No existe",IF(LEN(TRIM('DATOS'!I356&amp;""))=0,0,2),IF('DATOS'!O356="Comparamos",IF(LEN(TRIM('DATOS'!I356&amp;""))=0,1,IF(ISNUMBER('DATOS'!I356),IF(ABS('DATOS'!H356-'DATOS'!I356)&gt;0.00000001,2,0),2)),1)))))),2)</f>
      </c>
      <c r="Q356" s="29">
        <f>IFERROR(IF(N356=0,"",IF(NOT(Y356=1),1,IF('DATOS'!K356="Sin valorar",2,IF('DATOS'!G356=0,1,IF(OR('DATOS'!H356=0,'DATOS'!J356=0),IF(AND(OR('DATOS'!K356="Sin coste documentado",'DATOS'!K356="Incluido en otra partida"),AND(LEN(TRIM('DATOS'!L356&amp;""))&gt;0,TRIM('DATOS'!L356&amp;"")&lt;&gt;"Pendiente",TRIM('DATOS'!L356&amp;"")&lt;&gt;"Por confirmar",TRIM('DATOS'!L356&amp;"")&lt;&gt;"No consta",TRIM('DATOS'!L356&amp;"")&lt;&gt;"Desconocido",TRIM('DATOS'!L356&amp;"")&lt;&gt;"Sin confirmar",TRIM('DATOS'!L356&amp;"")&lt;&gt;"Por decidir",TRIM('DATOS'!L356&amp;"")&lt;&gt;"Por comprobar")),0,1),0))))),2)</f>
      </c>
      <c r="R356" s="29">
        <f>IFERROR(IF(N356=0,"",IF(OR(NOT(AND(LEN(TRIM('DATOS'!D356&amp;""))&gt;0,TRIM('DATOS'!D356&amp;"")&lt;&gt;"Pendiente",TRIM('DATOS'!D356&amp;"")&lt;&gt;"Por confirmar",TRIM('DATOS'!D356&amp;"")&lt;&gt;"No consta",TRIM('DATOS'!D356&amp;"")&lt;&gt;"Desconocido",TRIM('DATOS'!D356&amp;"")&lt;&gt;"Sin confirmar",TRIM('DATOS'!D356&amp;"")&lt;&gt;"Por decidir",TRIM('DATOS'!D356&amp;"")&lt;&gt;"Por comprobar")),NOT(AND(LEN(TRIM('DATOS'!E356&amp;""))&gt;0,TRIM('DATOS'!E356&amp;"")&lt;&gt;"Pendiente",TRIM('DATOS'!E356&amp;"")&lt;&gt;"Por confirmar",TRIM('DATOS'!E356&amp;"")&lt;&gt;"No consta",TRIM('DATOS'!E356&amp;"")&lt;&gt;"Desconocido",TRIM('DATOS'!E356&amp;"")&lt;&gt;"Sin confirmar",TRIM('DATOS'!E356&amp;"")&lt;&gt;"Por decidir",TRIM('DATOS'!E356&amp;"")&lt;&gt;"Por comprobar"))),2,IF('DATOS'!M356="No",2,IF('DATOS'!M356="Sí",0,IF(OR('DATOS'!D356&lt;&gt;'DATOS'!E356,LEN('DATOS'!E356)&gt;300,RIGHT(TRIM('DATOS'!E356),3)="...",RIGHT(TRIM('DATOS'!E356),1)="…"),1,0))))),2)</f>
      </c>
      <c r="S356" s="29">
        <f>IFERROR(IF(N356=0,"",IF('REFERENCIAS'!$Q$8&lt;&gt;1,2,IF(NOT(Y356=1),1,IF(OR(ABS('DATOS'!G356-ROUND('DATOS'!G356,'REFERENCIAS'!$E$8))&gt;0.00000001,ABS('DATOS'!H356-ROUND('DATOS'!H356,'REFERENCIAS'!$H$8))&gt;0.00000001,ABS('DATOS'!J356-ROUND('DATOS'!J356,'REFERENCIAS'!$K$8))&gt;0.00000001,IF(ISNUMBER('DATOS'!I356),ABS('DATOS'!I356-ROUND('DATOS'!I356,'REFERENCIAS'!$H$8))&gt;0.00000001,FALSE)),1,0)))),2)</f>
      </c>
      <c r="T356" s="29">
        <f>IFERROR(IF(N356=0,"",IF(NOT(AND(LEN(TRIM('DATOS'!F356&amp;""))&gt;0,TRIM('DATOS'!F356&amp;"")&lt;&gt;"Pendiente",TRIM('DATOS'!F356&amp;"")&lt;&gt;"Por confirmar",TRIM('DATOS'!F356&amp;"")&lt;&gt;"No consta",TRIM('DATOS'!F356&amp;"")&lt;&gt;"Desconocido",TRIM('DATOS'!F356&amp;"")&lt;&gt;"Sin confirmar",TRIM('DATOS'!F356&amp;"")&lt;&gt;"Por decidir",TRIM('DATOS'!F356&amp;"")&lt;&gt;"Por comprobar")),2,IF(COUNTIFS('REFERENCIAS'!$T$15:$T$34,"ID:"&amp;SUBSTITUTE(SUBSTITUTE(SUBSTITUTE(SUBSTITUTE(UPPER(TRIM('DATOS'!F356&amp;"")),"!","!E"),"*","!A"),"?","!B"),"~","!C"),'REFERENCIAS'!$H$15:$H$34,"&lt;&gt;")&gt;0,0,1))),2)</f>
      </c>
      <c r="U356" s="29" t="str">
        <f>'DATOS'!R356</f>
        <v>ID:</v>
      </c>
      <c r="V356" s="29" t="str">
        <f>'DATOS'!S356</f>
        <v>ID:</v>
      </c>
      <c r="W356" s="29" t="n">
        <f>IF(N356=0,0,COUNTIFS('REFERENCIAS'!$R$15:$R$64,U356))</f>
        <v>0</v>
      </c>
      <c r="X356" s="29" t="n">
        <f>IF(N356=0,0,COUNTIFS('DATOS'!$R$10:$R$509,U356,'DATOS'!$S$10:$S$509,V356))</f>
        <v>0</v>
      </c>
      <c r="Y356" s="29" t="n">
        <f>IF(AND(ISNUMBER('DATOS'!G356),ISNUMBER('DATOS'!H356),ISNUMBER('DATOS'!J356)),1,0)</f>
        <v>0</v>
      </c>
    </row>
    <row r="357" ht="64" customHeight="1">
      <c r="B357" s="26">
        <f>IF(N357=1,348,"")</f>
      </c>
      <c r="C357" s="26">
        <f>IF(AND(N357=1,LEN(TRIM('DATOS'!B357&amp;""))&gt;0),'DATOS'!B357,"")</f>
      </c>
      <c r="D357" s="26">
        <f>IF(AND(N357=1,LEN(TRIM('DATOS'!C357&amp;""))&gt;0),'DATOS'!C357,"")</f>
      </c>
      <c r="E357" s="26">
        <f>IF(NOT(ISNUMBER(P357)),"",IF(P357=2,"ROJO",IF(P357=1,"ÁMBAR","VERDE")))</f>
      </c>
      <c r="F357" s="26">
        <f>IF(NOT(ISNUMBER(Q357)),"",IF(Q357=2,"ROJO",IF(Q357=1,"ÁMBAR","VERDE")))</f>
      </c>
      <c r="G357" s="26">
        <f>IF(NOT(ISNUMBER(R357)),"",IF(R357=2,"ROJO",IF(R357=1,"ÁMBAR","VERDE")))</f>
      </c>
      <c r="H357" s="26">
        <f>IF(NOT(ISNUMBER(S357)),"",IF(S357=2,"ROJO",IF(S357=1,"ÁMBAR","VERDE")))</f>
      </c>
      <c r="I357" s="26">
        <f>IF(NOT(ISNUMBER(T357)),"",IF(T357=2,"ROJO",IF(T357=1,"ÁMBAR","VERDE")))</f>
      </c>
      <c r="J357" s="26">
        <f>IF(NOT(ISNUMBER(O357)),"",IF(O357=2,"ROJO",IF(O357=1,"ÁMBAR","VERDE")))</f>
      </c>
      <c r="K357" s="26">
        <f>IFERROR(IF(AND(N357=1,LEN(TRIM('DATOS'!N357&amp;""))&gt;0),'DATOS'!N357,""),"Hay una entrada con error. Corregimos el dato antes de cerrar la comprobación.")</f>
      </c>
      <c r="L357" s="26">
        <f>IFERROR(IF(N357=0,"",IF(O357&gt;0,"Completamos datos, claves o motivo. ","")&amp;IF(P357&gt;0,"Cotejamos precios e importe. ","")&amp;IF(Q357&gt;0,"Aclaramos el cero. ","")&amp;IF(R357&gt;0,"Comprobamos el texto. ","")&amp;IF(S357&gt;0,"Revisamos decimales visibles. ","")&amp;IF(T357&gt;0,"Confirmamos la unidad.","")),"Hay una entrada con error. Corregimos el dato antes de cerrar la comprobación.")</f>
      </c>
      <c r="N357" s="29" t="n">
        <f>IF(COUNTA('DATOS'!B357:O357)&gt;0,1,0)</f>
        <v>0</v>
      </c>
      <c r="O357" s="29">
        <f>IFERROR(IF(N357=0,"",IF(OR(NOT(AND(LEN(TRIM('DATOS'!B357&amp;""))&gt;0,TRIM('DATOS'!B357&amp;"")&lt;&gt;"Pendiente",TRIM('DATOS'!B357&amp;"")&lt;&gt;"Por confirmar",TRIM('DATOS'!B357&amp;"")&lt;&gt;"No consta",TRIM('DATOS'!B357&amp;"")&lt;&gt;"Desconocido",TRIM('DATOS'!B357&amp;"")&lt;&gt;"Sin confirmar",TRIM('DATOS'!B357&amp;"")&lt;&gt;"Por decidir",TRIM('DATOS'!B357&amp;"")&lt;&gt;"Por comprobar")),NOT(AND(LEN(TRIM('DATOS'!C357&amp;""))&gt;0,TRIM('DATOS'!C357&amp;"")&lt;&gt;"Pendiente",TRIM('DATOS'!C357&amp;"")&lt;&gt;"Por confirmar",TRIM('DATOS'!C357&amp;"")&lt;&gt;"No consta",TRIM('DATOS'!C357&amp;"")&lt;&gt;"Desconocido",TRIM('DATOS'!C357&amp;"")&lt;&gt;"Sin confirmar",TRIM('DATOS'!C357&amp;"")&lt;&gt;"Por decidir",TRIM('DATOS'!C357&amp;"")&lt;&gt;"Por comprobar")),NOT(AND(LEN(TRIM('DATOS'!D357&amp;""))&gt;0,TRIM('DATOS'!D357&amp;"")&lt;&gt;"Pendiente",TRIM('DATOS'!D357&amp;"")&lt;&gt;"Por confirmar",TRIM('DATOS'!D357&amp;"")&lt;&gt;"No consta",TRIM('DATOS'!D357&amp;"")&lt;&gt;"Desconocido",TRIM('DATOS'!D357&amp;"")&lt;&gt;"Sin confirmar",TRIM('DATOS'!D357&amp;"")&lt;&gt;"Por decidir",TRIM('DATOS'!D357&amp;"")&lt;&gt;"Por comprobar")),NOT(AND(LEN(TRIM('DATOS'!E357&amp;""))&gt;0,TRIM('DATOS'!E357&amp;"")&lt;&gt;"Pendiente",TRIM('DATOS'!E357&amp;"")&lt;&gt;"Por confirmar",TRIM('DATOS'!E357&amp;"")&lt;&gt;"No consta",TRIM('DATOS'!E357&amp;"")&lt;&gt;"Desconocido",TRIM('DATOS'!E357&amp;"")&lt;&gt;"Sin confirmar",TRIM('DATOS'!E357&amp;"")&lt;&gt;"Por decidir",TRIM('DATOS'!E357&amp;"")&lt;&gt;"Por comprobar")),NOT(AND(LEN(TRIM('DATOS'!F357&amp;""))&gt;0,TRIM('DATOS'!F357&amp;"")&lt;&gt;"Pendiente",TRIM('DATOS'!F357&amp;"")&lt;&gt;"Por confirmar",TRIM('DATOS'!F357&amp;"")&lt;&gt;"No consta",TRIM('DATOS'!F357&amp;"")&lt;&gt;"Desconocido",TRIM('DATOS'!F357&amp;"")&lt;&gt;"Sin confirmar",TRIM('DATOS'!F357&amp;"")&lt;&gt;"Por decidir",TRIM('DATOS'!F357&amp;"")&lt;&gt;"Por comprobar")),NOT(AND(LEN(TRIM('DATOS'!N357&amp;""))&gt;0,TRIM('DATOS'!N357&amp;"")&lt;&gt;"Pendiente",TRIM('DATOS'!N357&amp;"")&lt;&gt;"Por confirmar",TRIM('DATOS'!N357&amp;"")&lt;&gt;"No consta",TRIM('DATOS'!N357&amp;"")&lt;&gt;"Desconocido",TRIM('DATOS'!N357&amp;"")&lt;&gt;"Sin confirmar",TRIM('DATOS'!N357&amp;"")&lt;&gt;"Por decidir",TRIM('DATOS'!N357&amp;"")&lt;&gt;"Por comprobar")),NOT(Y357=1),W357&lt;&gt;1,X357&gt;1,NOT(OR(LEN(TRIM('DATOS'!K357&amp;""))=0,'DATOS'!K357="Sin valorar",'DATOS'!K357="Sin coste documentado",'DATOS'!K357="Incluido en otra partida",'DATOS'!K357="Por confirmar")),NOT(OR(LEN(TRIM('DATOS'!M357&amp;""))=0,'DATOS'!M357="Sí",'DATOS'!M357="No",'DATOS'!M357="Por confirmar")),NOT(OR(LEN(TRIM('DATOS'!O357&amp;""))=0,'DATOS'!O357="Comparamos",'DATOS'!O357="No existe",'DATOS'!O357="Por confirmar"))),2,IF(AND(OR('DATOS'!G357&lt;0,'DATOS'!H357&lt;0,'DATOS'!J357&lt;0),NOT(AND(LEN(TRIM('DATOS'!L357&amp;""))&gt;0,TRIM('DATOS'!L357&amp;"")&lt;&gt;"Pendiente",TRIM('DATOS'!L357&amp;"")&lt;&gt;"Por confirmar",TRIM('DATOS'!L357&amp;"")&lt;&gt;"No consta",TRIM('DATOS'!L357&amp;"")&lt;&gt;"Desconocido",TRIM('DATOS'!L357&amp;"")&lt;&gt;"Sin confirmar",TRIM('DATOS'!L357&amp;"")&lt;&gt;"Por decidir",TRIM('DATOS'!L357&amp;"")&lt;&gt;"Por comprobar"))),1,0))),2)</f>
      </c>
      <c r="P357" s="29">
        <f>IFERROR(IF(N357=0,"",IF(NOT(Y357=1),1,IF('REFERENCIAS'!$Q$8&lt;&gt;1,2,IF(ABS('DATOS'!J357-ROUND('DATOS'!G357*'DATOS'!H357,'REFERENCIAS'!$K$8))&gt;0.00000001,2,IF('DATOS'!O357="No existe",IF(LEN(TRIM('DATOS'!I357&amp;""))=0,0,2),IF('DATOS'!O357="Comparamos",IF(LEN(TRIM('DATOS'!I357&amp;""))=0,1,IF(ISNUMBER('DATOS'!I357),IF(ABS('DATOS'!H357-'DATOS'!I357)&gt;0.00000001,2,0),2)),1)))))),2)</f>
      </c>
      <c r="Q357" s="29">
        <f>IFERROR(IF(N357=0,"",IF(NOT(Y357=1),1,IF('DATOS'!K357="Sin valorar",2,IF('DATOS'!G357=0,1,IF(OR('DATOS'!H357=0,'DATOS'!J357=0),IF(AND(OR('DATOS'!K357="Sin coste documentado",'DATOS'!K357="Incluido en otra partida"),AND(LEN(TRIM('DATOS'!L357&amp;""))&gt;0,TRIM('DATOS'!L357&amp;"")&lt;&gt;"Pendiente",TRIM('DATOS'!L357&amp;"")&lt;&gt;"Por confirmar",TRIM('DATOS'!L357&amp;"")&lt;&gt;"No consta",TRIM('DATOS'!L357&amp;"")&lt;&gt;"Desconocido",TRIM('DATOS'!L357&amp;"")&lt;&gt;"Sin confirmar",TRIM('DATOS'!L357&amp;"")&lt;&gt;"Por decidir",TRIM('DATOS'!L357&amp;"")&lt;&gt;"Por comprobar")),0,1),0))))),2)</f>
      </c>
      <c r="R357" s="29">
        <f>IFERROR(IF(N357=0,"",IF(OR(NOT(AND(LEN(TRIM('DATOS'!D357&amp;""))&gt;0,TRIM('DATOS'!D357&amp;"")&lt;&gt;"Pendiente",TRIM('DATOS'!D357&amp;"")&lt;&gt;"Por confirmar",TRIM('DATOS'!D357&amp;"")&lt;&gt;"No consta",TRIM('DATOS'!D357&amp;"")&lt;&gt;"Desconocido",TRIM('DATOS'!D357&amp;"")&lt;&gt;"Sin confirmar",TRIM('DATOS'!D357&amp;"")&lt;&gt;"Por decidir",TRIM('DATOS'!D357&amp;"")&lt;&gt;"Por comprobar")),NOT(AND(LEN(TRIM('DATOS'!E357&amp;""))&gt;0,TRIM('DATOS'!E357&amp;"")&lt;&gt;"Pendiente",TRIM('DATOS'!E357&amp;"")&lt;&gt;"Por confirmar",TRIM('DATOS'!E357&amp;"")&lt;&gt;"No consta",TRIM('DATOS'!E357&amp;"")&lt;&gt;"Desconocido",TRIM('DATOS'!E357&amp;"")&lt;&gt;"Sin confirmar",TRIM('DATOS'!E357&amp;"")&lt;&gt;"Por decidir",TRIM('DATOS'!E357&amp;"")&lt;&gt;"Por comprobar"))),2,IF('DATOS'!M357="No",2,IF('DATOS'!M357="Sí",0,IF(OR('DATOS'!D357&lt;&gt;'DATOS'!E357,LEN('DATOS'!E357)&gt;300,RIGHT(TRIM('DATOS'!E357),3)="...",RIGHT(TRIM('DATOS'!E357),1)="…"),1,0))))),2)</f>
      </c>
      <c r="S357" s="29">
        <f>IFERROR(IF(N357=0,"",IF('REFERENCIAS'!$Q$8&lt;&gt;1,2,IF(NOT(Y357=1),1,IF(OR(ABS('DATOS'!G357-ROUND('DATOS'!G357,'REFERENCIAS'!$E$8))&gt;0.00000001,ABS('DATOS'!H357-ROUND('DATOS'!H357,'REFERENCIAS'!$H$8))&gt;0.00000001,ABS('DATOS'!J357-ROUND('DATOS'!J357,'REFERENCIAS'!$K$8))&gt;0.00000001,IF(ISNUMBER('DATOS'!I357),ABS('DATOS'!I357-ROUND('DATOS'!I357,'REFERENCIAS'!$H$8))&gt;0.00000001,FALSE)),1,0)))),2)</f>
      </c>
      <c r="T357" s="29">
        <f>IFERROR(IF(N357=0,"",IF(NOT(AND(LEN(TRIM('DATOS'!F357&amp;""))&gt;0,TRIM('DATOS'!F357&amp;"")&lt;&gt;"Pendiente",TRIM('DATOS'!F357&amp;"")&lt;&gt;"Por confirmar",TRIM('DATOS'!F357&amp;"")&lt;&gt;"No consta",TRIM('DATOS'!F357&amp;"")&lt;&gt;"Desconocido",TRIM('DATOS'!F357&amp;"")&lt;&gt;"Sin confirmar",TRIM('DATOS'!F357&amp;"")&lt;&gt;"Por decidir",TRIM('DATOS'!F357&amp;"")&lt;&gt;"Por comprobar")),2,IF(COUNTIFS('REFERENCIAS'!$T$15:$T$34,"ID:"&amp;SUBSTITUTE(SUBSTITUTE(SUBSTITUTE(SUBSTITUTE(UPPER(TRIM('DATOS'!F357&amp;"")),"!","!E"),"*","!A"),"?","!B"),"~","!C"),'REFERENCIAS'!$H$15:$H$34,"&lt;&gt;")&gt;0,0,1))),2)</f>
      </c>
      <c r="U357" s="29" t="str">
        <f>'DATOS'!R357</f>
        <v>ID:</v>
      </c>
      <c r="V357" s="29" t="str">
        <f>'DATOS'!S357</f>
        <v>ID:</v>
      </c>
      <c r="W357" s="29" t="n">
        <f>IF(N357=0,0,COUNTIFS('REFERENCIAS'!$R$15:$R$64,U357))</f>
        <v>0</v>
      </c>
      <c r="X357" s="29" t="n">
        <f>IF(N357=0,0,COUNTIFS('DATOS'!$R$10:$R$509,U357,'DATOS'!$S$10:$S$509,V357))</f>
        <v>0</v>
      </c>
      <c r="Y357" s="29" t="n">
        <f>IF(AND(ISNUMBER('DATOS'!G357),ISNUMBER('DATOS'!H357),ISNUMBER('DATOS'!J357)),1,0)</f>
        <v>0</v>
      </c>
    </row>
    <row r="358" ht="64" customHeight="1">
      <c r="B358" s="26">
        <f>IF(N358=1,349,"")</f>
      </c>
      <c r="C358" s="26">
        <f>IF(AND(N358=1,LEN(TRIM('DATOS'!B358&amp;""))&gt;0),'DATOS'!B358,"")</f>
      </c>
      <c r="D358" s="26">
        <f>IF(AND(N358=1,LEN(TRIM('DATOS'!C358&amp;""))&gt;0),'DATOS'!C358,"")</f>
      </c>
      <c r="E358" s="26">
        <f>IF(NOT(ISNUMBER(P358)),"",IF(P358=2,"ROJO",IF(P358=1,"ÁMBAR","VERDE")))</f>
      </c>
      <c r="F358" s="26">
        <f>IF(NOT(ISNUMBER(Q358)),"",IF(Q358=2,"ROJO",IF(Q358=1,"ÁMBAR","VERDE")))</f>
      </c>
      <c r="G358" s="26">
        <f>IF(NOT(ISNUMBER(R358)),"",IF(R358=2,"ROJO",IF(R358=1,"ÁMBAR","VERDE")))</f>
      </c>
      <c r="H358" s="26">
        <f>IF(NOT(ISNUMBER(S358)),"",IF(S358=2,"ROJO",IF(S358=1,"ÁMBAR","VERDE")))</f>
      </c>
      <c r="I358" s="26">
        <f>IF(NOT(ISNUMBER(T358)),"",IF(T358=2,"ROJO",IF(T358=1,"ÁMBAR","VERDE")))</f>
      </c>
      <c r="J358" s="26">
        <f>IF(NOT(ISNUMBER(O358)),"",IF(O358=2,"ROJO",IF(O358=1,"ÁMBAR","VERDE")))</f>
      </c>
      <c r="K358" s="26">
        <f>IFERROR(IF(AND(N358=1,LEN(TRIM('DATOS'!N358&amp;""))&gt;0),'DATOS'!N358,""),"Hay una entrada con error. Corregimos el dato antes de cerrar la comprobación.")</f>
      </c>
      <c r="L358" s="26">
        <f>IFERROR(IF(N358=0,"",IF(O358&gt;0,"Completamos datos, claves o motivo. ","")&amp;IF(P358&gt;0,"Cotejamos precios e importe. ","")&amp;IF(Q358&gt;0,"Aclaramos el cero. ","")&amp;IF(R358&gt;0,"Comprobamos el texto. ","")&amp;IF(S358&gt;0,"Revisamos decimales visibles. ","")&amp;IF(T358&gt;0,"Confirmamos la unidad.","")),"Hay una entrada con error. Corregimos el dato antes de cerrar la comprobación.")</f>
      </c>
      <c r="N358" s="29" t="n">
        <f>IF(COUNTA('DATOS'!B358:O358)&gt;0,1,0)</f>
        <v>0</v>
      </c>
      <c r="O358" s="29">
        <f>IFERROR(IF(N358=0,"",IF(OR(NOT(AND(LEN(TRIM('DATOS'!B358&amp;""))&gt;0,TRIM('DATOS'!B358&amp;"")&lt;&gt;"Pendiente",TRIM('DATOS'!B358&amp;"")&lt;&gt;"Por confirmar",TRIM('DATOS'!B358&amp;"")&lt;&gt;"No consta",TRIM('DATOS'!B358&amp;"")&lt;&gt;"Desconocido",TRIM('DATOS'!B358&amp;"")&lt;&gt;"Sin confirmar",TRIM('DATOS'!B358&amp;"")&lt;&gt;"Por decidir",TRIM('DATOS'!B358&amp;"")&lt;&gt;"Por comprobar")),NOT(AND(LEN(TRIM('DATOS'!C358&amp;""))&gt;0,TRIM('DATOS'!C358&amp;"")&lt;&gt;"Pendiente",TRIM('DATOS'!C358&amp;"")&lt;&gt;"Por confirmar",TRIM('DATOS'!C358&amp;"")&lt;&gt;"No consta",TRIM('DATOS'!C358&amp;"")&lt;&gt;"Desconocido",TRIM('DATOS'!C358&amp;"")&lt;&gt;"Sin confirmar",TRIM('DATOS'!C358&amp;"")&lt;&gt;"Por decidir",TRIM('DATOS'!C358&amp;"")&lt;&gt;"Por comprobar")),NOT(AND(LEN(TRIM('DATOS'!D358&amp;""))&gt;0,TRIM('DATOS'!D358&amp;"")&lt;&gt;"Pendiente",TRIM('DATOS'!D358&amp;"")&lt;&gt;"Por confirmar",TRIM('DATOS'!D358&amp;"")&lt;&gt;"No consta",TRIM('DATOS'!D358&amp;"")&lt;&gt;"Desconocido",TRIM('DATOS'!D358&amp;"")&lt;&gt;"Sin confirmar",TRIM('DATOS'!D358&amp;"")&lt;&gt;"Por decidir",TRIM('DATOS'!D358&amp;"")&lt;&gt;"Por comprobar")),NOT(AND(LEN(TRIM('DATOS'!E358&amp;""))&gt;0,TRIM('DATOS'!E358&amp;"")&lt;&gt;"Pendiente",TRIM('DATOS'!E358&amp;"")&lt;&gt;"Por confirmar",TRIM('DATOS'!E358&amp;"")&lt;&gt;"No consta",TRIM('DATOS'!E358&amp;"")&lt;&gt;"Desconocido",TRIM('DATOS'!E358&amp;"")&lt;&gt;"Sin confirmar",TRIM('DATOS'!E358&amp;"")&lt;&gt;"Por decidir",TRIM('DATOS'!E358&amp;"")&lt;&gt;"Por comprobar")),NOT(AND(LEN(TRIM('DATOS'!F358&amp;""))&gt;0,TRIM('DATOS'!F358&amp;"")&lt;&gt;"Pendiente",TRIM('DATOS'!F358&amp;"")&lt;&gt;"Por confirmar",TRIM('DATOS'!F358&amp;"")&lt;&gt;"No consta",TRIM('DATOS'!F358&amp;"")&lt;&gt;"Desconocido",TRIM('DATOS'!F358&amp;"")&lt;&gt;"Sin confirmar",TRIM('DATOS'!F358&amp;"")&lt;&gt;"Por decidir",TRIM('DATOS'!F358&amp;"")&lt;&gt;"Por comprobar")),NOT(AND(LEN(TRIM('DATOS'!N358&amp;""))&gt;0,TRIM('DATOS'!N358&amp;"")&lt;&gt;"Pendiente",TRIM('DATOS'!N358&amp;"")&lt;&gt;"Por confirmar",TRIM('DATOS'!N358&amp;"")&lt;&gt;"No consta",TRIM('DATOS'!N358&amp;"")&lt;&gt;"Desconocido",TRIM('DATOS'!N358&amp;"")&lt;&gt;"Sin confirmar",TRIM('DATOS'!N358&amp;"")&lt;&gt;"Por decidir",TRIM('DATOS'!N358&amp;"")&lt;&gt;"Por comprobar")),NOT(Y358=1),W358&lt;&gt;1,X358&gt;1,NOT(OR(LEN(TRIM('DATOS'!K358&amp;""))=0,'DATOS'!K358="Sin valorar",'DATOS'!K358="Sin coste documentado",'DATOS'!K358="Incluido en otra partida",'DATOS'!K358="Por confirmar")),NOT(OR(LEN(TRIM('DATOS'!M358&amp;""))=0,'DATOS'!M358="Sí",'DATOS'!M358="No",'DATOS'!M358="Por confirmar")),NOT(OR(LEN(TRIM('DATOS'!O358&amp;""))=0,'DATOS'!O358="Comparamos",'DATOS'!O358="No existe",'DATOS'!O358="Por confirmar"))),2,IF(AND(OR('DATOS'!G358&lt;0,'DATOS'!H358&lt;0,'DATOS'!J358&lt;0),NOT(AND(LEN(TRIM('DATOS'!L358&amp;""))&gt;0,TRIM('DATOS'!L358&amp;"")&lt;&gt;"Pendiente",TRIM('DATOS'!L358&amp;"")&lt;&gt;"Por confirmar",TRIM('DATOS'!L358&amp;"")&lt;&gt;"No consta",TRIM('DATOS'!L358&amp;"")&lt;&gt;"Desconocido",TRIM('DATOS'!L358&amp;"")&lt;&gt;"Sin confirmar",TRIM('DATOS'!L358&amp;"")&lt;&gt;"Por decidir",TRIM('DATOS'!L358&amp;"")&lt;&gt;"Por comprobar"))),1,0))),2)</f>
      </c>
      <c r="P358" s="29">
        <f>IFERROR(IF(N358=0,"",IF(NOT(Y358=1),1,IF('REFERENCIAS'!$Q$8&lt;&gt;1,2,IF(ABS('DATOS'!J358-ROUND('DATOS'!G358*'DATOS'!H358,'REFERENCIAS'!$K$8))&gt;0.00000001,2,IF('DATOS'!O358="No existe",IF(LEN(TRIM('DATOS'!I358&amp;""))=0,0,2),IF('DATOS'!O358="Comparamos",IF(LEN(TRIM('DATOS'!I358&amp;""))=0,1,IF(ISNUMBER('DATOS'!I358),IF(ABS('DATOS'!H358-'DATOS'!I358)&gt;0.00000001,2,0),2)),1)))))),2)</f>
      </c>
      <c r="Q358" s="29">
        <f>IFERROR(IF(N358=0,"",IF(NOT(Y358=1),1,IF('DATOS'!K358="Sin valorar",2,IF('DATOS'!G358=0,1,IF(OR('DATOS'!H358=0,'DATOS'!J358=0),IF(AND(OR('DATOS'!K358="Sin coste documentado",'DATOS'!K358="Incluido en otra partida"),AND(LEN(TRIM('DATOS'!L358&amp;""))&gt;0,TRIM('DATOS'!L358&amp;"")&lt;&gt;"Pendiente",TRIM('DATOS'!L358&amp;"")&lt;&gt;"Por confirmar",TRIM('DATOS'!L358&amp;"")&lt;&gt;"No consta",TRIM('DATOS'!L358&amp;"")&lt;&gt;"Desconocido",TRIM('DATOS'!L358&amp;"")&lt;&gt;"Sin confirmar",TRIM('DATOS'!L358&amp;"")&lt;&gt;"Por decidir",TRIM('DATOS'!L358&amp;"")&lt;&gt;"Por comprobar")),0,1),0))))),2)</f>
      </c>
      <c r="R358" s="29">
        <f>IFERROR(IF(N358=0,"",IF(OR(NOT(AND(LEN(TRIM('DATOS'!D358&amp;""))&gt;0,TRIM('DATOS'!D358&amp;"")&lt;&gt;"Pendiente",TRIM('DATOS'!D358&amp;"")&lt;&gt;"Por confirmar",TRIM('DATOS'!D358&amp;"")&lt;&gt;"No consta",TRIM('DATOS'!D358&amp;"")&lt;&gt;"Desconocido",TRIM('DATOS'!D358&amp;"")&lt;&gt;"Sin confirmar",TRIM('DATOS'!D358&amp;"")&lt;&gt;"Por decidir",TRIM('DATOS'!D358&amp;"")&lt;&gt;"Por comprobar")),NOT(AND(LEN(TRIM('DATOS'!E358&amp;""))&gt;0,TRIM('DATOS'!E358&amp;"")&lt;&gt;"Pendiente",TRIM('DATOS'!E358&amp;"")&lt;&gt;"Por confirmar",TRIM('DATOS'!E358&amp;"")&lt;&gt;"No consta",TRIM('DATOS'!E358&amp;"")&lt;&gt;"Desconocido",TRIM('DATOS'!E358&amp;"")&lt;&gt;"Sin confirmar",TRIM('DATOS'!E358&amp;"")&lt;&gt;"Por decidir",TRIM('DATOS'!E358&amp;"")&lt;&gt;"Por comprobar"))),2,IF('DATOS'!M358="No",2,IF('DATOS'!M358="Sí",0,IF(OR('DATOS'!D358&lt;&gt;'DATOS'!E358,LEN('DATOS'!E358)&gt;300,RIGHT(TRIM('DATOS'!E358),3)="...",RIGHT(TRIM('DATOS'!E358),1)="…"),1,0))))),2)</f>
      </c>
      <c r="S358" s="29">
        <f>IFERROR(IF(N358=0,"",IF('REFERENCIAS'!$Q$8&lt;&gt;1,2,IF(NOT(Y358=1),1,IF(OR(ABS('DATOS'!G358-ROUND('DATOS'!G358,'REFERENCIAS'!$E$8))&gt;0.00000001,ABS('DATOS'!H358-ROUND('DATOS'!H358,'REFERENCIAS'!$H$8))&gt;0.00000001,ABS('DATOS'!J358-ROUND('DATOS'!J358,'REFERENCIAS'!$K$8))&gt;0.00000001,IF(ISNUMBER('DATOS'!I358),ABS('DATOS'!I358-ROUND('DATOS'!I358,'REFERENCIAS'!$H$8))&gt;0.00000001,FALSE)),1,0)))),2)</f>
      </c>
      <c r="T358" s="29">
        <f>IFERROR(IF(N358=0,"",IF(NOT(AND(LEN(TRIM('DATOS'!F358&amp;""))&gt;0,TRIM('DATOS'!F358&amp;"")&lt;&gt;"Pendiente",TRIM('DATOS'!F358&amp;"")&lt;&gt;"Por confirmar",TRIM('DATOS'!F358&amp;"")&lt;&gt;"No consta",TRIM('DATOS'!F358&amp;"")&lt;&gt;"Desconocido",TRIM('DATOS'!F358&amp;"")&lt;&gt;"Sin confirmar",TRIM('DATOS'!F358&amp;"")&lt;&gt;"Por decidir",TRIM('DATOS'!F358&amp;"")&lt;&gt;"Por comprobar")),2,IF(COUNTIFS('REFERENCIAS'!$T$15:$T$34,"ID:"&amp;SUBSTITUTE(SUBSTITUTE(SUBSTITUTE(SUBSTITUTE(UPPER(TRIM('DATOS'!F358&amp;"")),"!","!E"),"*","!A"),"?","!B"),"~","!C"),'REFERENCIAS'!$H$15:$H$34,"&lt;&gt;")&gt;0,0,1))),2)</f>
      </c>
      <c r="U358" s="29" t="str">
        <f>'DATOS'!R358</f>
        <v>ID:</v>
      </c>
      <c r="V358" s="29" t="str">
        <f>'DATOS'!S358</f>
        <v>ID:</v>
      </c>
      <c r="W358" s="29" t="n">
        <f>IF(N358=0,0,COUNTIFS('REFERENCIAS'!$R$15:$R$64,U358))</f>
        <v>0</v>
      </c>
      <c r="X358" s="29" t="n">
        <f>IF(N358=0,0,COUNTIFS('DATOS'!$R$10:$R$509,U358,'DATOS'!$S$10:$S$509,V358))</f>
        <v>0</v>
      </c>
      <c r="Y358" s="29" t="n">
        <f>IF(AND(ISNUMBER('DATOS'!G358),ISNUMBER('DATOS'!H358),ISNUMBER('DATOS'!J358)),1,0)</f>
        <v>0</v>
      </c>
    </row>
    <row r="359" ht="64" customHeight="1">
      <c r="B359" s="26">
        <f>IF(N359=1,350,"")</f>
      </c>
      <c r="C359" s="26">
        <f>IF(AND(N359=1,LEN(TRIM('DATOS'!B359&amp;""))&gt;0),'DATOS'!B359,"")</f>
      </c>
      <c r="D359" s="26">
        <f>IF(AND(N359=1,LEN(TRIM('DATOS'!C359&amp;""))&gt;0),'DATOS'!C359,"")</f>
      </c>
      <c r="E359" s="26">
        <f>IF(NOT(ISNUMBER(P359)),"",IF(P359=2,"ROJO",IF(P359=1,"ÁMBAR","VERDE")))</f>
      </c>
      <c r="F359" s="26">
        <f>IF(NOT(ISNUMBER(Q359)),"",IF(Q359=2,"ROJO",IF(Q359=1,"ÁMBAR","VERDE")))</f>
      </c>
      <c r="G359" s="26">
        <f>IF(NOT(ISNUMBER(R359)),"",IF(R359=2,"ROJO",IF(R359=1,"ÁMBAR","VERDE")))</f>
      </c>
      <c r="H359" s="26">
        <f>IF(NOT(ISNUMBER(S359)),"",IF(S359=2,"ROJO",IF(S359=1,"ÁMBAR","VERDE")))</f>
      </c>
      <c r="I359" s="26">
        <f>IF(NOT(ISNUMBER(T359)),"",IF(T359=2,"ROJO",IF(T359=1,"ÁMBAR","VERDE")))</f>
      </c>
      <c r="J359" s="26">
        <f>IF(NOT(ISNUMBER(O359)),"",IF(O359=2,"ROJO",IF(O359=1,"ÁMBAR","VERDE")))</f>
      </c>
      <c r="K359" s="26">
        <f>IFERROR(IF(AND(N359=1,LEN(TRIM('DATOS'!N359&amp;""))&gt;0),'DATOS'!N359,""),"Hay una entrada con error. Corregimos el dato antes de cerrar la comprobación.")</f>
      </c>
      <c r="L359" s="26">
        <f>IFERROR(IF(N359=0,"",IF(O359&gt;0,"Completamos datos, claves o motivo. ","")&amp;IF(P359&gt;0,"Cotejamos precios e importe. ","")&amp;IF(Q359&gt;0,"Aclaramos el cero. ","")&amp;IF(R359&gt;0,"Comprobamos el texto. ","")&amp;IF(S359&gt;0,"Revisamos decimales visibles. ","")&amp;IF(T359&gt;0,"Confirmamos la unidad.","")),"Hay una entrada con error. Corregimos el dato antes de cerrar la comprobación.")</f>
      </c>
      <c r="N359" s="29" t="n">
        <f>IF(COUNTA('DATOS'!B359:O359)&gt;0,1,0)</f>
        <v>0</v>
      </c>
      <c r="O359" s="29">
        <f>IFERROR(IF(N359=0,"",IF(OR(NOT(AND(LEN(TRIM('DATOS'!B359&amp;""))&gt;0,TRIM('DATOS'!B359&amp;"")&lt;&gt;"Pendiente",TRIM('DATOS'!B359&amp;"")&lt;&gt;"Por confirmar",TRIM('DATOS'!B359&amp;"")&lt;&gt;"No consta",TRIM('DATOS'!B359&amp;"")&lt;&gt;"Desconocido",TRIM('DATOS'!B359&amp;"")&lt;&gt;"Sin confirmar",TRIM('DATOS'!B359&amp;"")&lt;&gt;"Por decidir",TRIM('DATOS'!B359&amp;"")&lt;&gt;"Por comprobar")),NOT(AND(LEN(TRIM('DATOS'!C359&amp;""))&gt;0,TRIM('DATOS'!C359&amp;"")&lt;&gt;"Pendiente",TRIM('DATOS'!C359&amp;"")&lt;&gt;"Por confirmar",TRIM('DATOS'!C359&amp;"")&lt;&gt;"No consta",TRIM('DATOS'!C359&amp;"")&lt;&gt;"Desconocido",TRIM('DATOS'!C359&amp;"")&lt;&gt;"Sin confirmar",TRIM('DATOS'!C359&amp;"")&lt;&gt;"Por decidir",TRIM('DATOS'!C359&amp;"")&lt;&gt;"Por comprobar")),NOT(AND(LEN(TRIM('DATOS'!D359&amp;""))&gt;0,TRIM('DATOS'!D359&amp;"")&lt;&gt;"Pendiente",TRIM('DATOS'!D359&amp;"")&lt;&gt;"Por confirmar",TRIM('DATOS'!D359&amp;"")&lt;&gt;"No consta",TRIM('DATOS'!D359&amp;"")&lt;&gt;"Desconocido",TRIM('DATOS'!D359&amp;"")&lt;&gt;"Sin confirmar",TRIM('DATOS'!D359&amp;"")&lt;&gt;"Por decidir",TRIM('DATOS'!D359&amp;"")&lt;&gt;"Por comprobar")),NOT(AND(LEN(TRIM('DATOS'!E359&amp;""))&gt;0,TRIM('DATOS'!E359&amp;"")&lt;&gt;"Pendiente",TRIM('DATOS'!E359&amp;"")&lt;&gt;"Por confirmar",TRIM('DATOS'!E359&amp;"")&lt;&gt;"No consta",TRIM('DATOS'!E359&amp;"")&lt;&gt;"Desconocido",TRIM('DATOS'!E359&amp;"")&lt;&gt;"Sin confirmar",TRIM('DATOS'!E359&amp;"")&lt;&gt;"Por decidir",TRIM('DATOS'!E359&amp;"")&lt;&gt;"Por comprobar")),NOT(AND(LEN(TRIM('DATOS'!F359&amp;""))&gt;0,TRIM('DATOS'!F359&amp;"")&lt;&gt;"Pendiente",TRIM('DATOS'!F359&amp;"")&lt;&gt;"Por confirmar",TRIM('DATOS'!F359&amp;"")&lt;&gt;"No consta",TRIM('DATOS'!F359&amp;"")&lt;&gt;"Desconocido",TRIM('DATOS'!F359&amp;"")&lt;&gt;"Sin confirmar",TRIM('DATOS'!F359&amp;"")&lt;&gt;"Por decidir",TRIM('DATOS'!F359&amp;"")&lt;&gt;"Por comprobar")),NOT(AND(LEN(TRIM('DATOS'!N359&amp;""))&gt;0,TRIM('DATOS'!N359&amp;"")&lt;&gt;"Pendiente",TRIM('DATOS'!N359&amp;"")&lt;&gt;"Por confirmar",TRIM('DATOS'!N359&amp;"")&lt;&gt;"No consta",TRIM('DATOS'!N359&amp;"")&lt;&gt;"Desconocido",TRIM('DATOS'!N359&amp;"")&lt;&gt;"Sin confirmar",TRIM('DATOS'!N359&amp;"")&lt;&gt;"Por decidir",TRIM('DATOS'!N359&amp;"")&lt;&gt;"Por comprobar")),NOT(Y359=1),W359&lt;&gt;1,X359&gt;1,NOT(OR(LEN(TRIM('DATOS'!K359&amp;""))=0,'DATOS'!K359="Sin valorar",'DATOS'!K359="Sin coste documentado",'DATOS'!K359="Incluido en otra partida",'DATOS'!K359="Por confirmar")),NOT(OR(LEN(TRIM('DATOS'!M359&amp;""))=0,'DATOS'!M359="Sí",'DATOS'!M359="No",'DATOS'!M359="Por confirmar")),NOT(OR(LEN(TRIM('DATOS'!O359&amp;""))=0,'DATOS'!O359="Comparamos",'DATOS'!O359="No existe",'DATOS'!O359="Por confirmar"))),2,IF(AND(OR('DATOS'!G359&lt;0,'DATOS'!H359&lt;0,'DATOS'!J359&lt;0),NOT(AND(LEN(TRIM('DATOS'!L359&amp;""))&gt;0,TRIM('DATOS'!L359&amp;"")&lt;&gt;"Pendiente",TRIM('DATOS'!L359&amp;"")&lt;&gt;"Por confirmar",TRIM('DATOS'!L359&amp;"")&lt;&gt;"No consta",TRIM('DATOS'!L359&amp;"")&lt;&gt;"Desconocido",TRIM('DATOS'!L359&amp;"")&lt;&gt;"Sin confirmar",TRIM('DATOS'!L359&amp;"")&lt;&gt;"Por decidir",TRIM('DATOS'!L359&amp;"")&lt;&gt;"Por comprobar"))),1,0))),2)</f>
      </c>
      <c r="P359" s="29">
        <f>IFERROR(IF(N359=0,"",IF(NOT(Y359=1),1,IF('REFERENCIAS'!$Q$8&lt;&gt;1,2,IF(ABS('DATOS'!J359-ROUND('DATOS'!G359*'DATOS'!H359,'REFERENCIAS'!$K$8))&gt;0.00000001,2,IF('DATOS'!O359="No existe",IF(LEN(TRIM('DATOS'!I359&amp;""))=0,0,2),IF('DATOS'!O359="Comparamos",IF(LEN(TRIM('DATOS'!I359&amp;""))=0,1,IF(ISNUMBER('DATOS'!I359),IF(ABS('DATOS'!H359-'DATOS'!I359)&gt;0.00000001,2,0),2)),1)))))),2)</f>
      </c>
      <c r="Q359" s="29">
        <f>IFERROR(IF(N359=0,"",IF(NOT(Y359=1),1,IF('DATOS'!K359="Sin valorar",2,IF('DATOS'!G359=0,1,IF(OR('DATOS'!H359=0,'DATOS'!J359=0),IF(AND(OR('DATOS'!K359="Sin coste documentado",'DATOS'!K359="Incluido en otra partida"),AND(LEN(TRIM('DATOS'!L359&amp;""))&gt;0,TRIM('DATOS'!L359&amp;"")&lt;&gt;"Pendiente",TRIM('DATOS'!L359&amp;"")&lt;&gt;"Por confirmar",TRIM('DATOS'!L359&amp;"")&lt;&gt;"No consta",TRIM('DATOS'!L359&amp;"")&lt;&gt;"Desconocido",TRIM('DATOS'!L359&amp;"")&lt;&gt;"Sin confirmar",TRIM('DATOS'!L359&amp;"")&lt;&gt;"Por decidir",TRIM('DATOS'!L359&amp;"")&lt;&gt;"Por comprobar")),0,1),0))))),2)</f>
      </c>
      <c r="R359" s="29">
        <f>IFERROR(IF(N359=0,"",IF(OR(NOT(AND(LEN(TRIM('DATOS'!D359&amp;""))&gt;0,TRIM('DATOS'!D359&amp;"")&lt;&gt;"Pendiente",TRIM('DATOS'!D359&amp;"")&lt;&gt;"Por confirmar",TRIM('DATOS'!D359&amp;"")&lt;&gt;"No consta",TRIM('DATOS'!D359&amp;"")&lt;&gt;"Desconocido",TRIM('DATOS'!D359&amp;"")&lt;&gt;"Sin confirmar",TRIM('DATOS'!D359&amp;"")&lt;&gt;"Por decidir",TRIM('DATOS'!D359&amp;"")&lt;&gt;"Por comprobar")),NOT(AND(LEN(TRIM('DATOS'!E359&amp;""))&gt;0,TRIM('DATOS'!E359&amp;"")&lt;&gt;"Pendiente",TRIM('DATOS'!E359&amp;"")&lt;&gt;"Por confirmar",TRIM('DATOS'!E359&amp;"")&lt;&gt;"No consta",TRIM('DATOS'!E359&amp;"")&lt;&gt;"Desconocido",TRIM('DATOS'!E359&amp;"")&lt;&gt;"Sin confirmar",TRIM('DATOS'!E359&amp;"")&lt;&gt;"Por decidir",TRIM('DATOS'!E359&amp;"")&lt;&gt;"Por comprobar"))),2,IF('DATOS'!M359="No",2,IF('DATOS'!M359="Sí",0,IF(OR('DATOS'!D359&lt;&gt;'DATOS'!E359,LEN('DATOS'!E359)&gt;300,RIGHT(TRIM('DATOS'!E359),3)="...",RIGHT(TRIM('DATOS'!E359),1)="…"),1,0))))),2)</f>
      </c>
      <c r="S359" s="29">
        <f>IFERROR(IF(N359=0,"",IF('REFERENCIAS'!$Q$8&lt;&gt;1,2,IF(NOT(Y359=1),1,IF(OR(ABS('DATOS'!G359-ROUND('DATOS'!G359,'REFERENCIAS'!$E$8))&gt;0.00000001,ABS('DATOS'!H359-ROUND('DATOS'!H359,'REFERENCIAS'!$H$8))&gt;0.00000001,ABS('DATOS'!J359-ROUND('DATOS'!J359,'REFERENCIAS'!$K$8))&gt;0.00000001,IF(ISNUMBER('DATOS'!I359),ABS('DATOS'!I359-ROUND('DATOS'!I359,'REFERENCIAS'!$H$8))&gt;0.00000001,FALSE)),1,0)))),2)</f>
      </c>
      <c r="T359" s="29">
        <f>IFERROR(IF(N359=0,"",IF(NOT(AND(LEN(TRIM('DATOS'!F359&amp;""))&gt;0,TRIM('DATOS'!F359&amp;"")&lt;&gt;"Pendiente",TRIM('DATOS'!F359&amp;"")&lt;&gt;"Por confirmar",TRIM('DATOS'!F359&amp;"")&lt;&gt;"No consta",TRIM('DATOS'!F359&amp;"")&lt;&gt;"Desconocido",TRIM('DATOS'!F359&amp;"")&lt;&gt;"Sin confirmar",TRIM('DATOS'!F359&amp;"")&lt;&gt;"Por decidir",TRIM('DATOS'!F359&amp;"")&lt;&gt;"Por comprobar")),2,IF(COUNTIFS('REFERENCIAS'!$T$15:$T$34,"ID:"&amp;SUBSTITUTE(SUBSTITUTE(SUBSTITUTE(SUBSTITUTE(UPPER(TRIM('DATOS'!F359&amp;"")),"!","!E"),"*","!A"),"?","!B"),"~","!C"),'REFERENCIAS'!$H$15:$H$34,"&lt;&gt;")&gt;0,0,1))),2)</f>
      </c>
      <c r="U359" s="29" t="str">
        <f>'DATOS'!R359</f>
        <v>ID:</v>
      </c>
      <c r="V359" s="29" t="str">
        <f>'DATOS'!S359</f>
        <v>ID:</v>
      </c>
      <c r="W359" s="29" t="n">
        <f>IF(N359=0,0,COUNTIFS('REFERENCIAS'!$R$15:$R$64,U359))</f>
        <v>0</v>
      </c>
      <c r="X359" s="29" t="n">
        <f>IF(N359=0,0,COUNTIFS('DATOS'!$R$10:$R$509,U359,'DATOS'!$S$10:$S$509,V359))</f>
        <v>0</v>
      </c>
      <c r="Y359" s="29" t="n">
        <f>IF(AND(ISNUMBER('DATOS'!G359),ISNUMBER('DATOS'!H359),ISNUMBER('DATOS'!J359)),1,0)</f>
        <v>0</v>
      </c>
    </row>
    <row r="360" ht="64" customHeight="1">
      <c r="B360" s="26">
        <f>IF(N360=1,351,"")</f>
      </c>
      <c r="C360" s="26">
        <f>IF(AND(N360=1,LEN(TRIM('DATOS'!B360&amp;""))&gt;0),'DATOS'!B360,"")</f>
      </c>
      <c r="D360" s="26">
        <f>IF(AND(N360=1,LEN(TRIM('DATOS'!C360&amp;""))&gt;0),'DATOS'!C360,"")</f>
      </c>
      <c r="E360" s="26">
        <f>IF(NOT(ISNUMBER(P360)),"",IF(P360=2,"ROJO",IF(P360=1,"ÁMBAR","VERDE")))</f>
      </c>
      <c r="F360" s="26">
        <f>IF(NOT(ISNUMBER(Q360)),"",IF(Q360=2,"ROJO",IF(Q360=1,"ÁMBAR","VERDE")))</f>
      </c>
      <c r="G360" s="26">
        <f>IF(NOT(ISNUMBER(R360)),"",IF(R360=2,"ROJO",IF(R360=1,"ÁMBAR","VERDE")))</f>
      </c>
      <c r="H360" s="26">
        <f>IF(NOT(ISNUMBER(S360)),"",IF(S360=2,"ROJO",IF(S360=1,"ÁMBAR","VERDE")))</f>
      </c>
      <c r="I360" s="26">
        <f>IF(NOT(ISNUMBER(T360)),"",IF(T360=2,"ROJO",IF(T360=1,"ÁMBAR","VERDE")))</f>
      </c>
      <c r="J360" s="26">
        <f>IF(NOT(ISNUMBER(O360)),"",IF(O360=2,"ROJO",IF(O360=1,"ÁMBAR","VERDE")))</f>
      </c>
      <c r="K360" s="26">
        <f>IFERROR(IF(AND(N360=1,LEN(TRIM('DATOS'!N360&amp;""))&gt;0),'DATOS'!N360,""),"Hay una entrada con error. Corregimos el dato antes de cerrar la comprobación.")</f>
      </c>
      <c r="L360" s="26">
        <f>IFERROR(IF(N360=0,"",IF(O360&gt;0,"Completamos datos, claves o motivo. ","")&amp;IF(P360&gt;0,"Cotejamos precios e importe. ","")&amp;IF(Q360&gt;0,"Aclaramos el cero. ","")&amp;IF(R360&gt;0,"Comprobamos el texto. ","")&amp;IF(S360&gt;0,"Revisamos decimales visibles. ","")&amp;IF(T360&gt;0,"Confirmamos la unidad.","")),"Hay una entrada con error. Corregimos el dato antes de cerrar la comprobación.")</f>
      </c>
      <c r="N360" s="29" t="n">
        <f>IF(COUNTA('DATOS'!B360:O360)&gt;0,1,0)</f>
        <v>0</v>
      </c>
      <c r="O360" s="29">
        <f>IFERROR(IF(N360=0,"",IF(OR(NOT(AND(LEN(TRIM('DATOS'!B360&amp;""))&gt;0,TRIM('DATOS'!B360&amp;"")&lt;&gt;"Pendiente",TRIM('DATOS'!B360&amp;"")&lt;&gt;"Por confirmar",TRIM('DATOS'!B360&amp;"")&lt;&gt;"No consta",TRIM('DATOS'!B360&amp;"")&lt;&gt;"Desconocido",TRIM('DATOS'!B360&amp;"")&lt;&gt;"Sin confirmar",TRIM('DATOS'!B360&amp;"")&lt;&gt;"Por decidir",TRIM('DATOS'!B360&amp;"")&lt;&gt;"Por comprobar")),NOT(AND(LEN(TRIM('DATOS'!C360&amp;""))&gt;0,TRIM('DATOS'!C360&amp;"")&lt;&gt;"Pendiente",TRIM('DATOS'!C360&amp;"")&lt;&gt;"Por confirmar",TRIM('DATOS'!C360&amp;"")&lt;&gt;"No consta",TRIM('DATOS'!C360&amp;"")&lt;&gt;"Desconocido",TRIM('DATOS'!C360&amp;"")&lt;&gt;"Sin confirmar",TRIM('DATOS'!C360&amp;"")&lt;&gt;"Por decidir",TRIM('DATOS'!C360&amp;"")&lt;&gt;"Por comprobar")),NOT(AND(LEN(TRIM('DATOS'!D360&amp;""))&gt;0,TRIM('DATOS'!D360&amp;"")&lt;&gt;"Pendiente",TRIM('DATOS'!D360&amp;"")&lt;&gt;"Por confirmar",TRIM('DATOS'!D360&amp;"")&lt;&gt;"No consta",TRIM('DATOS'!D360&amp;"")&lt;&gt;"Desconocido",TRIM('DATOS'!D360&amp;"")&lt;&gt;"Sin confirmar",TRIM('DATOS'!D360&amp;"")&lt;&gt;"Por decidir",TRIM('DATOS'!D360&amp;"")&lt;&gt;"Por comprobar")),NOT(AND(LEN(TRIM('DATOS'!E360&amp;""))&gt;0,TRIM('DATOS'!E360&amp;"")&lt;&gt;"Pendiente",TRIM('DATOS'!E360&amp;"")&lt;&gt;"Por confirmar",TRIM('DATOS'!E360&amp;"")&lt;&gt;"No consta",TRIM('DATOS'!E360&amp;"")&lt;&gt;"Desconocido",TRIM('DATOS'!E360&amp;"")&lt;&gt;"Sin confirmar",TRIM('DATOS'!E360&amp;"")&lt;&gt;"Por decidir",TRIM('DATOS'!E360&amp;"")&lt;&gt;"Por comprobar")),NOT(AND(LEN(TRIM('DATOS'!F360&amp;""))&gt;0,TRIM('DATOS'!F360&amp;"")&lt;&gt;"Pendiente",TRIM('DATOS'!F360&amp;"")&lt;&gt;"Por confirmar",TRIM('DATOS'!F360&amp;"")&lt;&gt;"No consta",TRIM('DATOS'!F360&amp;"")&lt;&gt;"Desconocido",TRIM('DATOS'!F360&amp;"")&lt;&gt;"Sin confirmar",TRIM('DATOS'!F360&amp;"")&lt;&gt;"Por decidir",TRIM('DATOS'!F360&amp;"")&lt;&gt;"Por comprobar")),NOT(AND(LEN(TRIM('DATOS'!N360&amp;""))&gt;0,TRIM('DATOS'!N360&amp;"")&lt;&gt;"Pendiente",TRIM('DATOS'!N360&amp;"")&lt;&gt;"Por confirmar",TRIM('DATOS'!N360&amp;"")&lt;&gt;"No consta",TRIM('DATOS'!N360&amp;"")&lt;&gt;"Desconocido",TRIM('DATOS'!N360&amp;"")&lt;&gt;"Sin confirmar",TRIM('DATOS'!N360&amp;"")&lt;&gt;"Por decidir",TRIM('DATOS'!N360&amp;"")&lt;&gt;"Por comprobar")),NOT(Y360=1),W360&lt;&gt;1,X360&gt;1,NOT(OR(LEN(TRIM('DATOS'!K360&amp;""))=0,'DATOS'!K360="Sin valorar",'DATOS'!K360="Sin coste documentado",'DATOS'!K360="Incluido en otra partida",'DATOS'!K360="Por confirmar")),NOT(OR(LEN(TRIM('DATOS'!M360&amp;""))=0,'DATOS'!M360="Sí",'DATOS'!M360="No",'DATOS'!M360="Por confirmar")),NOT(OR(LEN(TRIM('DATOS'!O360&amp;""))=0,'DATOS'!O360="Comparamos",'DATOS'!O360="No existe",'DATOS'!O360="Por confirmar"))),2,IF(AND(OR('DATOS'!G360&lt;0,'DATOS'!H360&lt;0,'DATOS'!J360&lt;0),NOT(AND(LEN(TRIM('DATOS'!L360&amp;""))&gt;0,TRIM('DATOS'!L360&amp;"")&lt;&gt;"Pendiente",TRIM('DATOS'!L360&amp;"")&lt;&gt;"Por confirmar",TRIM('DATOS'!L360&amp;"")&lt;&gt;"No consta",TRIM('DATOS'!L360&amp;"")&lt;&gt;"Desconocido",TRIM('DATOS'!L360&amp;"")&lt;&gt;"Sin confirmar",TRIM('DATOS'!L360&amp;"")&lt;&gt;"Por decidir",TRIM('DATOS'!L360&amp;"")&lt;&gt;"Por comprobar"))),1,0))),2)</f>
      </c>
      <c r="P360" s="29">
        <f>IFERROR(IF(N360=0,"",IF(NOT(Y360=1),1,IF('REFERENCIAS'!$Q$8&lt;&gt;1,2,IF(ABS('DATOS'!J360-ROUND('DATOS'!G360*'DATOS'!H360,'REFERENCIAS'!$K$8))&gt;0.00000001,2,IF('DATOS'!O360="No existe",IF(LEN(TRIM('DATOS'!I360&amp;""))=0,0,2),IF('DATOS'!O360="Comparamos",IF(LEN(TRIM('DATOS'!I360&amp;""))=0,1,IF(ISNUMBER('DATOS'!I360),IF(ABS('DATOS'!H360-'DATOS'!I360)&gt;0.00000001,2,0),2)),1)))))),2)</f>
      </c>
      <c r="Q360" s="29">
        <f>IFERROR(IF(N360=0,"",IF(NOT(Y360=1),1,IF('DATOS'!K360="Sin valorar",2,IF('DATOS'!G360=0,1,IF(OR('DATOS'!H360=0,'DATOS'!J360=0),IF(AND(OR('DATOS'!K360="Sin coste documentado",'DATOS'!K360="Incluido en otra partida"),AND(LEN(TRIM('DATOS'!L360&amp;""))&gt;0,TRIM('DATOS'!L360&amp;"")&lt;&gt;"Pendiente",TRIM('DATOS'!L360&amp;"")&lt;&gt;"Por confirmar",TRIM('DATOS'!L360&amp;"")&lt;&gt;"No consta",TRIM('DATOS'!L360&amp;"")&lt;&gt;"Desconocido",TRIM('DATOS'!L360&amp;"")&lt;&gt;"Sin confirmar",TRIM('DATOS'!L360&amp;"")&lt;&gt;"Por decidir",TRIM('DATOS'!L360&amp;"")&lt;&gt;"Por comprobar")),0,1),0))))),2)</f>
      </c>
      <c r="R360" s="29">
        <f>IFERROR(IF(N360=0,"",IF(OR(NOT(AND(LEN(TRIM('DATOS'!D360&amp;""))&gt;0,TRIM('DATOS'!D360&amp;"")&lt;&gt;"Pendiente",TRIM('DATOS'!D360&amp;"")&lt;&gt;"Por confirmar",TRIM('DATOS'!D360&amp;"")&lt;&gt;"No consta",TRIM('DATOS'!D360&amp;"")&lt;&gt;"Desconocido",TRIM('DATOS'!D360&amp;"")&lt;&gt;"Sin confirmar",TRIM('DATOS'!D360&amp;"")&lt;&gt;"Por decidir",TRIM('DATOS'!D360&amp;"")&lt;&gt;"Por comprobar")),NOT(AND(LEN(TRIM('DATOS'!E360&amp;""))&gt;0,TRIM('DATOS'!E360&amp;"")&lt;&gt;"Pendiente",TRIM('DATOS'!E360&amp;"")&lt;&gt;"Por confirmar",TRIM('DATOS'!E360&amp;"")&lt;&gt;"No consta",TRIM('DATOS'!E360&amp;"")&lt;&gt;"Desconocido",TRIM('DATOS'!E360&amp;"")&lt;&gt;"Sin confirmar",TRIM('DATOS'!E360&amp;"")&lt;&gt;"Por decidir",TRIM('DATOS'!E360&amp;"")&lt;&gt;"Por comprobar"))),2,IF('DATOS'!M360="No",2,IF('DATOS'!M360="Sí",0,IF(OR('DATOS'!D360&lt;&gt;'DATOS'!E360,LEN('DATOS'!E360)&gt;300,RIGHT(TRIM('DATOS'!E360),3)="...",RIGHT(TRIM('DATOS'!E360),1)="…"),1,0))))),2)</f>
      </c>
      <c r="S360" s="29">
        <f>IFERROR(IF(N360=0,"",IF('REFERENCIAS'!$Q$8&lt;&gt;1,2,IF(NOT(Y360=1),1,IF(OR(ABS('DATOS'!G360-ROUND('DATOS'!G360,'REFERENCIAS'!$E$8))&gt;0.00000001,ABS('DATOS'!H360-ROUND('DATOS'!H360,'REFERENCIAS'!$H$8))&gt;0.00000001,ABS('DATOS'!J360-ROUND('DATOS'!J360,'REFERENCIAS'!$K$8))&gt;0.00000001,IF(ISNUMBER('DATOS'!I360),ABS('DATOS'!I360-ROUND('DATOS'!I360,'REFERENCIAS'!$H$8))&gt;0.00000001,FALSE)),1,0)))),2)</f>
      </c>
      <c r="T360" s="29">
        <f>IFERROR(IF(N360=0,"",IF(NOT(AND(LEN(TRIM('DATOS'!F360&amp;""))&gt;0,TRIM('DATOS'!F360&amp;"")&lt;&gt;"Pendiente",TRIM('DATOS'!F360&amp;"")&lt;&gt;"Por confirmar",TRIM('DATOS'!F360&amp;"")&lt;&gt;"No consta",TRIM('DATOS'!F360&amp;"")&lt;&gt;"Desconocido",TRIM('DATOS'!F360&amp;"")&lt;&gt;"Sin confirmar",TRIM('DATOS'!F360&amp;"")&lt;&gt;"Por decidir",TRIM('DATOS'!F360&amp;"")&lt;&gt;"Por comprobar")),2,IF(COUNTIFS('REFERENCIAS'!$T$15:$T$34,"ID:"&amp;SUBSTITUTE(SUBSTITUTE(SUBSTITUTE(SUBSTITUTE(UPPER(TRIM('DATOS'!F360&amp;"")),"!","!E"),"*","!A"),"?","!B"),"~","!C"),'REFERENCIAS'!$H$15:$H$34,"&lt;&gt;")&gt;0,0,1))),2)</f>
      </c>
      <c r="U360" s="29" t="str">
        <f>'DATOS'!R360</f>
        <v>ID:</v>
      </c>
      <c r="V360" s="29" t="str">
        <f>'DATOS'!S360</f>
        <v>ID:</v>
      </c>
      <c r="W360" s="29" t="n">
        <f>IF(N360=0,0,COUNTIFS('REFERENCIAS'!$R$15:$R$64,U360))</f>
        <v>0</v>
      </c>
      <c r="X360" s="29" t="n">
        <f>IF(N360=0,0,COUNTIFS('DATOS'!$R$10:$R$509,U360,'DATOS'!$S$10:$S$509,V360))</f>
        <v>0</v>
      </c>
      <c r="Y360" s="29" t="n">
        <f>IF(AND(ISNUMBER('DATOS'!G360),ISNUMBER('DATOS'!H360),ISNUMBER('DATOS'!J360)),1,0)</f>
        <v>0</v>
      </c>
    </row>
    <row r="361" ht="64" customHeight="1">
      <c r="B361" s="26">
        <f>IF(N361=1,352,"")</f>
      </c>
      <c r="C361" s="26">
        <f>IF(AND(N361=1,LEN(TRIM('DATOS'!B361&amp;""))&gt;0),'DATOS'!B361,"")</f>
      </c>
      <c r="D361" s="26">
        <f>IF(AND(N361=1,LEN(TRIM('DATOS'!C361&amp;""))&gt;0),'DATOS'!C361,"")</f>
      </c>
      <c r="E361" s="26">
        <f>IF(NOT(ISNUMBER(P361)),"",IF(P361=2,"ROJO",IF(P361=1,"ÁMBAR","VERDE")))</f>
      </c>
      <c r="F361" s="26">
        <f>IF(NOT(ISNUMBER(Q361)),"",IF(Q361=2,"ROJO",IF(Q361=1,"ÁMBAR","VERDE")))</f>
      </c>
      <c r="G361" s="26">
        <f>IF(NOT(ISNUMBER(R361)),"",IF(R361=2,"ROJO",IF(R361=1,"ÁMBAR","VERDE")))</f>
      </c>
      <c r="H361" s="26">
        <f>IF(NOT(ISNUMBER(S361)),"",IF(S361=2,"ROJO",IF(S361=1,"ÁMBAR","VERDE")))</f>
      </c>
      <c r="I361" s="26">
        <f>IF(NOT(ISNUMBER(T361)),"",IF(T361=2,"ROJO",IF(T361=1,"ÁMBAR","VERDE")))</f>
      </c>
      <c r="J361" s="26">
        <f>IF(NOT(ISNUMBER(O361)),"",IF(O361=2,"ROJO",IF(O361=1,"ÁMBAR","VERDE")))</f>
      </c>
      <c r="K361" s="26">
        <f>IFERROR(IF(AND(N361=1,LEN(TRIM('DATOS'!N361&amp;""))&gt;0),'DATOS'!N361,""),"Hay una entrada con error. Corregimos el dato antes de cerrar la comprobación.")</f>
      </c>
      <c r="L361" s="26">
        <f>IFERROR(IF(N361=0,"",IF(O361&gt;0,"Completamos datos, claves o motivo. ","")&amp;IF(P361&gt;0,"Cotejamos precios e importe. ","")&amp;IF(Q361&gt;0,"Aclaramos el cero. ","")&amp;IF(R361&gt;0,"Comprobamos el texto. ","")&amp;IF(S361&gt;0,"Revisamos decimales visibles. ","")&amp;IF(T361&gt;0,"Confirmamos la unidad.","")),"Hay una entrada con error. Corregimos el dato antes de cerrar la comprobación.")</f>
      </c>
      <c r="N361" s="29" t="n">
        <f>IF(COUNTA('DATOS'!B361:O361)&gt;0,1,0)</f>
        <v>0</v>
      </c>
      <c r="O361" s="29">
        <f>IFERROR(IF(N361=0,"",IF(OR(NOT(AND(LEN(TRIM('DATOS'!B361&amp;""))&gt;0,TRIM('DATOS'!B361&amp;"")&lt;&gt;"Pendiente",TRIM('DATOS'!B361&amp;"")&lt;&gt;"Por confirmar",TRIM('DATOS'!B361&amp;"")&lt;&gt;"No consta",TRIM('DATOS'!B361&amp;"")&lt;&gt;"Desconocido",TRIM('DATOS'!B361&amp;"")&lt;&gt;"Sin confirmar",TRIM('DATOS'!B361&amp;"")&lt;&gt;"Por decidir",TRIM('DATOS'!B361&amp;"")&lt;&gt;"Por comprobar")),NOT(AND(LEN(TRIM('DATOS'!C361&amp;""))&gt;0,TRIM('DATOS'!C361&amp;"")&lt;&gt;"Pendiente",TRIM('DATOS'!C361&amp;"")&lt;&gt;"Por confirmar",TRIM('DATOS'!C361&amp;"")&lt;&gt;"No consta",TRIM('DATOS'!C361&amp;"")&lt;&gt;"Desconocido",TRIM('DATOS'!C361&amp;"")&lt;&gt;"Sin confirmar",TRIM('DATOS'!C361&amp;"")&lt;&gt;"Por decidir",TRIM('DATOS'!C361&amp;"")&lt;&gt;"Por comprobar")),NOT(AND(LEN(TRIM('DATOS'!D361&amp;""))&gt;0,TRIM('DATOS'!D361&amp;"")&lt;&gt;"Pendiente",TRIM('DATOS'!D361&amp;"")&lt;&gt;"Por confirmar",TRIM('DATOS'!D361&amp;"")&lt;&gt;"No consta",TRIM('DATOS'!D361&amp;"")&lt;&gt;"Desconocido",TRIM('DATOS'!D361&amp;"")&lt;&gt;"Sin confirmar",TRIM('DATOS'!D361&amp;"")&lt;&gt;"Por decidir",TRIM('DATOS'!D361&amp;"")&lt;&gt;"Por comprobar")),NOT(AND(LEN(TRIM('DATOS'!E361&amp;""))&gt;0,TRIM('DATOS'!E361&amp;"")&lt;&gt;"Pendiente",TRIM('DATOS'!E361&amp;"")&lt;&gt;"Por confirmar",TRIM('DATOS'!E361&amp;"")&lt;&gt;"No consta",TRIM('DATOS'!E361&amp;"")&lt;&gt;"Desconocido",TRIM('DATOS'!E361&amp;"")&lt;&gt;"Sin confirmar",TRIM('DATOS'!E361&amp;"")&lt;&gt;"Por decidir",TRIM('DATOS'!E361&amp;"")&lt;&gt;"Por comprobar")),NOT(AND(LEN(TRIM('DATOS'!F361&amp;""))&gt;0,TRIM('DATOS'!F361&amp;"")&lt;&gt;"Pendiente",TRIM('DATOS'!F361&amp;"")&lt;&gt;"Por confirmar",TRIM('DATOS'!F361&amp;"")&lt;&gt;"No consta",TRIM('DATOS'!F361&amp;"")&lt;&gt;"Desconocido",TRIM('DATOS'!F361&amp;"")&lt;&gt;"Sin confirmar",TRIM('DATOS'!F361&amp;"")&lt;&gt;"Por decidir",TRIM('DATOS'!F361&amp;"")&lt;&gt;"Por comprobar")),NOT(AND(LEN(TRIM('DATOS'!N361&amp;""))&gt;0,TRIM('DATOS'!N361&amp;"")&lt;&gt;"Pendiente",TRIM('DATOS'!N361&amp;"")&lt;&gt;"Por confirmar",TRIM('DATOS'!N361&amp;"")&lt;&gt;"No consta",TRIM('DATOS'!N361&amp;"")&lt;&gt;"Desconocido",TRIM('DATOS'!N361&amp;"")&lt;&gt;"Sin confirmar",TRIM('DATOS'!N361&amp;"")&lt;&gt;"Por decidir",TRIM('DATOS'!N361&amp;"")&lt;&gt;"Por comprobar")),NOT(Y361=1),W361&lt;&gt;1,X361&gt;1,NOT(OR(LEN(TRIM('DATOS'!K361&amp;""))=0,'DATOS'!K361="Sin valorar",'DATOS'!K361="Sin coste documentado",'DATOS'!K361="Incluido en otra partida",'DATOS'!K361="Por confirmar")),NOT(OR(LEN(TRIM('DATOS'!M361&amp;""))=0,'DATOS'!M361="Sí",'DATOS'!M361="No",'DATOS'!M361="Por confirmar")),NOT(OR(LEN(TRIM('DATOS'!O361&amp;""))=0,'DATOS'!O361="Comparamos",'DATOS'!O361="No existe",'DATOS'!O361="Por confirmar"))),2,IF(AND(OR('DATOS'!G361&lt;0,'DATOS'!H361&lt;0,'DATOS'!J361&lt;0),NOT(AND(LEN(TRIM('DATOS'!L361&amp;""))&gt;0,TRIM('DATOS'!L361&amp;"")&lt;&gt;"Pendiente",TRIM('DATOS'!L361&amp;"")&lt;&gt;"Por confirmar",TRIM('DATOS'!L361&amp;"")&lt;&gt;"No consta",TRIM('DATOS'!L361&amp;"")&lt;&gt;"Desconocido",TRIM('DATOS'!L361&amp;"")&lt;&gt;"Sin confirmar",TRIM('DATOS'!L361&amp;"")&lt;&gt;"Por decidir",TRIM('DATOS'!L361&amp;"")&lt;&gt;"Por comprobar"))),1,0))),2)</f>
      </c>
      <c r="P361" s="29">
        <f>IFERROR(IF(N361=0,"",IF(NOT(Y361=1),1,IF('REFERENCIAS'!$Q$8&lt;&gt;1,2,IF(ABS('DATOS'!J361-ROUND('DATOS'!G361*'DATOS'!H361,'REFERENCIAS'!$K$8))&gt;0.00000001,2,IF('DATOS'!O361="No existe",IF(LEN(TRIM('DATOS'!I361&amp;""))=0,0,2),IF('DATOS'!O361="Comparamos",IF(LEN(TRIM('DATOS'!I361&amp;""))=0,1,IF(ISNUMBER('DATOS'!I361),IF(ABS('DATOS'!H361-'DATOS'!I361)&gt;0.00000001,2,0),2)),1)))))),2)</f>
      </c>
      <c r="Q361" s="29">
        <f>IFERROR(IF(N361=0,"",IF(NOT(Y361=1),1,IF('DATOS'!K361="Sin valorar",2,IF('DATOS'!G361=0,1,IF(OR('DATOS'!H361=0,'DATOS'!J361=0),IF(AND(OR('DATOS'!K361="Sin coste documentado",'DATOS'!K361="Incluido en otra partida"),AND(LEN(TRIM('DATOS'!L361&amp;""))&gt;0,TRIM('DATOS'!L361&amp;"")&lt;&gt;"Pendiente",TRIM('DATOS'!L361&amp;"")&lt;&gt;"Por confirmar",TRIM('DATOS'!L361&amp;"")&lt;&gt;"No consta",TRIM('DATOS'!L361&amp;"")&lt;&gt;"Desconocido",TRIM('DATOS'!L361&amp;"")&lt;&gt;"Sin confirmar",TRIM('DATOS'!L361&amp;"")&lt;&gt;"Por decidir",TRIM('DATOS'!L361&amp;"")&lt;&gt;"Por comprobar")),0,1),0))))),2)</f>
      </c>
      <c r="R361" s="29">
        <f>IFERROR(IF(N361=0,"",IF(OR(NOT(AND(LEN(TRIM('DATOS'!D361&amp;""))&gt;0,TRIM('DATOS'!D361&amp;"")&lt;&gt;"Pendiente",TRIM('DATOS'!D361&amp;"")&lt;&gt;"Por confirmar",TRIM('DATOS'!D361&amp;"")&lt;&gt;"No consta",TRIM('DATOS'!D361&amp;"")&lt;&gt;"Desconocido",TRIM('DATOS'!D361&amp;"")&lt;&gt;"Sin confirmar",TRIM('DATOS'!D361&amp;"")&lt;&gt;"Por decidir",TRIM('DATOS'!D361&amp;"")&lt;&gt;"Por comprobar")),NOT(AND(LEN(TRIM('DATOS'!E361&amp;""))&gt;0,TRIM('DATOS'!E361&amp;"")&lt;&gt;"Pendiente",TRIM('DATOS'!E361&amp;"")&lt;&gt;"Por confirmar",TRIM('DATOS'!E361&amp;"")&lt;&gt;"No consta",TRIM('DATOS'!E361&amp;"")&lt;&gt;"Desconocido",TRIM('DATOS'!E361&amp;"")&lt;&gt;"Sin confirmar",TRIM('DATOS'!E361&amp;"")&lt;&gt;"Por decidir",TRIM('DATOS'!E361&amp;"")&lt;&gt;"Por comprobar"))),2,IF('DATOS'!M361="No",2,IF('DATOS'!M361="Sí",0,IF(OR('DATOS'!D361&lt;&gt;'DATOS'!E361,LEN('DATOS'!E361)&gt;300,RIGHT(TRIM('DATOS'!E361),3)="...",RIGHT(TRIM('DATOS'!E361),1)="…"),1,0))))),2)</f>
      </c>
      <c r="S361" s="29">
        <f>IFERROR(IF(N361=0,"",IF('REFERENCIAS'!$Q$8&lt;&gt;1,2,IF(NOT(Y361=1),1,IF(OR(ABS('DATOS'!G361-ROUND('DATOS'!G361,'REFERENCIAS'!$E$8))&gt;0.00000001,ABS('DATOS'!H361-ROUND('DATOS'!H361,'REFERENCIAS'!$H$8))&gt;0.00000001,ABS('DATOS'!J361-ROUND('DATOS'!J361,'REFERENCIAS'!$K$8))&gt;0.00000001,IF(ISNUMBER('DATOS'!I361),ABS('DATOS'!I361-ROUND('DATOS'!I361,'REFERENCIAS'!$H$8))&gt;0.00000001,FALSE)),1,0)))),2)</f>
      </c>
      <c r="T361" s="29">
        <f>IFERROR(IF(N361=0,"",IF(NOT(AND(LEN(TRIM('DATOS'!F361&amp;""))&gt;0,TRIM('DATOS'!F361&amp;"")&lt;&gt;"Pendiente",TRIM('DATOS'!F361&amp;"")&lt;&gt;"Por confirmar",TRIM('DATOS'!F361&amp;"")&lt;&gt;"No consta",TRIM('DATOS'!F361&amp;"")&lt;&gt;"Desconocido",TRIM('DATOS'!F361&amp;"")&lt;&gt;"Sin confirmar",TRIM('DATOS'!F361&amp;"")&lt;&gt;"Por decidir",TRIM('DATOS'!F361&amp;"")&lt;&gt;"Por comprobar")),2,IF(COUNTIFS('REFERENCIAS'!$T$15:$T$34,"ID:"&amp;SUBSTITUTE(SUBSTITUTE(SUBSTITUTE(SUBSTITUTE(UPPER(TRIM('DATOS'!F361&amp;"")),"!","!E"),"*","!A"),"?","!B"),"~","!C"),'REFERENCIAS'!$H$15:$H$34,"&lt;&gt;")&gt;0,0,1))),2)</f>
      </c>
      <c r="U361" s="29" t="str">
        <f>'DATOS'!R361</f>
        <v>ID:</v>
      </c>
      <c r="V361" s="29" t="str">
        <f>'DATOS'!S361</f>
        <v>ID:</v>
      </c>
      <c r="W361" s="29" t="n">
        <f>IF(N361=0,0,COUNTIFS('REFERENCIAS'!$R$15:$R$64,U361))</f>
        <v>0</v>
      </c>
      <c r="X361" s="29" t="n">
        <f>IF(N361=0,0,COUNTIFS('DATOS'!$R$10:$R$509,U361,'DATOS'!$S$10:$S$509,V361))</f>
        <v>0</v>
      </c>
      <c r="Y361" s="29" t="n">
        <f>IF(AND(ISNUMBER('DATOS'!G361),ISNUMBER('DATOS'!H361),ISNUMBER('DATOS'!J361)),1,0)</f>
        <v>0</v>
      </c>
    </row>
    <row r="362" ht="64" customHeight="1">
      <c r="B362" s="26">
        <f>IF(N362=1,353,"")</f>
      </c>
      <c r="C362" s="26">
        <f>IF(AND(N362=1,LEN(TRIM('DATOS'!B362&amp;""))&gt;0),'DATOS'!B362,"")</f>
      </c>
      <c r="D362" s="26">
        <f>IF(AND(N362=1,LEN(TRIM('DATOS'!C362&amp;""))&gt;0),'DATOS'!C362,"")</f>
      </c>
      <c r="E362" s="26">
        <f>IF(NOT(ISNUMBER(P362)),"",IF(P362=2,"ROJO",IF(P362=1,"ÁMBAR","VERDE")))</f>
      </c>
      <c r="F362" s="26">
        <f>IF(NOT(ISNUMBER(Q362)),"",IF(Q362=2,"ROJO",IF(Q362=1,"ÁMBAR","VERDE")))</f>
      </c>
      <c r="G362" s="26">
        <f>IF(NOT(ISNUMBER(R362)),"",IF(R362=2,"ROJO",IF(R362=1,"ÁMBAR","VERDE")))</f>
      </c>
      <c r="H362" s="26">
        <f>IF(NOT(ISNUMBER(S362)),"",IF(S362=2,"ROJO",IF(S362=1,"ÁMBAR","VERDE")))</f>
      </c>
      <c r="I362" s="26">
        <f>IF(NOT(ISNUMBER(T362)),"",IF(T362=2,"ROJO",IF(T362=1,"ÁMBAR","VERDE")))</f>
      </c>
      <c r="J362" s="26">
        <f>IF(NOT(ISNUMBER(O362)),"",IF(O362=2,"ROJO",IF(O362=1,"ÁMBAR","VERDE")))</f>
      </c>
      <c r="K362" s="26">
        <f>IFERROR(IF(AND(N362=1,LEN(TRIM('DATOS'!N362&amp;""))&gt;0),'DATOS'!N362,""),"Hay una entrada con error. Corregimos el dato antes de cerrar la comprobación.")</f>
      </c>
      <c r="L362" s="26">
        <f>IFERROR(IF(N362=0,"",IF(O362&gt;0,"Completamos datos, claves o motivo. ","")&amp;IF(P362&gt;0,"Cotejamos precios e importe. ","")&amp;IF(Q362&gt;0,"Aclaramos el cero. ","")&amp;IF(R362&gt;0,"Comprobamos el texto. ","")&amp;IF(S362&gt;0,"Revisamos decimales visibles. ","")&amp;IF(T362&gt;0,"Confirmamos la unidad.","")),"Hay una entrada con error. Corregimos el dato antes de cerrar la comprobación.")</f>
      </c>
      <c r="N362" s="29" t="n">
        <f>IF(COUNTA('DATOS'!B362:O362)&gt;0,1,0)</f>
        <v>0</v>
      </c>
      <c r="O362" s="29">
        <f>IFERROR(IF(N362=0,"",IF(OR(NOT(AND(LEN(TRIM('DATOS'!B362&amp;""))&gt;0,TRIM('DATOS'!B362&amp;"")&lt;&gt;"Pendiente",TRIM('DATOS'!B362&amp;"")&lt;&gt;"Por confirmar",TRIM('DATOS'!B362&amp;"")&lt;&gt;"No consta",TRIM('DATOS'!B362&amp;"")&lt;&gt;"Desconocido",TRIM('DATOS'!B362&amp;"")&lt;&gt;"Sin confirmar",TRIM('DATOS'!B362&amp;"")&lt;&gt;"Por decidir",TRIM('DATOS'!B362&amp;"")&lt;&gt;"Por comprobar")),NOT(AND(LEN(TRIM('DATOS'!C362&amp;""))&gt;0,TRIM('DATOS'!C362&amp;"")&lt;&gt;"Pendiente",TRIM('DATOS'!C362&amp;"")&lt;&gt;"Por confirmar",TRIM('DATOS'!C362&amp;"")&lt;&gt;"No consta",TRIM('DATOS'!C362&amp;"")&lt;&gt;"Desconocido",TRIM('DATOS'!C362&amp;"")&lt;&gt;"Sin confirmar",TRIM('DATOS'!C362&amp;"")&lt;&gt;"Por decidir",TRIM('DATOS'!C362&amp;"")&lt;&gt;"Por comprobar")),NOT(AND(LEN(TRIM('DATOS'!D362&amp;""))&gt;0,TRIM('DATOS'!D362&amp;"")&lt;&gt;"Pendiente",TRIM('DATOS'!D362&amp;"")&lt;&gt;"Por confirmar",TRIM('DATOS'!D362&amp;"")&lt;&gt;"No consta",TRIM('DATOS'!D362&amp;"")&lt;&gt;"Desconocido",TRIM('DATOS'!D362&amp;"")&lt;&gt;"Sin confirmar",TRIM('DATOS'!D362&amp;"")&lt;&gt;"Por decidir",TRIM('DATOS'!D362&amp;"")&lt;&gt;"Por comprobar")),NOT(AND(LEN(TRIM('DATOS'!E362&amp;""))&gt;0,TRIM('DATOS'!E362&amp;"")&lt;&gt;"Pendiente",TRIM('DATOS'!E362&amp;"")&lt;&gt;"Por confirmar",TRIM('DATOS'!E362&amp;"")&lt;&gt;"No consta",TRIM('DATOS'!E362&amp;"")&lt;&gt;"Desconocido",TRIM('DATOS'!E362&amp;"")&lt;&gt;"Sin confirmar",TRIM('DATOS'!E362&amp;"")&lt;&gt;"Por decidir",TRIM('DATOS'!E362&amp;"")&lt;&gt;"Por comprobar")),NOT(AND(LEN(TRIM('DATOS'!F362&amp;""))&gt;0,TRIM('DATOS'!F362&amp;"")&lt;&gt;"Pendiente",TRIM('DATOS'!F362&amp;"")&lt;&gt;"Por confirmar",TRIM('DATOS'!F362&amp;"")&lt;&gt;"No consta",TRIM('DATOS'!F362&amp;"")&lt;&gt;"Desconocido",TRIM('DATOS'!F362&amp;"")&lt;&gt;"Sin confirmar",TRIM('DATOS'!F362&amp;"")&lt;&gt;"Por decidir",TRIM('DATOS'!F362&amp;"")&lt;&gt;"Por comprobar")),NOT(AND(LEN(TRIM('DATOS'!N362&amp;""))&gt;0,TRIM('DATOS'!N362&amp;"")&lt;&gt;"Pendiente",TRIM('DATOS'!N362&amp;"")&lt;&gt;"Por confirmar",TRIM('DATOS'!N362&amp;"")&lt;&gt;"No consta",TRIM('DATOS'!N362&amp;"")&lt;&gt;"Desconocido",TRIM('DATOS'!N362&amp;"")&lt;&gt;"Sin confirmar",TRIM('DATOS'!N362&amp;"")&lt;&gt;"Por decidir",TRIM('DATOS'!N362&amp;"")&lt;&gt;"Por comprobar")),NOT(Y362=1),W362&lt;&gt;1,X362&gt;1,NOT(OR(LEN(TRIM('DATOS'!K362&amp;""))=0,'DATOS'!K362="Sin valorar",'DATOS'!K362="Sin coste documentado",'DATOS'!K362="Incluido en otra partida",'DATOS'!K362="Por confirmar")),NOT(OR(LEN(TRIM('DATOS'!M362&amp;""))=0,'DATOS'!M362="Sí",'DATOS'!M362="No",'DATOS'!M362="Por confirmar")),NOT(OR(LEN(TRIM('DATOS'!O362&amp;""))=0,'DATOS'!O362="Comparamos",'DATOS'!O362="No existe",'DATOS'!O362="Por confirmar"))),2,IF(AND(OR('DATOS'!G362&lt;0,'DATOS'!H362&lt;0,'DATOS'!J362&lt;0),NOT(AND(LEN(TRIM('DATOS'!L362&amp;""))&gt;0,TRIM('DATOS'!L362&amp;"")&lt;&gt;"Pendiente",TRIM('DATOS'!L362&amp;"")&lt;&gt;"Por confirmar",TRIM('DATOS'!L362&amp;"")&lt;&gt;"No consta",TRIM('DATOS'!L362&amp;"")&lt;&gt;"Desconocido",TRIM('DATOS'!L362&amp;"")&lt;&gt;"Sin confirmar",TRIM('DATOS'!L362&amp;"")&lt;&gt;"Por decidir",TRIM('DATOS'!L362&amp;"")&lt;&gt;"Por comprobar"))),1,0))),2)</f>
      </c>
      <c r="P362" s="29">
        <f>IFERROR(IF(N362=0,"",IF(NOT(Y362=1),1,IF('REFERENCIAS'!$Q$8&lt;&gt;1,2,IF(ABS('DATOS'!J362-ROUND('DATOS'!G362*'DATOS'!H362,'REFERENCIAS'!$K$8))&gt;0.00000001,2,IF('DATOS'!O362="No existe",IF(LEN(TRIM('DATOS'!I362&amp;""))=0,0,2),IF('DATOS'!O362="Comparamos",IF(LEN(TRIM('DATOS'!I362&amp;""))=0,1,IF(ISNUMBER('DATOS'!I362),IF(ABS('DATOS'!H362-'DATOS'!I362)&gt;0.00000001,2,0),2)),1)))))),2)</f>
      </c>
      <c r="Q362" s="29">
        <f>IFERROR(IF(N362=0,"",IF(NOT(Y362=1),1,IF('DATOS'!K362="Sin valorar",2,IF('DATOS'!G362=0,1,IF(OR('DATOS'!H362=0,'DATOS'!J362=0),IF(AND(OR('DATOS'!K362="Sin coste documentado",'DATOS'!K362="Incluido en otra partida"),AND(LEN(TRIM('DATOS'!L362&amp;""))&gt;0,TRIM('DATOS'!L362&amp;"")&lt;&gt;"Pendiente",TRIM('DATOS'!L362&amp;"")&lt;&gt;"Por confirmar",TRIM('DATOS'!L362&amp;"")&lt;&gt;"No consta",TRIM('DATOS'!L362&amp;"")&lt;&gt;"Desconocido",TRIM('DATOS'!L362&amp;"")&lt;&gt;"Sin confirmar",TRIM('DATOS'!L362&amp;"")&lt;&gt;"Por decidir",TRIM('DATOS'!L362&amp;"")&lt;&gt;"Por comprobar")),0,1),0))))),2)</f>
      </c>
      <c r="R362" s="29">
        <f>IFERROR(IF(N362=0,"",IF(OR(NOT(AND(LEN(TRIM('DATOS'!D362&amp;""))&gt;0,TRIM('DATOS'!D362&amp;"")&lt;&gt;"Pendiente",TRIM('DATOS'!D362&amp;"")&lt;&gt;"Por confirmar",TRIM('DATOS'!D362&amp;"")&lt;&gt;"No consta",TRIM('DATOS'!D362&amp;"")&lt;&gt;"Desconocido",TRIM('DATOS'!D362&amp;"")&lt;&gt;"Sin confirmar",TRIM('DATOS'!D362&amp;"")&lt;&gt;"Por decidir",TRIM('DATOS'!D362&amp;"")&lt;&gt;"Por comprobar")),NOT(AND(LEN(TRIM('DATOS'!E362&amp;""))&gt;0,TRIM('DATOS'!E362&amp;"")&lt;&gt;"Pendiente",TRIM('DATOS'!E362&amp;"")&lt;&gt;"Por confirmar",TRIM('DATOS'!E362&amp;"")&lt;&gt;"No consta",TRIM('DATOS'!E362&amp;"")&lt;&gt;"Desconocido",TRIM('DATOS'!E362&amp;"")&lt;&gt;"Sin confirmar",TRIM('DATOS'!E362&amp;"")&lt;&gt;"Por decidir",TRIM('DATOS'!E362&amp;"")&lt;&gt;"Por comprobar"))),2,IF('DATOS'!M362="No",2,IF('DATOS'!M362="Sí",0,IF(OR('DATOS'!D362&lt;&gt;'DATOS'!E362,LEN('DATOS'!E362)&gt;300,RIGHT(TRIM('DATOS'!E362),3)="...",RIGHT(TRIM('DATOS'!E362),1)="…"),1,0))))),2)</f>
      </c>
      <c r="S362" s="29">
        <f>IFERROR(IF(N362=0,"",IF('REFERENCIAS'!$Q$8&lt;&gt;1,2,IF(NOT(Y362=1),1,IF(OR(ABS('DATOS'!G362-ROUND('DATOS'!G362,'REFERENCIAS'!$E$8))&gt;0.00000001,ABS('DATOS'!H362-ROUND('DATOS'!H362,'REFERENCIAS'!$H$8))&gt;0.00000001,ABS('DATOS'!J362-ROUND('DATOS'!J362,'REFERENCIAS'!$K$8))&gt;0.00000001,IF(ISNUMBER('DATOS'!I362),ABS('DATOS'!I362-ROUND('DATOS'!I362,'REFERENCIAS'!$H$8))&gt;0.00000001,FALSE)),1,0)))),2)</f>
      </c>
      <c r="T362" s="29">
        <f>IFERROR(IF(N362=0,"",IF(NOT(AND(LEN(TRIM('DATOS'!F362&amp;""))&gt;0,TRIM('DATOS'!F362&amp;"")&lt;&gt;"Pendiente",TRIM('DATOS'!F362&amp;"")&lt;&gt;"Por confirmar",TRIM('DATOS'!F362&amp;"")&lt;&gt;"No consta",TRIM('DATOS'!F362&amp;"")&lt;&gt;"Desconocido",TRIM('DATOS'!F362&amp;"")&lt;&gt;"Sin confirmar",TRIM('DATOS'!F362&amp;"")&lt;&gt;"Por decidir",TRIM('DATOS'!F362&amp;"")&lt;&gt;"Por comprobar")),2,IF(COUNTIFS('REFERENCIAS'!$T$15:$T$34,"ID:"&amp;SUBSTITUTE(SUBSTITUTE(SUBSTITUTE(SUBSTITUTE(UPPER(TRIM('DATOS'!F362&amp;"")),"!","!E"),"*","!A"),"?","!B"),"~","!C"),'REFERENCIAS'!$H$15:$H$34,"&lt;&gt;")&gt;0,0,1))),2)</f>
      </c>
      <c r="U362" s="29" t="str">
        <f>'DATOS'!R362</f>
        <v>ID:</v>
      </c>
      <c r="V362" s="29" t="str">
        <f>'DATOS'!S362</f>
        <v>ID:</v>
      </c>
      <c r="W362" s="29" t="n">
        <f>IF(N362=0,0,COUNTIFS('REFERENCIAS'!$R$15:$R$64,U362))</f>
        <v>0</v>
      </c>
      <c r="X362" s="29" t="n">
        <f>IF(N362=0,0,COUNTIFS('DATOS'!$R$10:$R$509,U362,'DATOS'!$S$10:$S$509,V362))</f>
        <v>0</v>
      </c>
      <c r="Y362" s="29" t="n">
        <f>IF(AND(ISNUMBER('DATOS'!G362),ISNUMBER('DATOS'!H362),ISNUMBER('DATOS'!J362)),1,0)</f>
        <v>0</v>
      </c>
    </row>
    <row r="363" ht="64" customHeight="1">
      <c r="B363" s="26">
        <f>IF(N363=1,354,"")</f>
      </c>
      <c r="C363" s="26">
        <f>IF(AND(N363=1,LEN(TRIM('DATOS'!B363&amp;""))&gt;0),'DATOS'!B363,"")</f>
      </c>
      <c r="D363" s="26">
        <f>IF(AND(N363=1,LEN(TRIM('DATOS'!C363&amp;""))&gt;0),'DATOS'!C363,"")</f>
      </c>
      <c r="E363" s="26">
        <f>IF(NOT(ISNUMBER(P363)),"",IF(P363=2,"ROJO",IF(P363=1,"ÁMBAR","VERDE")))</f>
      </c>
      <c r="F363" s="26">
        <f>IF(NOT(ISNUMBER(Q363)),"",IF(Q363=2,"ROJO",IF(Q363=1,"ÁMBAR","VERDE")))</f>
      </c>
      <c r="G363" s="26">
        <f>IF(NOT(ISNUMBER(R363)),"",IF(R363=2,"ROJO",IF(R363=1,"ÁMBAR","VERDE")))</f>
      </c>
      <c r="H363" s="26">
        <f>IF(NOT(ISNUMBER(S363)),"",IF(S363=2,"ROJO",IF(S363=1,"ÁMBAR","VERDE")))</f>
      </c>
      <c r="I363" s="26">
        <f>IF(NOT(ISNUMBER(T363)),"",IF(T363=2,"ROJO",IF(T363=1,"ÁMBAR","VERDE")))</f>
      </c>
      <c r="J363" s="26">
        <f>IF(NOT(ISNUMBER(O363)),"",IF(O363=2,"ROJO",IF(O363=1,"ÁMBAR","VERDE")))</f>
      </c>
      <c r="K363" s="26">
        <f>IFERROR(IF(AND(N363=1,LEN(TRIM('DATOS'!N363&amp;""))&gt;0),'DATOS'!N363,""),"Hay una entrada con error. Corregimos el dato antes de cerrar la comprobación.")</f>
      </c>
      <c r="L363" s="26">
        <f>IFERROR(IF(N363=0,"",IF(O363&gt;0,"Completamos datos, claves o motivo. ","")&amp;IF(P363&gt;0,"Cotejamos precios e importe. ","")&amp;IF(Q363&gt;0,"Aclaramos el cero. ","")&amp;IF(R363&gt;0,"Comprobamos el texto. ","")&amp;IF(S363&gt;0,"Revisamos decimales visibles. ","")&amp;IF(T363&gt;0,"Confirmamos la unidad.","")),"Hay una entrada con error. Corregimos el dato antes de cerrar la comprobación.")</f>
      </c>
      <c r="N363" s="29" t="n">
        <f>IF(COUNTA('DATOS'!B363:O363)&gt;0,1,0)</f>
        <v>0</v>
      </c>
      <c r="O363" s="29">
        <f>IFERROR(IF(N363=0,"",IF(OR(NOT(AND(LEN(TRIM('DATOS'!B363&amp;""))&gt;0,TRIM('DATOS'!B363&amp;"")&lt;&gt;"Pendiente",TRIM('DATOS'!B363&amp;"")&lt;&gt;"Por confirmar",TRIM('DATOS'!B363&amp;"")&lt;&gt;"No consta",TRIM('DATOS'!B363&amp;"")&lt;&gt;"Desconocido",TRIM('DATOS'!B363&amp;"")&lt;&gt;"Sin confirmar",TRIM('DATOS'!B363&amp;"")&lt;&gt;"Por decidir",TRIM('DATOS'!B363&amp;"")&lt;&gt;"Por comprobar")),NOT(AND(LEN(TRIM('DATOS'!C363&amp;""))&gt;0,TRIM('DATOS'!C363&amp;"")&lt;&gt;"Pendiente",TRIM('DATOS'!C363&amp;"")&lt;&gt;"Por confirmar",TRIM('DATOS'!C363&amp;"")&lt;&gt;"No consta",TRIM('DATOS'!C363&amp;"")&lt;&gt;"Desconocido",TRIM('DATOS'!C363&amp;"")&lt;&gt;"Sin confirmar",TRIM('DATOS'!C363&amp;"")&lt;&gt;"Por decidir",TRIM('DATOS'!C363&amp;"")&lt;&gt;"Por comprobar")),NOT(AND(LEN(TRIM('DATOS'!D363&amp;""))&gt;0,TRIM('DATOS'!D363&amp;"")&lt;&gt;"Pendiente",TRIM('DATOS'!D363&amp;"")&lt;&gt;"Por confirmar",TRIM('DATOS'!D363&amp;"")&lt;&gt;"No consta",TRIM('DATOS'!D363&amp;"")&lt;&gt;"Desconocido",TRIM('DATOS'!D363&amp;"")&lt;&gt;"Sin confirmar",TRIM('DATOS'!D363&amp;"")&lt;&gt;"Por decidir",TRIM('DATOS'!D363&amp;"")&lt;&gt;"Por comprobar")),NOT(AND(LEN(TRIM('DATOS'!E363&amp;""))&gt;0,TRIM('DATOS'!E363&amp;"")&lt;&gt;"Pendiente",TRIM('DATOS'!E363&amp;"")&lt;&gt;"Por confirmar",TRIM('DATOS'!E363&amp;"")&lt;&gt;"No consta",TRIM('DATOS'!E363&amp;"")&lt;&gt;"Desconocido",TRIM('DATOS'!E363&amp;"")&lt;&gt;"Sin confirmar",TRIM('DATOS'!E363&amp;"")&lt;&gt;"Por decidir",TRIM('DATOS'!E363&amp;"")&lt;&gt;"Por comprobar")),NOT(AND(LEN(TRIM('DATOS'!F363&amp;""))&gt;0,TRIM('DATOS'!F363&amp;"")&lt;&gt;"Pendiente",TRIM('DATOS'!F363&amp;"")&lt;&gt;"Por confirmar",TRIM('DATOS'!F363&amp;"")&lt;&gt;"No consta",TRIM('DATOS'!F363&amp;"")&lt;&gt;"Desconocido",TRIM('DATOS'!F363&amp;"")&lt;&gt;"Sin confirmar",TRIM('DATOS'!F363&amp;"")&lt;&gt;"Por decidir",TRIM('DATOS'!F363&amp;"")&lt;&gt;"Por comprobar")),NOT(AND(LEN(TRIM('DATOS'!N363&amp;""))&gt;0,TRIM('DATOS'!N363&amp;"")&lt;&gt;"Pendiente",TRIM('DATOS'!N363&amp;"")&lt;&gt;"Por confirmar",TRIM('DATOS'!N363&amp;"")&lt;&gt;"No consta",TRIM('DATOS'!N363&amp;"")&lt;&gt;"Desconocido",TRIM('DATOS'!N363&amp;"")&lt;&gt;"Sin confirmar",TRIM('DATOS'!N363&amp;"")&lt;&gt;"Por decidir",TRIM('DATOS'!N363&amp;"")&lt;&gt;"Por comprobar")),NOT(Y363=1),W363&lt;&gt;1,X363&gt;1,NOT(OR(LEN(TRIM('DATOS'!K363&amp;""))=0,'DATOS'!K363="Sin valorar",'DATOS'!K363="Sin coste documentado",'DATOS'!K363="Incluido en otra partida",'DATOS'!K363="Por confirmar")),NOT(OR(LEN(TRIM('DATOS'!M363&amp;""))=0,'DATOS'!M363="Sí",'DATOS'!M363="No",'DATOS'!M363="Por confirmar")),NOT(OR(LEN(TRIM('DATOS'!O363&amp;""))=0,'DATOS'!O363="Comparamos",'DATOS'!O363="No existe",'DATOS'!O363="Por confirmar"))),2,IF(AND(OR('DATOS'!G363&lt;0,'DATOS'!H363&lt;0,'DATOS'!J363&lt;0),NOT(AND(LEN(TRIM('DATOS'!L363&amp;""))&gt;0,TRIM('DATOS'!L363&amp;"")&lt;&gt;"Pendiente",TRIM('DATOS'!L363&amp;"")&lt;&gt;"Por confirmar",TRIM('DATOS'!L363&amp;"")&lt;&gt;"No consta",TRIM('DATOS'!L363&amp;"")&lt;&gt;"Desconocido",TRIM('DATOS'!L363&amp;"")&lt;&gt;"Sin confirmar",TRIM('DATOS'!L363&amp;"")&lt;&gt;"Por decidir",TRIM('DATOS'!L363&amp;"")&lt;&gt;"Por comprobar"))),1,0))),2)</f>
      </c>
      <c r="P363" s="29">
        <f>IFERROR(IF(N363=0,"",IF(NOT(Y363=1),1,IF('REFERENCIAS'!$Q$8&lt;&gt;1,2,IF(ABS('DATOS'!J363-ROUND('DATOS'!G363*'DATOS'!H363,'REFERENCIAS'!$K$8))&gt;0.00000001,2,IF('DATOS'!O363="No existe",IF(LEN(TRIM('DATOS'!I363&amp;""))=0,0,2),IF('DATOS'!O363="Comparamos",IF(LEN(TRIM('DATOS'!I363&amp;""))=0,1,IF(ISNUMBER('DATOS'!I363),IF(ABS('DATOS'!H363-'DATOS'!I363)&gt;0.00000001,2,0),2)),1)))))),2)</f>
      </c>
      <c r="Q363" s="29">
        <f>IFERROR(IF(N363=0,"",IF(NOT(Y363=1),1,IF('DATOS'!K363="Sin valorar",2,IF('DATOS'!G363=0,1,IF(OR('DATOS'!H363=0,'DATOS'!J363=0),IF(AND(OR('DATOS'!K363="Sin coste documentado",'DATOS'!K363="Incluido en otra partida"),AND(LEN(TRIM('DATOS'!L363&amp;""))&gt;0,TRIM('DATOS'!L363&amp;"")&lt;&gt;"Pendiente",TRIM('DATOS'!L363&amp;"")&lt;&gt;"Por confirmar",TRIM('DATOS'!L363&amp;"")&lt;&gt;"No consta",TRIM('DATOS'!L363&amp;"")&lt;&gt;"Desconocido",TRIM('DATOS'!L363&amp;"")&lt;&gt;"Sin confirmar",TRIM('DATOS'!L363&amp;"")&lt;&gt;"Por decidir",TRIM('DATOS'!L363&amp;"")&lt;&gt;"Por comprobar")),0,1),0))))),2)</f>
      </c>
      <c r="R363" s="29">
        <f>IFERROR(IF(N363=0,"",IF(OR(NOT(AND(LEN(TRIM('DATOS'!D363&amp;""))&gt;0,TRIM('DATOS'!D363&amp;"")&lt;&gt;"Pendiente",TRIM('DATOS'!D363&amp;"")&lt;&gt;"Por confirmar",TRIM('DATOS'!D363&amp;"")&lt;&gt;"No consta",TRIM('DATOS'!D363&amp;"")&lt;&gt;"Desconocido",TRIM('DATOS'!D363&amp;"")&lt;&gt;"Sin confirmar",TRIM('DATOS'!D363&amp;"")&lt;&gt;"Por decidir",TRIM('DATOS'!D363&amp;"")&lt;&gt;"Por comprobar")),NOT(AND(LEN(TRIM('DATOS'!E363&amp;""))&gt;0,TRIM('DATOS'!E363&amp;"")&lt;&gt;"Pendiente",TRIM('DATOS'!E363&amp;"")&lt;&gt;"Por confirmar",TRIM('DATOS'!E363&amp;"")&lt;&gt;"No consta",TRIM('DATOS'!E363&amp;"")&lt;&gt;"Desconocido",TRIM('DATOS'!E363&amp;"")&lt;&gt;"Sin confirmar",TRIM('DATOS'!E363&amp;"")&lt;&gt;"Por decidir",TRIM('DATOS'!E363&amp;"")&lt;&gt;"Por comprobar"))),2,IF('DATOS'!M363="No",2,IF('DATOS'!M363="Sí",0,IF(OR('DATOS'!D363&lt;&gt;'DATOS'!E363,LEN('DATOS'!E363)&gt;300,RIGHT(TRIM('DATOS'!E363),3)="...",RIGHT(TRIM('DATOS'!E363),1)="…"),1,0))))),2)</f>
      </c>
      <c r="S363" s="29">
        <f>IFERROR(IF(N363=0,"",IF('REFERENCIAS'!$Q$8&lt;&gt;1,2,IF(NOT(Y363=1),1,IF(OR(ABS('DATOS'!G363-ROUND('DATOS'!G363,'REFERENCIAS'!$E$8))&gt;0.00000001,ABS('DATOS'!H363-ROUND('DATOS'!H363,'REFERENCIAS'!$H$8))&gt;0.00000001,ABS('DATOS'!J363-ROUND('DATOS'!J363,'REFERENCIAS'!$K$8))&gt;0.00000001,IF(ISNUMBER('DATOS'!I363),ABS('DATOS'!I363-ROUND('DATOS'!I363,'REFERENCIAS'!$H$8))&gt;0.00000001,FALSE)),1,0)))),2)</f>
      </c>
      <c r="T363" s="29">
        <f>IFERROR(IF(N363=0,"",IF(NOT(AND(LEN(TRIM('DATOS'!F363&amp;""))&gt;0,TRIM('DATOS'!F363&amp;"")&lt;&gt;"Pendiente",TRIM('DATOS'!F363&amp;"")&lt;&gt;"Por confirmar",TRIM('DATOS'!F363&amp;"")&lt;&gt;"No consta",TRIM('DATOS'!F363&amp;"")&lt;&gt;"Desconocido",TRIM('DATOS'!F363&amp;"")&lt;&gt;"Sin confirmar",TRIM('DATOS'!F363&amp;"")&lt;&gt;"Por decidir",TRIM('DATOS'!F363&amp;"")&lt;&gt;"Por comprobar")),2,IF(COUNTIFS('REFERENCIAS'!$T$15:$T$34,"ID:"&amp;SUBSTITUTE(SUBSTITUTE(SUBSTITUTE(SUBSTITUTE(UPPER(TRIM('DATOS'!F363&amp;"")),"!","!E"),"*","!A"),"?","!B"),"~","!C"),'REFERENCIAS'!$H$15:$H$34,"&lt;&gt;")&gt;0,0,1))),2)</f>
      </c>
      <c r="U363" s="29" t="str">
        <f>'DATOS'!R363</f>
        <v>ID:</v>
      </c>
      <c r="V363" s="29" t="str">
        <f>'DATOS'!S363</f>
        <v>ID:</v>
      </c>
      <c r="W363" s="29" t="n">
        <f>IF(N363=0,0,COUNTIFS('REFERENCIAS'!$R$15:$R$64,U363))</f>
        <v>0</v>
      </c>
      <c r="X363" s="29" t="n">
        <f>IF(N363=0,0,COUNTIFS('DATOS'!$R$10:$R$509,U363,'DATOS'!$S$10:$S$509,V363))</f>
        <v>0</v>
      </c>
      <c r="Y363" s="29" t="n">
        <f>IF(AND(ISNUMBER('DATOS'!G363),ISNUMBER('DATOS'!H363),ISNUMBER('DATOS'!J363)),1,0)</f>
        <v>0</v>
      </c>
    </row>
    <row r="364" ht="64" customHeight="1">
      <c r="B364" s="26">
        <f>IF(N364=1,355,"")</f>
      </c>
      <c r="C364" s="26">
        <f>IF(AND(N364=1,LEN(TRIM('DATOS'!B364&amp;""))&gt;0),'DATOS'!B364,"")</f>
      </c>
      <c r="D364" s="26">
        <f>IF(AND(N364=1,LEN(TRIM('DATOS'!C364&amp;""))&gt;0),'DATOS'!C364,"")</f>
      </c>
      <c r="E364" s="26">
        <f>IF(NOT(ISNUMBER(P364)),"",IF(P364=2,"ROJO",IF(P364=1,"ÁMBAR","VERDE")))</f>
      </c>
      <c r="F364" s="26">
        <f>IF(NOT(ISNUMBER(Q364)),"",IF(Q364=2,"ROJO",IF(Q364=1,"ÁMBAR","VERDE")))</f>
      </c>
      <c r="G364" s="26">
        <f>IF(NOT(ISNUMBER(R364)),"",IF(R364=2,"ROJO",IF(R364=1,"ÁMBAR","VERDE")))</f>
      </c>
      <c r="H364" s="26">
        <f>IF(NOT(ISNUMBER(S364)),"",IF(S364=2,"ROJO",IF(S364=1,"ÁMBAR","VERDE")))</f>
      </c>
      <c r="I364" s="26">
        <f>IF(NOT(ISNUMBER(T364)),"",IF(T364=2,"ROJO",IF(T364=1,"ÁMBAR","VERDE")))</f>
      </c>
      <c r="J364" s="26">
        <f>IF(NOT(ISNUMBER(O364)),"",IF(O364=2,"ROJO",IF(O364=1,"ÁMBAR","VERDE")))</f>
      </c>
      <c r="K364" s="26">
        <f>IFERROR(IF(AND(N364=1,LEN(TRIM('DATOS'!N364&amp;""))&gt;0),'DATOS'!N364,""),"Hay una entrada con error. Corregimos el dato antes de cerrar la comprobación.")</f>
      </c>
      <c r="L364" s="26">
        <f>IFERROR(IF(N364=0,"",IF(O364&gt;0,"Completamos datos, claves o motivo. ","")&amp;IF(P364&gt;0,"Cotejamos precios e importe. ","")&amp;IF(Q364&gt;0,"Aclaramos el cero. ","")&amp;IF(R364&gt;0,"Comprobamos el texto. ","")&amp;IF(S364&gt;0,"Revisamos decimales visibles. ","")&amp;IF(T364&gt;0,"Confirmamos la unidad.","")),"Hay una entrada con error. Corregimos el dato antes de cerrar la comprobación.")</f>
      </c>
      <c r="N364" s="29" t="n">
        <f>IF(COUNTA('DATOS'!B364:O364)&gt;0,1,0)</f>
        <v>0</v>
      </c>
      <c r="O364" s="29">
        <f>IFERROR(IF(N364=0,"",IF(OR(NOT(AND(LEN(TRIM('DATOS'!B364&amp;""))&gt;0,TRIM('DATOS'!B364&amp;"")&lt;&gt;"Pendiente",TRIM('DATOS'!B364&amp;"")&lt;&gt;"Por confirmar",TRIM('DATOS'!B364&amp;"")&lt;&gt;"No consta",TRIM('DATOS'!B364&amp;"")&lt;&gt;"Desconocido",TRIM('DATOS'!B364&amp;"")&lt;&gt;"Sin confirmar",TRIM('DATOS'!B364&amp;"")&lt;&gt;"Por decidir",TRIM('DATOS'!B364&amp;"")&lt;&gt;"Por comprobar")),NOT(AND(LEN(TRIM('DATOS'!C364&amp;""))&gt;0,TRIM('DATOS'!C364&amp;"")&lt;&gt;"Pendiente",TRIM('DATOS'!C364&amp;"")&lt;&gt;"Por confirmar",TRIM('DATOS'!C364&amp;"")&lt;&gt;"No consta",TRIM('DATOS'!C364&amp;"")&lt;&gt;"Desconocido",TRIM('DATOS'!C364&amp;"")&lt;&gt;"Sin confirmar",TRIM('DATOS'!C364&amp;"")&lt;&gt;"Por decidir",TRIM('DATOS'!C364&amp;"")&lt;&gt;"Por comprobar")),NOT(AND(LEN(TRIM('DATOS'!D364&amp;""))&gt;0,TRIM('DATOS'!D364&amp;"")&lt;&gt;"Pendiente",TRIM('DATOS'!D364&amp;"")&lt;&gt;"Por confirmar",TRIM('DATOS'!D364&amp;"")&lt;&gt;"No consta",TRIM('DATOS'!D364&amp;"")&lt;&gt;"Desconocido",TRIM('DATOS'!D364&amp;"")&lt;&gt;"Sin confirmar",TRIM('DATOS'!D364&amp;"")&lt;&gt;"Por decidir",TRIM('DATOS'!D364&amp;"")&lt;&gt;"Por comprobar")),NOT(AND(LEN(TRIM('DATOS'!E364&amp;""))&gt;0,TRIM('DATOS'!E364&amp;"")&lt;&gt;"Pendiente",TRIM('DATOS'!E364&amp;"")&lt;&gt;"Por confirmar",TRIM('DATOS'!E364&amp;"")&lt;&gt;"No consta",TRIM('DATOS'!E364&amp;"")&lt;&gt;"Desconocido",TRIM('DATOS'!E364&amp;"")&lt;&gt;"Sin confirmar",TRIM('DATOS'!E364&amp;"")&lt;&gt;"Por decidir",TRIM('DATOS'!E364&amp;"")&lt;&gt;"Por comprobar")),NOT(AND(LEN(TRIM('DATOS'!F364&amp;""))&gt;0,TRIM('DATOS'!F364&amp;"")&lt;&gt;"Pendiente",TRIM('DATOS'!F364&amp;"")&lt;&gt;"Por confirmar",TRIM('DATOS'!F364&amp;"")&lt;&gt;"No consta",TRIM('DATOS'!F364&amp;"")&lt;&gt;"Desconocido",TRIM('DATOS'!F364&amp;"")&lt;&gt;"Sin confirmar",TRIM('DATOS'!F364&amp;"")&lt;&gt;"Por decidir",TRIM('DATOS'!F364&amp;"")&lt;&gt;"Por comprobar")),NOT(AND(LEN(TRIM('DATOS'!N364&amp;""))&gt;0,TRIM('DATOS'!N364&amp;"")&lt;&gt;"Pendiente",TRIM('DATOS'!N364&amp;"")&lt;&gt;"Por confirmar",TRIM('DATOS'!N364&amp;"")&lt;&gt;"No consta",TRIM('DATOS'!N364&amp;"")&lt;&gt;"Desconocido",TRIM('DATOS'!N364&amp;"")&lt;&gt;"Sin confirmar",TRIM('DATOS'!N364&amp;"")&lt;&gt;"Por decidir",TRIM('DATOS'!N364&amp;"")&lt;&gt;"Por comprobar")),NOT(Y364=1),W364&lt;&gt;1,X364&gt;1,NOT(OR(LEN(TRIM('DATOS'!K364&amp;""))=0,'DATOS'!K364="Sin valorar",'DATOS'!K364="Sin coste documentado",'DATOS'!K364="Incluido en otra partida",'DATOS'!K364="Por confirmar")),NOT(OR(LEN(TRIM('DATOS'!M364&amp;""))=0,'DATOS'!M364="Sí",'DATOS'!M364="No",'DATOS'!M364="Por confirmar")),NOT(OR(LEN(TRIM('DATOS'!O364&amp;""))=0,'DATOS'!O364="Comparamos",'DATOS'!O364="No existe",'DATOS'!O364="Por confirmar"))),2,IF(AND(OR('DATOS'!G364&lt;0,'DATOS'!H364&lt;0,'DATOS'!J364&lt;0),NOT(AND(LEN(TRIM('DATOS'!L364&amp;""))&gt;0,TRIM('DATOS'!L364&amp;"")&lt;&gt;"Pendiente",TRIM('DATOS'!L364&amp;"")&lt;&gt;"Por confirmar",TRIM('DATOS'!L364&amp;"")&lt;&gt;"No consta",TRIM('DATOS'!L364&amp;"")&lt;&gt;"Desconocido",TRIM('DATOS'!L364&amp;"")&lt;&gt;"Sin confirmar",TRIM('DATOS'!L364&amp;"")&lt;&gt;"Por decidir",TRIM('DATOS'!L364&amp;"")&lt;&gt;"Por comprobar"))),1,0))),2)</f>
      </c>
      <c r="P364" s="29">
        <f>IFERROR(IF(N364=0,"",IF(NOT(Y364=1),1,IF('REFERENCIAS'!$Q$8&lt;&gt;1,2,IF(ABS('DATOS'!J364-ROUND('DATOS'!G364*'DATOS'!H364,'REFERENCIAS'!$K$8))&gt;0.00000001,2,IF('DATOS'!O364="No existe",IF(LEN(TRIM('DATOS'!I364&amp;""))=0,0,2),IF('DATOS'!O364="Comparamos",IF(LEN(TRIM('DATOS'!I364&amp;""))=0,1,IF(ISNUMBER('DATOS'!I364),IF(ABS('DATOS'!H364-'DATOS'!I364)&gt;0.00000001,2,0),2)),1)))))),2)</f>
      </c>
      <c r="Q364" s="29">
        <f>IFERROR(IF(N364=0,"",IF(NOT(Y364=1),1,IF('DATOS'!K364="Sin valorar",2,IF('DATOS'!G364=0,1,IF(OR('DATOS'!H364=0,'DATOS'!J364=0),IF(AND(OR('DATOS'!K364="Sin coste documentado",'DATOS'!K364="Incluido en otra partida"),AND(LEN(TRIM('DATOS'!L364&amp;""))&gt;0,TRIM('DATOS'!L364&amp;"")&lt;&gt;"Pendiente",TRIM('DATOS'!L364&amp;"")&lt;&gt;"Por confirmar",TRIM('DATOS'!L364&amp;"")&lt;&gt;"No consta",TRIM('DATOS'!L364&amp;"")&lt;&gt;"Desconocido",TRIM('DATOS'!L364&amp;"")&lt;&gt;"Sin confirmar",TRIM('DATOS'!L364&amp;"")&lt;&gt;"Por decidir",TRIM('DATOS'!L364&amp;"")&lt;&gt;"Por comprobar")),0,1),0))))),2)</f>
      </c>
      <c r="R364" s="29">
        <f>IFERROR(IF(N364=0,"",IF(OR(NOT(AND(LEN(TRIM('DATOS'!D364&amp;""))&gt;0,TRIM('DATOS'!D364&amp;"")&lt;&gt;"Pendiente",TRIM('DATOS'!D364&amp;"")&lt;&gt;"Por confirmar",TRIM('DATOS'!D364&amp;"")&lt;&gt;"No consta",TRIM('DATOS'!D364&amp;"")&lt;&gt;"Desconocido",TRIM('DATOS'!D364&amp;"")&lt;&gt;"Sin confirmar",TRIM('DATOS'!D364&amp;"")&lt;&gt;"Por decidir",TRIM('DATOS'!D364&amp;"")&lt;&gt;"Por comprobar")),NOT(AND(LEN(TRIM('DATOS'!E364&amp;""))&gt;0,TRIM('DATOS'!E364&amp;"")&lt;&gt;"Pendiente",TRIM('DATOS'!E364&amp;"")&lt;&gt;"Por confirmar",TRIM('DATOS'!E364&amp;"")&lt;&gt;"No consta",TRIM('DATOS'!E364&amp;"")&lt;&gt;"Desconocido",TRIM('DATOS'!E364&amp;"")&lt;&gt;"Sin confirmar",TRIM('DATOS'!E364&amp;"")&lt;&gt;"Por decidir",TRIM('DATOS'!E364&amp;"")&lt;&gt;"Por comprobar"))),2,IF('DATOS'!M364="No",2,IF('DATOS'!M364="Sí",0,IF(OR('DATOS'!D364&lt;&gt;'DATOS'!E364,LEN('DATOS'!E364)&gt;300,RIGHT(TRIM('DATOS'!E364),3)="...",RIGHT(TRIM('DATOS'!E364),1)="…"),1,0))))),2)</f>
      </c>
      <c r="S364" s="29">
        <f>IFERROR(IF(N364=0,"",IF('REFERENCIAS'!$Q$8&lt;&gt;1,2,IF(NOT(Y364=1),1,IF(OR(ABS('DATOS'!G364-ROUND('DATOS'!G364,'REFERENCIAS'!$E$8))&gt;0.00000001,ABS('DATOS'!H364-ROUND('DATOS'!H364,'REFERENCIAS'!$H$8))&gt;0.00000001,ABS('DATOS'!J364-ROUND('DATOS'!J364,'REFERENCIAS'!$K$8))&gt;0.00000001,IF(ISNUMBER('DATOS'!I364),ABS('DATOS'!I364-ROUND('DATOS'!I364,'REFERENCIAS'!$H$8))&gt;0.00000001,FALSE)),1,0)))),2)</f>
      </c>
      <c r="T364" s="29">
        <f>IFERROR(IF(N364=0,"",IF(NOT(AND(LEN(TRIM('DATOS'!F364&amp;""))&gt;0,TRIM('DATOS'!F364&amp;"")&lt;&gt;"Pendiente",TRIM('DATOS'!F364&amp;"")&lt;&gt;"Por confirmar",TRIM('DATOS'!F364&amp;"")&lt;&gt;"No consta",TRIM('DATOS'!F364&amp;"")&lt;&gt;"Desconocido",TRIM('DATOS'!F364&amp;"")&lt;&gt;"Sin confirmar",TRIM('DATOS'!F364&amp;"")&lt;&gt;"Por decidir",TRIM('DATOS'!F364&amp;"")&lt;&gt;"Por comprobar")),2,IF(COUNTIFS('REFERENCIAS'!$T$15:$T$34,"ID:"&amp;SUBSTITUTE(SUBSTITUTE(SUBSTITUTE(SUBSTITUTE(UPPER(TRIM('DATOS'!F364&amp;"")),"!","!E"),"*","!A"),"?","!B"),"~","!C"),'REFERENCIAS'!$H$15:$H$34,"&lt;&gt;")&gt;0,0,1))),2)</f>
      </c>
      <c r="U364" s="29" t="str">
        <f>'DATOS'!R364</f>
        <v>ID:</v>
      </c>
      <c r="V364" s="29" t="str">
        <f>'DATOS'!S364</f>
        <v>ID:</v>
      </c>
      <c r="W364" s="29" t="n">
        <f>IF(N364=0,0,COUNTIFS('REFERENCIAS'!$R$15:$R$64,U364))</f>
        <v>0</v>
      </c>
      <c r="X364" s="29" t="n">
        <f>IF(N364=0,0,COUNTIFS('DATOS'!$R$10:$R$509,U364,'DATOS'!$S$10:$S$509,V364))</f>
        <v>0</v>
      </c>
      <c r="Y364" s="29" t="n">
        <f>IF(AND(ISNUMBER('DATOS'!G364),ISNUMBER('DATOS'!H364),ISNUMBER('DATOS'!J364)),1,0)</f>
        <v>0</v>
      </c>
    </row>
    <row r="365" ht="64" customHeight="1">
      <c r="B365" s="26">
        <f>IF(N365=1,356,"")</f>
      </c>
      <c r="C365" s="26">
        <f>IF(AND(N365=1,LEN(TRIM('DATOS'!B365&amp;""))&gt;0),'DATOS'!B365,"")</f>
      </c>
      <c r="D365" s="26">
        <f>IF(AND(N365=1,LEN(TRIM('DATOS'!C365&amp;""))&gt;0),'DATOS'!C365,"")</f>
      </c>
      <c r="E365" s="26">
        <f>IF(NOT(ISNUMBER(P365)),"",IF(P365=2,"ROJO",IF(P365=1,"ÁMBAR","VERDE")))</f>
      </c>
      <c r="F365" s="26">
        <f>IF(NOT(ISNUMBER(Q365)),"",IF(Q365=2,"ROJO",IF(Q365=1,"ÁMBAR","VERDE")))</f>
      </c>
      <c r="G365" s="26">
        <f>IF(NOT(ISNUMBER(R365)),"",IF(R365=2,"ROJO",IF(R365=1,"ÁMBAR","VERDE")))</f>
      </c>
      <c r="H365" s="26">
        <f>IF(NOT(ISNUMBER(S365)),"",IF(S365=2,"ROJO",IF(S365=1,"ÁMBAR","VERDE")))</f>
      </c>
      <c r="I365" s="26">
        <f>IF(NOT(ISNUMBER(T365)),"",IF(T365=2,"ROJO",IF(T365=1,"ÁMBAR","VERDE")))</f>
      </c>
      <c r="J365" s="26">
        <f>IF(NOT(ISNUMBER(O365)),"",IF(O365=2,"ROJO",IF(O365=1,"ÁMBAR","VERDE")))</f>
      </c>
      <c r="K365" s="26">
        <f>IFERROR(IF(AND(N365=1,LEN(TRIM('DATOS'!N365&amp;""))&gt;0),'DATOS'!N365,""),"Hay una entrada con error. Corregimos el dato antes de cerrar la comprobación.")</f>
      </c>
      <c r="L365" s="26">
        <f>IFERROR(IF(N365=0,"",IF(O365&gt;0,"Completamos datos, claves o motivo. ","")&amp;IF(P365&gt;0,"Cotejamos precios e importe. ","")&amp;IF(Q365&gt;0,"Aclaramos el cero. ","")&amp;IF(R365&gt;0,"Comprobamos el texto. ","")&amp;IF(S365&gt;0,"Revisamos decimales visibles. ","")&amp;IF(T365&gt;0,"Confirmamos la unidad.","")),"Hay una entrada con error. Corregimos el dato antes de cerrar la comprobación.")</f>
      </c>
      <c r="N365" s="29" t="n">
        <f>IF(COUNTA('DATOS'!B365:O365)&gt;0,1,0)</f>
        <v>0</v>
      </c>
      <c r="O365" s="29">
        <f>IFERROR(IF(N365=0,"",IF(OR(NOT(AND(LEN(TRIM('DATOS'!B365&amp;""))&gt;0,TRIM('DATOS'!B365&amp;"")&lt;&gt;"Pendiente",TRIM('DATOS'!B365&amp;"")&lt;&gt;"Por confirmar",TRIM('DATOS'!B365&amp;"")&lt;&gt;"No consta",TRIM('DATOS'!B365&amp;"")&lt;&gt;"Desconocido",TRIM('DATOS'!B365&amp;"")&lt;&gt;"Sin confirmar",TRIM('DATOS'!B365&amp;"")&lt;&gt;"Por decidir",TRIM('DATOS'!B365&amp;"")&lt;&gt;"Por comprobar")),NOT(AND(LEN(TRIM('DATOS'!C365&amp;""))&gt;0,TRIM('DATOS'!C365&amp;"")&lt;&gt;"Pendiente",TRIM('DATOS'!C365&amp;"")&lt;&gt;"Por confirmar",TRIM('DATOS'!C365&amp;"")&lt;&gt;"No consta",TRIM('DATOS'!C365&amp;"")&lt;&gt;"Desconocido",TRIM('DATOS'!C365&amp;"")&lt;&gt;"Sin confirmar",TRIM('DATOS'!C365&amp;"")&lt;&gt;"Por decidir",TRIM('DATOS'!C365&amp;"")&lt;&gt;"Por comprobar")),NOT(AND(LEN(TRIM('DATOS'!D365&amp;""))&gt;0,TRIM('DATOS'!D365&amp;"")&lt;&gt;"Pendiente",TRIM('DATOS'!D365&amp;"")&lt;&gt;"Por confirmar",TRIM('DATOS'!D365&amp;"")&lt;&gt;"No consta",TRIM('DATOS'!D365&amp;"")&lt;&gt;"Desconocido",TRIM('DATOS'!D365&amp;"")&lt;&gt;"Sin confirmar",TRIM('DATOS'!D365&amp;"")&lt;&gt;"Por decidir",TRIM('DATOS'!D365&amp;"")&lt;&gt;"Por comprobar")),NOT(AND(LEN(TRIM('DATOS'!E365&amp;""))&gt;0,TRIM('DATOS'!E365&amp;"")&lt;&gt;"Pendiente",TRIM('DATOS'!E365&amp;"")&lt;&gt;"Por confirmar",TRIM('DATOS'!E365&amp;"")&lt;&gt;"No consta",TRIM('DATOS'!E365&amp;"")&lt;&gt;"Desconocido",TRIM('DATOS'!E365&amp;"")&lt;&gt;"Sin confirmar",TRIM('DATOS'!E365&amp;"")&lt;&gt;"Por decidir",TRIM('DATOS'!E365&amp;"")&lt;&gt;"Por comprobar")),NOT(AND(LEN(TRIM('DATOS'!F365&amp;""))&gt;0,TRIM('DATOS'!F365&amp;"")&lt;&gt;"Pendiente",TRIM('DATOS'!F365&amp;"")&lt;&gt;"Por confirmar",TRIM('DATOS'!F365&amp;"")&lt;&gt;"No consta",TRIM('DATOS'!F365&amp;"")&lt;&gt;"Desconocido",TRIM('DATOS'!F365&amp;"")&lt;&gt;"Sin confirmar",TRIM('DATOS'!F365&amp;"")&lt;&gt;"Por decidir",TRIM('DATOS'!F365&amp;"")&lt;&gt;"Por comprobar")),NOT(AND(LEN(TRIM('DATOS'!N365&amp;""))&gt;0,TRIM('DATOS'!N365&amp;"")&lt;&gt;"Pendiente",TRIM('DATOS'!N365&amp;"")&lt;&gt;"Por confirmar",TRIM('DATOS'!N365&amp;"")&lt;&gt;"No consta",TRIM('DATOS'!N365&amp;"")&lt;&gt;"Desconocido",TRIM('DATOS'!N365&amp;"")&lt;&gt;"Sin confirmar",TRIM('DATOS'!N365&amp;"")&lt;&gt;"Por decidir",TRIM('DATOS'!N365&amp;"")&lt;&gt;"Por comprobar")),NOT(Y365=1),W365&lt;&gt;1,X365&gt;1,NOT(OR(LEN(TRIM('DATOS'!K365&amp;""))=0,'DATOS'!K365="Sin valorar",'DATOS'!K365="Sin coste documentado",'DATOS'!K365="Incluido en otra partida",'DATOS'!K365="Por confirmar")),NOT(OR(LEN(TRIM('DATOS'!M365&amp;""))=0,'DATOS'!M365="Sí",'DATOS'!M365="No",'DATOS'!M365="Por confirmar")),NOT(OR(LEN(TRIM('DATOS'!O365&amp;""))=0,'DATOS'!O365="Comparamos",'DATOS'!O365="No existe",'DATOS'!O365="Por confirmar"))),2,IF(AND(OR('DATOS'!G365&lt;0,'DATOS'!H365&lt;0,'DATOS'!J365&lt;0),NOT(AND(LEN(TRIM('DATOS'!L365&amp;""))&gt;0,TRIM('DATOS'!L365&amp;"")&lt;&gt;"Pendiente",TRIM('DATOS'!L365&amp;"")&lt;&gt;"Por confirmar",TRIM('DATOS'!L365&amp;"")&lt;&gt;"No consta",TRIM('DATOS'!L365&amp;"")&lt;&gt;"Desconocido",TRIM('DATOS'!L365&amp;"")&lt;&gt;"Sin confirmar",TRIM('DATOS'!L365&amp;"")&lt;&gt;"Por decidir",TRIM('DATOS'!L365&amp;"")&lt;&gt;"Por comprobar"))),1,0))),2)</f>
      </c>
      <c r="P365" s="29">
        <f>IFERROR(IF(N365=0,"",IF(NOT(Y365=1),1,IF('REFERENCIAS'!$Q$8&lt;&gt;1,2,IF(ABS('DATOS'!J365-ROUND('DATOS'!G365*'DATOS'!H365,'REFERENCIAS'!$K$8))&gt;0.00000001,2,IF('DATOS'!O365="No existe",IF(LEN(TRIM('DATOS'!I365&amp;""))=0,0,2),IF('DATOS'!O365="Comparamos",IF(LEN(TRIM('DATOS'!I365&amp;""))=0,1,IF(ISNUMBER('DATOS'!I365),IF(ABS('DATOS'!H365-'DATOS'!I365)&gt;0.00000001,2,0),2)),1)))))),2)</f>
      </c>
      <c r="Q365" s="29">
        <f>IFERROR(IF(N365=0,"",IF(NOT(Y365=1),1,IF('DATOS'!K365="Sin valorar",2,IF('DATOS'!G365=0,1,IF(OR('DATOS'!H365=0,'DATOS'!J365=0),IF(AND(OR('DATOS'!K365="Sin coste documentado",'DATOS'!K365="Incluido en otra partida"),AND(LEN(TRIM('DATOS'!L365&amp;""))&gt;0,TRIM('DATOS'!L365&amp;"")&lt;&gt;"Pendiente",TRIM('DATOS'!L365&amp;"")&lt;&gt;"Por confirmar",TRIM('DATOS'!L365&amp;"")&lt;&gt;"No consta",TRIM('DATOS'!L365&amp;"")&lt;&gt;"Desconocido",TRIM('DATOS'!L365&amp;"")&lt;&gt;"Sin confirmar",TRIM('DATOS'!L365&amp;"")&lt;&gt;"Por decidir",TRIM('DATOS'!L365&amp;"")&lt;&gt;"Por comprobar")),0,1),0))))),2)</f>
      </c>
      <c r="R365" s="29">
        <f>IFERROR(IF(N365=0,"",IF(OR(NOT(AND(LEN(TRIM('DATOS'!D365&amp;""))&gt;0,TRIM('DATOS'!D365&amp;"")&lt;&gt;"Pendiente",TRIM('DATOS'!D365&amp;"")&lt;&gt;"Por confirmar",TRIM('DATOS'!D365&amp;"")&lt;&gt;"No consta",TRIM('DATOS'!D365&amp;"")&lt;&gt;"Desconocido",TRIM('DATOS'!D365&amp;"")&lt;&gt;"Sin confirmar",TRIM('DATOS'!D365&amp;"")&lt;&gt;"Por decidir",TRIM('DATOS'!D365&amp;"")&lt;&gt;"Por comprobar")),NOT(AND(LEN(TRIM('DATOS'!E365&amp;""))&gt;0,TRIM('DATOS'!E365&amp;"")&lt;&gt;"Pendiente",TRIM('DATOS'!E365&amp;"")&lt;&gt;"Por confirmar",TRIM('DATOS'!E365&amp;"")&lt;&gt;"No consta",TRIM('DATOS'!E365&amp;"")&lt;&gt;"Desconocido",TRIM('DATOS'!E365&amp;"")&lt;&gt;"Sin confirmar",TRIM('DATOS'!E365&amp;"")&lt;&gt;"Por decidir",TRIM('DATOS'!E365&amp;"")&lt;&gt;"Por comprobar"))),2,IF('DATOS'!M365="No",2,IF('DATOS'!M365="Sí",0,IF(OR('DATOS'!D365&lt;&gt;'DATOS'!E365,LEN('DATOS'!E365)&gt;300,RIGHT(TRIM('DATOS'!E365),3)="...",RIGHT(TRIM('DATOS'!E365),1)="…"),1,0))))),2)</f>
      </c>
      <c r="S365" s="29">
        <f>IFERROR(IF(N365=0,"",IF('REFERENCIAS'!$Q$8&lt;&gt;1,2,IF(NOT(Y365=1),1,IF(OR(ABS('DATOS'!G365-ROUND('DATOS'!G365,'REFERENCIAS'!$E$8))&gt;0.00000001,ABS('DATOS'!H365-ROUND('DATOS'!H365,'REFERENCIAS'!$H$8))&gt;0.00000001,ABS('DATOS'!J365-ROUND('DATOS'!J365,'REFERENCIAS'!$K$8))&gt;0.00000001,IF(ISNUMBER('DATOS'!I365),ABS('DATOS'!I365-ROUND('DATOS'!I365,'REFERENCIAS'!$H$8))&gt;0.00000001,FALSE)),1,0)))),2)</f>
      </c>
      <c r="T365" s="29">
        <f>IFERROR(IF(N365=0,"",IF(NOT(AND(LEN(TRIM('DATOS'!F365&amp;""))&gt;0,TRIM('DATOS'!F365&amp;"")&lt;&gt;"Pendiente",TRIM('DATOS'!F365&amp;"")&lt;&gt;"Por confirmar",TRIM('DATOS'!F365&amp;"")&lt;&gt;"No consta",TRIM('DATOS'!F365&amp;"")&lt;&gt;"Desconocido",TRIM('DATOS'!F365&amp;"")&lt;&gt;"Sin confirmar",TRIM('DATOS'!F365&amp;"")&lt;&gt;"Por decidir",TRIM('DATOS'!F365&amp;"")&lt;&gt;"Por comprobar")),2,IF(COUNTIFS('REFERENCIAS'!$T$15:$T$34,"ID:"&amp;SUBSTITUTE(SUBSTITUTE(SUBSTITUTE(SUBSTITUTE(UPPER(TRIM('DATOS'!F365&amp;"")),"!","!E"),"*","!A"),"?","!B"),"~","!C"),'REFERENCIAS'!$H$15:$H$34,"&lt;&gt;")&gt;0,0,1))),2)</f>
      </c>
      <c r="U365" s="29" t="str">
        <f>'DATOS'!R365</f>
        <v>ID:</v>
      </c>
      <c r="V365" s="29" t="str">
        <f>'DATOS'!S365</f>
        <v>ID:</v>
      </c>
      <c r="W365" s="29" t="n">
        <f>IF(N365=0,0,COUNTIFS('REFERENCIAS'!$R$15:$R$64,U365))</f>
        <v>0</v>
      </c>
      <c r="X365" s="29" t="n">
        <f>IF(N365=0,0,COUNTIFS('DATOS'!$R$10:$R$509,U365,'DATOS'!$S$10:$S$509,V365))</f>
        <v>0</v>
      </c>
      <c r="Y365" s="29" t="n">
        <f>IF(AND(ISNUMBER('DATOS'!G365),ISNUMBER('DATOS'!H365),ISNUMBER('DATOS'!J365)),1,0)</f>
        <v>0</v>
      </c>
    </row>
    <row r="366" ht="64" customHeight="1">
      <c r="B366" s="26">
        <f>IF(N366=1,357,"")</f>
      </c>
      <c r="C366" s="26">
        <f>IF(AND(N366=1,LEN(TRIM('DATOS'!B366&amp;""))&gt;0),'DATOS'!B366,"")</f>
      </c>
      <c r="D366" s="26">
        <f>IF(AND(N366=1,LEN(TRIM('DATOS'!C366&amp;""))&gt;0),'DATOS'!C366,"")</f>
      </c>
      <c r="E366" s="26">
        <f>IF(NOT(ISNUMBER(P366)),"",IF(P366=2,"ROJO",IF(P366=1,"ÁMBAR","VERDE")))</f>
      </c>
      <c r="F366" s="26">
        <f>IF(NOT(ISNUMBER(Q366)),"",IF(Q366=2,"ROJO",IF(Q366=1,"ÁMBAR","VERDE")))</f>
      </c>
      <c r="G366" s="26">
        <f>IF(NOT(ISNUMBER(R366)),"",IF(R366=2,"ROJO",IF(R366=1,"ÁMBAR","VERDE")))</f>
      </c>
      <c r="H366" s="26">
        <f>IF(NOT(ISNUMBER(S366)),"",IF(S366=2,"ROJO",IF(S366=1,"ÁMBAR","VERDE")))</f>
      </c>
      <c r="I366" s="26">
        <f>IF(NOT(ISNUMBER(T366)),"",IF(T366=2,"ROJO",IF(T366=1,"ÁMBAR","VERDE")))</f>
      </c>
      <c r="J366" s="26">
        <f>IF(NOT(ISNUMBER(O366)),"",IF(O366=2,"ROJO",IF(O366=1,"ÁMBAR","VERDE")))</f>
      </c>
      <c r="K366" s="26">
        <f>IFERROR(IF(AND(N366=1,LEN(TRIM('DATOS'!N366&amp;""))&gt;0),'DATOS'!N366,""),"Hay una entrada con error. Corregimos el dato antes de cerrar la comprobación.")</f>
      </c>
      <c r="L366" s="26">
        <f>IFERROR(IF(N366=0,"",IF(O366&gt;0,"Completamos datos, claves o motivo. ","")&amp;IF(P366&gt;0,"Cotejamos precios e importe. ","")&amp;IF(Q366&gt;0,"Aclaramos el cero. ","")&amp;IF(R366&gt;0,"Comprobamos el texto. ","")&amp;IF(S366&gt;0,"Revisamos decimales visibles. ","")&amp;IF(T366&gt;0,"Confirmamos la unidad.","")),"Hay una entrada con error. Corregimos el dato antes de cerrar la comprobación.")</f>
      </c>
      <c r="N366" s="29" t="n">
        <f>IF(COUNTA('DATOS'!B366:O366)&gt;0,1,0)</f>
        <v>0</v>
      </c>
      <c r="O366" s="29">
        <f>IFERROR(IF(N366=0,"",IF(OR(NOT(AND(LEN(TRIM('DATOS'!B366&amp;""))&gt;0,TRIM('DATOS'!B366&amp;"")&lt;&gt;"Pendiente",TRIM('DATOS'!B366&amp;"")&lt;&gt;"Por confirmar",TRIM('DATOS'!B366&amp;"")&lt;&gt;"No consta",TRIM('DATOS'!B366&amp;"")&lt;&gt;"Desconocido",TRIM('DATOS'!B366&amp;"")&lt;&gt;"Sin confirmar",TRIM('DATOS'!B366&amp;"")&lt;&gt;"Por decidir",TRIM('DATOS'!B366&amp;"")&lt;&gt;"Por comprobar")),NOT(AND(LEN(TRIM('DATOS'!C366&amp;""))&gt;0,TRIM('DATOS'!C366&amp;"")&lt;&gt;"Pendiente",TRIM('DATOS'!C366&amp;"")&lt;&gt;"Por confirmar",TRIM('DATOS'!C366&amp;"")&lt;&gt;"No consta",TRIM('DATOS'!C366&amp;"")&lt;&gt;"Desconocido",TRIM('DATOS'!C366&amp;"")&lt;&gt;"Sin confirmar",TRIM('DATOS'!C366&amp;"")&lt;&gt;"Por decidir",TRIM('DATOS'!C366&amp;"")&lt;&gt;"Por comprobar")),NOT(AND(LEN(TRIM('DATOS'!D366&amp;""))&gt;0,TRIM('DATOS'!D366&amp;"")&lt;&gt;"Pendiente",TRIM('DATOS'!D366&amp;"")&lt;&gt;"Por confirmar",TRIM('DATOS'!D366&amp;"")&lt;&gt;"No consta",TRIM('DATOS'!D366&amp;"")&lt;&gt;"Desconocido",TRIM('DATOS'!D366&amp;"")&lt;&gt;"Sin confirmar",TRIM('DATOS'!D366&amp;"")&lt;&gt;"Por decidir",TRIM('DATOS'!D366&amp;"")&lt;&gt;"Por comprobar")),NOT(AND(LEN(TRIM('DATOS'!E366&amp;""))&gt;0,TRIM('DATOS'!E366&amp;"")&lt;&gt;"Pendiente",TRIM('DATOS'!E366&amp;"")&lt;&gt;"Por confirmar",TRIM('DATOS'!E366&amp;"")&lt;&gt;"No consta",TRIM('DATOS'!E366&amp;"")&lt;&gt;"Desconocido",TRIM('DATOS'!E366&amp;"")&lt;&gt;"Sin confirmar",TRIM('DATOS'!E366&amp;"")&lt;&gt;"Por decidir",TRIM('DATOS'!E366&amp;"")&lt;&gt;"Por comprobar")),NOT(AND(LEN(TRIM('DATOS'!F366&amp;""))&gt;0,TRIM('DATOS'!F366&amp;"")&lt;&gt;"Pendiente",TRIM('DATOS'!F366&amp;"")&lt;&gt;"Por confirmar",TRIM('DATOS'!F366&amp;"")&lt;&gt;"No consta",TRIM('DATOS'!F366&amp;"")&lt;&gt;"Desconocido",TRIM('DATOS'!F366&amp;"")&lt;&gt;"Sin confirmar",TRIM('DATOS'!F366&amp;"")&lt;&gt;"Por decidir",TRIM('DATOS'!F366&amp;"")&lt;&gt;"Por comprobar")),NOT(AND(LEN(TRIM('DATOS'!N366&amp;""))&gt;0,TRIM('DATOS'!N366&amp;"")&lt;&gt;"Pendiente",TRIM('DATOS'!N366&amp;"")&lt;&gt;"Por confirmar",TRIM('DATOS'!N366&amp;"")&lt;&gt;"No consta",TRIM('DATOS'!N366&amp;"")&lt;&gt;"Desconocido",TRIM('DATOS'!N366&amp;"")&lt;&gt;"Sin confirmar",TRIM('DATOS'!N366&amp;"")&lt;&gt;"Por decidir",TRIM('DATOS'!N366&amp;"")&lt;&gt;"Por comprobar")),NOT(Y366=1),W366&lt;&gt;1,X366&gt;1,NOT(OR(LEN(TRIM('DATOS'!K366&amp;""))=0,'DATOS'!K366="Sin valorar",'DATOS'!K366="Sin coste documentado",'DATOS'!K366="Incluido en otra partida",'DATOS'!K366="Por confirmar")),NOT(OR(LEN(TRIM('DATOS'!M366&amp;""))=0,'DATOS'!M366="Sí",'DATOS'!M366="No",'DATOS'!M366="Por confirmar")),NOT(OR(LEN(TRIM('DATOS'!O366&amp;""))=0,'DATOS'!O366="Comparamos",'DATOS'!O366="No existe",'DATOS'!O366="Por confirmar"))),2,IF(AND(OR('DATOS'!G366&lt;0,'DATOS'!H366&lt;0,'DATOS'!J366&lt;0),NOT(AND(LEN(TRIM('DATOS'!L366&amp;""))&gt;0,TRIM('DATOS'!L366&amp;"")&lt;&gt;"Pendiente",TRIM('DATOS'!L366&amp;"")&lt;&gt;"Por confirmar",TRIM('DATOS'!L366&amp;"")&lt;&gt;"No consta",TRIM('DATOS'!L366&amp;"")&lt;&gt;"Desconocido",TRIM('DATOS'!L366&amp;"")&lt;&gt;"Sin confirmar",TRIM('DATOS'!L366&amp;"")&lt;&gt;"Por decidir",TRIM('DATOS'!L366&amp;"")&lt;&gt;"Por comprobar"))),1,0))),2)</f>
      </c>
      <c r="P366" s="29">
        <f>IFERROR(IF(N366=0,"",IF(NOT(Y366=1),1,IF('REFERENCIAS'!$Q$8&lt;&gt;1,2,IF(ABS('DATOS'!J366-ROUND('DATOS'!G366*'DATOS'!H366,'REFERENCIAS'!$K$8))&gt;0.00000001,2,IF('DATOS'!O366="No existe",IF(LEN(TRIM('DATOS'!I366&amp;""))=0,0,2),IF('DATOS'!O366="Comparamos",IF(LEN(TRIM('DATOS'!I366&amp;""))=0,1,IF(ISNUMBER('DATOS'!I366),IF(ABS('DATOS'!H366-'DATOS'!I366)&gt;0.00000001,2,0),2)),1)))))),2)</f>
      </c>
      <c r="Q366" s="29">
        <f>IFERROR(IF(N366=0,"",IF(NOT(Y366=1),1,IF('DATOS'!K366="Sin valorar",2,IF('DATOS'!G366=0,1,IF(OR('DATOS'!H366=0,'DATOS'!J366=0),IF(AND(OR('DATOS'!K366="Sin coste documentado",'DATOS'!K366="Incluido en otra partida"),AND(LEN(TRIM('DATOS'!L366&amp;""))&gt;0,TRIM('DATOS'!L366&amp;"")&lt;&gt;"Pendiente",TRIM('DATOS'!L366&amp;"")&lt;&gt;"Por confirmar",TRIM('DATOS'!L366&amp;"")&lt;&gt;"No consta",TRIM('DATOS'!L366&amp;"")&lt;&gt;"Desconocido",TRIM('DATOS'!L366&amp;"")&lt;&gt;"Sin confirmar",TRIM('DATOS'!L366&amp;"")&lt;&gt;"Por decidir",TRIM('DATOS'!L366&amp;"")&lt;&gt;"Por comprobar")),0,1),0))))),2)</f>
      </c>
      <c r="R366" s="29">
        <f>IFERROR(IF(N366=0,"",IF(OR(NOT(AND(LEN(TRIM('DATOS'!D366&amp;""))&gt;0,TRIM('DATOS'!D366&amp;"")&lt;&gt;"Pendiente",TRIM('DATOS'!D366&amp;"")&lt;&gt;"Por confirmar",TRIM('DATOS'!D366&amp;"")&lt;&gt;"No consta",TRIM('DATOS'!D366&amp;"")&lt;&gt;"Desconocido",TRIM('DATOS'!D366&amp;"")&lt;&gt;"Sin confirmar",TRIM('DATOS'!D366&amp;"")&lt;&gt;"Por decidir",TRIM('DATOS'!D366&amp;"")&lt;&gt;"Por comprobar")),NOT(AND(LEN(TRIM('DATOS'!E366&amp;""))&gt;0,TRIM('DATOS'!E366&amp;"")&lt;&gt;"Pendiente",TRIM('DATOS'!E366&amp;"")&lt;&gt;"Por confirmar",TRIM('DATOS'!E366&amp;"")&lt;&gt;"No consta",TRIM('DATOS'!E366&amp;"")&lt;&gt;"Desconocido",TRIM('DATOS'!E366&amp;"")&lt;&gt;"Sin confirmar",TRIM('DATOS'!E366&amp;"")&lt;&gt;"Por decidir",TRIM('DATOS'!E366&amp;"")&lt;&gt;"Por comprobar"))),2,IF('DATOS'!M366="No",2,IF('DATOS'!M366="Sí",0,IF(OR('DATOS'!D366&lt;&gt;'DATOS'!E366,LEN('DATOS'!E366)&gt;300,RIGHT(TRIM('DATOS'!E366),3)="...",RIGHT(TRIM('DATOS'!E366),1)="…"),1,0))))),2)</f>
      </c>
      <c r="S366" s="29">
        <f>IFERROR(IF(N366=0,"",IF('REFERENCIAS'!$Q$8&lt;&gt;1,2,IF(NOT(Y366=1),1,IF(OR(ABS('DATOS'!G366-ROUND('DATOS'!G366,'REFERENCIAS'!$E$8))&gt;0.00000001,ABS('DATOS'!H366-ROUND('DATOS'!H366,'REFERENCIAS'!$H$8))&gt;0.00000001,ABS('DATOS'!J366-ROUND('DATOS'!J366,'REFERENCIAS'!$K$8))&gt;0.00000001,IF(ISNUMBER('DATOS'!I366),ABS('DATOS'!I366-ROUND('DATOS'!I366,'REFERENCIAS'!$H$8))&gt;0.00000001,FALSE)),1,0)))),2)</f>
      </c>
      <c r="T366" s="29">
        <f>IFERROR(IF(N366=0,"",IF(NOT(AND(LEN(TRIM('DATOS'!F366&amp;""))&gt;0,TRIM('DATOS'!F366&amp;"")&lt;&gt;"Pendiente",TRIM('DATOS'!F366&amp;"")&lt;&gt;"Por confirmar",TRIM('DATOS'!F366&amp;"")&lt;&gt;"No consta",TRIM('DATOS'!F366&amp;"")&lt;&gt;"Desconocido",TRIM('DATOS'!F366&amp;"")&lt;&gt;"Sin confirmar",TRIM('DATOS'!F366&amp;"")&lt;&gt;"Por decidir",TRIM('DATOS'!F366&amp;"")&lt;&gt;"Por comprobar")),2,IF(COUNTIFS('REFERENCIAS'!$T$15:$T$34,"ID:"&amp;SUBSTITUTE(SUBSTITUTE(SUBSTITUTE(SUBSTITUTE(UPPER(TRIM('DATOS'!F366&amp;"")),"!","!E"),"*","!A"),"?","!B"),"~","!C"),'REFERENCIAS'!$H$15:$H$34,"&lt;&gt;")&gt;0,0,1))),2)</f>
      </c>
      <c r="U366" s="29" t="str">
        <f>'DATOS'!R366</f>
        <v>ID:</v>
      </c>
      <c r="V366" s="29" t="str">
        <f>'DATOS'!S366</f>
        <v>ID:</v>
      </c>
      <c r="W366" s="29" t="n">
        <f>IF(N366=0,0,COUNTIFS('REFERENCIAS'!$R$15:$R$64,U366))</f>
        <v>0</v>
      </c>
      <c r="X366" s="29" t="n">
        <f>IF(N366=0,0,COUNTIFS('DATOS'!$R$10:$R$509,U366,'DATOS'!$S$10:$S$509,V366))</f>
        <v>0</v>
      </c>
      <c r="Y366" s="29" t="n">
        <f>IF(AND(ISNUMBER('DATOS'!G366),ISNUMBER('DATOS'!H366),ISNUMBER('DATOS'!J366)),1,0)</f>
        <v>0</v>
      </c>
    </row>
    <row r="367" ht="64" customHeight="1">
      <c r="B367" s="26">
        <f>IF(N367=1,358,"")</f>
      </c>
      <c r="C367" s="26">
        <f>IF(AND(N367=1,LEN(TRIM('DATOS'!B367&amp;""))&gt;0),'DATOS'!B367,"")</f>
      </c>
      <c r="D367" s="26">
        <f>IF(AND(N367=1,LEN(TRIM('DATOS'!C367&amp;""))&gt;0),'DATOS'!C367,"")</f>
      </c>
      <c r="E367" s="26">
        <f>IF(NOT(ISNUMBER(P367)),"",IF(P367=2,"ROJO",IF(P367=1,"ÁMBAR","VERDE")))</f>
      </c>
      <c r="F367" s="26">
        <f>IF(NOT(ISNUMBER(Q367)),"",IF(Q367=2,"ROJO",IF(Q367=1,"ÁMBAR","VERDE")))</f>
      </c>
      <c r="G367" s="26">
        <f>IF(NOT(ISNUMBER(R367)),"",IF(R367=2,"ROJO",IF(R367=1,"ÁMBAR","VERDE")))</f>
      </c>
      <c r="H367" s="26">
        <f>IF(NOT(ISNUMBER(S367)),"",IF(S367=2,"ROJO",IF(S367=1,"ÁMBAR","VERDE")))</f>
      </c>
      <c r="I367" s="26">
        <f>IF(NOT(ISNUMBER(T367)),"",IF(T367=2,"ROJO",IF(T367=1,"ÁMBAR","VERDE")))</f>
      </c>
      <c r="J367" s="26">
        <f>IF(NOT(ISNUMBER(O367)),"",IF(O367=2,"ROJO",IF(O367=1,"ÁMBAR","VERDE")))</f>
      </c>
      <c r="K367" s="26">
        <f>IFERROR(IF(AND(N367=1,LEN(TRIM('DATOS'!N367&amp;""))&gt;0),'DATOS'!N367,""),"Hay una entrada con error. Corregimos el dato antes de cerrar la comprobación.")</f>
      </c>
      <c r="L367" s="26">
        <f>IFERROR(IF(N367=0,"",IF(O367&gt;0,"Completamos datos, claves o motivo. ","")&amp;IF(P367&gt;0,"Cotejamos precios e importe. ","")&amp;IF(Q367&gt;0,"Aclaramos el cero. ","")&amp;IF(R367&gt;0,"Comprobamos el texto. ","")&amp;IF(S367&gt;0,"Revisamos decimales visibles. ","")&amp;IF(T367&gt;0,"Confirmamos la unidad.","")),"Hay una entrada con error. Corregimos el dato antes de cerrar la comprobación.")</f>
      </c>
      <c r="N367" s="29" t="n">
        <f>IF(COUNTA('DATOS'!B367:O367)&gt;0,1,0)</f>
        <v>0</v>
      </c>
      <c r="O367" s="29">
        <f>IFERROR(IF(N367=0,"",IF(OR(NOT(AND(LEN(TRIM('DATOS'!B367&amp;""))&gt;0,TRIM('DATOS'!B367&amp;"")&lt;&gt;"Pendiente",TRIM('DATOS'!B367&amp;"")&lt;&gt;"Por confirmar",TRIM('DATOS'!B367&amp;"")&lt;&gt;"No consta",TRIM('DATOS'!B367&amp;"")&lt;&gt;"Desconocido",TRIM('DATOS'!B367&amp;"")&lt;&gt;"Sin confirmar",TRIM('DATOS'!B367&amp;"")&lt;&gt;"Por decidir",TRIM('DATOS'!B367&amp;"")&lt;&gt;"Por comprobar")),NOT(AND(LEN(TRIM('DATOS'!C367&amp;""))&gt;0,TRIM('DATOS'!C367&amp;"")&lt;&gt;"Pendiente",TRIM('DATOS'!C367&amp;"")&lt;&gt;"Por confirmar",TRIM('DATOS'!C367&amp;"")&lt;&gt;"No consta",TRIM('DATOS'!C367&amp;"")&lt;&gt;"Desconocido",TRIM('DATOS'!C367&amp;"")&lt;&gt;"Sin confirmar",TRIM('DATOS'!C367&amp;"")&lt;&gt;"Por decidir",TRIM('DATOS'!C367&amp;"")&lt;&gt;"Por comprobar")),NOT(AND(LEN(TRIM('DATOS'!D367&amp;""))&gt;0,TRIM('DATOS'!D367&amp;"")&lt;&gt;"Pendiente",TRIM('DATOS'!D367&amp;"")&lt;&gt;"Por confirmar",TRIM('DATOS'!D367&amp;"")&lt;&gt;"No consta",TRIM('DATOS'!D367&amp;"")&lt;&gt;"Desconocido",TRIM('DATOS'!D367&amp;"")&lt;&gt;"Sin confirmar",TRIM('DATOS'!D367&amp;"")&lt;&gt;"Por decidir",TRIM('DATOS'!D367&amp;"")&lt;&gt;"Por comprobar")),NOT(AND(LEN(TRIM('DATOS'!E367&amp;""))&gt;0,TRIM('DATOS'!E367&amp;"")&lt;&gt;"Pendiente",TRIM('DATOS'!E367&amp;"")&lt;&gt;"Por confirmar",TRIM('DATOS'!E367&amp;"")&lt;&gt;"No consta",TRIM('DATOS'!E367&amp;"")&lt;&gt;"Desconocido",TRIM('DATOS'!E367&amp;"")&lt;&gt;"Sin confirmar",TRIM('DATOS'!E367&amp;"")&lt;&gt;"Por decidir",TRIM('DATOS'!E367&amp;"")&lt;&gt;"Por comprobar")),NOT(AND(LEN(TRIM('DATOS'!F367&amp;""))&gt;0,TRIM('DATOS'!F367&amp;"")&lt;&gt;"Pendiente",TRIM('DATOS'!F367&amp;"")&lt;&gt;"Por confirmar",TRIM('DATOS'!F367&amp;"")&lt;&gt;"No consta",TRIM('DATOS'!F367&amp;"")&lt;&gt;"Desconocido",TRIM('DATOS'!F367&amp;"")&lt;&gt;"Sin confirmar",TRIM('DATOS'!F367&amp;"")&lt;&gt;"Por decidir",TRIM('DATOS'!F367&amp;"")&lt;&gt;"Por comprobar")),NOT(AND(LEN(TRIM('DATOS'!N367&amp;""))&gt;0,TRIM('DATOS'!N367&amp;"")&lt;&gt;"Pendiente",TRIM('DATOS'!N367&amp;"")&lt;&gt;"Por confirmar",TRIM('DATOS'!N367&amp;"")&lt;&gt;"No consta",TRIM('DATOS'!N367&amp;"")&lt;&gt;"Desconocido",TRIM('DATOS'!N367&amp;"")&lt;&gt;"Sin confirmar",TRIM('DATOS'!N367&amp;"")&lt;&gt;"Por decidir",TRIM('DATOS'!N367&amp;"")&lt;&gt;"Por comprobar")),NOT(Y367=1),W367&lt;&gt;1,X367&gt;1,NOT(OR(LEN(TRIM('DATOS'!K367&amp;""))=0,'DATOS'!K367="Sin valorar",'DATOS'!K367="Sin coste documentado",'DATOS'!K367="Incluido en otra partida",'DATOS'!K367="Por confirmar")),NOT(OR(LEN(TRIM('DATOS'!M367&amp;""))=0,'DATOS'!M367="Sí",'DATOS'!M367="No",'DATOS'!M367="Por confirmar")),NOT(OR(LEN(TRIM('DATOS'!O367&amp;""))=0,'DATOS'!O367="Comparamos",'DATOS'!O367="No existe",'DATOS'!O367="Por confirmar"))),2,IF(AND(OR('DATOS'!G367&lt;0,'DATOS'!H367&lt;0,'DATOS'!J367&lt;0),NOT(AND(LEN(TRIM('DATOS'!L367&amp;""))&gt;0,TRIM('DATOS'!L367&amp;"")&lt;&gt;"Pendiente",TRIM('DATOS'!L367&amp;"")&lt;&gt;"Por confirmar",TRIM('DATOS'!L367&amp;"")&lt;&gt;"No consta",TRIM('DATOS'!L367&amp;"")&lt;&gt;"Desconocido",TRIM('DATOS'!L367&amp;"")&lt;&gt;"Sin confirmar",TRIM('DATOS'!L367&amp;"")&lt;&gt;"Por decidir",TRIM('DATOS'!L367&amp;"")&lt;&gt;"Por comprobar"))),1,0))),2)</f>
      </c>
      <c r="P367" s="29">
        <f>IFERROR(IF(N367=0,"",IF(NOT(Y367=1),1,IF('REFERENCIAS'!$Q$8&lt;&gt;1,2,IF(ABS('DATOS'!J367-ROUND('DATOS'!G367*'DATOS'!H367,'REFERENCIAS'!$K$8))&gt;0.00000001,2,IF('DATOS'!O367="No existe",IF(LEN(TRIM('DATOS'!I367&amp;""))=0,0,2),IF('DATOS'!O367="Comparamos",IF(LEN(TRIM('DATOS'!I367&amp;""))=0,1,IF(ISNUMBER('DATOS'!I367),IF(ABS('DATOS'!H367-'DATOS'!I367)&gt;0.00000001,2,0),2)),1)))))),2)</f>
      </c>
      <c r="Q367" s="29">
        <f>IFERROR(IF(N367=0,"",IF(NOT(Y367=1),1,IF('DATOS'!K367="Sin valorar",2,IF('DATOS'!G367=0,1,IF(OR('DATOS'!H367=0,'DATOS'!J367=0),IF(AND(OR('DATOS'!K367="Sin coste documentado",'DATOS'!K367="Incluido en otra partida"),AND(LEN(TRIM('DATOS'!L367&amp;""))&gt;0,TRIM('DATOS'!L367&amp;"")&lt;&gt;"Pendiente",TRIM('DATOS'!L367&amp;"")&lt;&gt;"Por confirmar",TRIM('DATOS'!L367&amp;"")&lt;&gt;"No consta",TRIM('DATOS'!L367&amp;"")&lt;&gt;"Desconocido",TRIM('DATOS'!L367&amp;"")&lt;&gt;"Sin confirmar",TRIM('DATOS'!L367&amp;"")&lt;&gt;"Por decidir",TRIM('DATOS'!L367&amp;"")&lt;&gt;"Por comprobar")),0,1),0))))),2)</f>
      </c>
      <c r="R367" s="29">
        <f>IFERROR(IF(N367=0,"",IF(OR(NOT(AND(LEN(TRIM('DATOS'!D367&amp;""))&gt;0,TRIM('DATOS'!D367&amp;"")&lt;&gt;"Pendiente",TRIM('DATOS'!D367&amp;"")&lt;&gt;"Por confirmar",TRIM('DATOS'!D367&amp;"")&lt;&gt;"No consta",TRIM('DATOS'!D367&amp;"")&lt;&gt;"Desconocido",TRIM('DATOS'!D367&amp;"")&lt;&gt;"Sin confirmar",TRIM('DATOS'!D367&amp;"")&lt;&gt;"Por decidir",TRIM('DATOS'!D367&amp;"")&lt;&gt;"Por comprobar")),NOT(AND(LEN(TRIM('DATOS'!E367&amp;""))&gt;0,TRIM('DATOS'!E367&amp;"")&lt;&gt;"Pendiente",TRIM('DATOS'!E367&amp;"")&lt;&gt;"Por confirmar",TRIM('DATOS'!E367&amp;"")&lt;&gt;"No consta",TRIM('DATOS'!E367&amp;"")&lt;&gt;"Desconocido",TRIM('DATOS'!E367&amp;"")&lt;&gt;"Sin confirmar",TRIM('DATOS'!E367&amp;"")&lt;&gt;"Por decidir",TRIM('DATOS'!E367&amp;"")&lt;&gt;"Por comprobar"))),2,IF('DATOS'!M367="No",2,IF('DATOS'!M367="Sí",0,IF(OR('DATOS'!D367&lt;&gt;'DATOS'!E367,LEN('DATOS'!E367)&gt;300,RIGHT(TRIM('DATOS'!E367),3)="...",RIGHT(TRIM('DATOS'!E367),1)="…"),1,0))))),2)</f>
      </c>
      <c r="S367" s="29">
        <f>IFERROR(IF(N367=0,"",IF('REFERENCIAS'!$Q$8&lt;&gt;1,2,IF(NOT(Y367=1),1,IF(OR(ABS('DATOS'!G367-ROUND('DATOS'!G367,'REFERENCIAS'!$E$8))&gt;0.00000001,ABS('DATOS'!H367-ROUND('DATOS'!H367,'REFERENCIAS'!$H$8))&gt;0.00000001,ABS('DATOS'!J367-ROUND('DATOS'!J367,'REFERENCIAS'!$K$8))&gt;0.00000001,IF(ISNUMBER('DATOS'!I367),ABS('DATOS'!I367-ROUND('DATOS'!I367,'REFERENCIAS'!$H$8))&gt;0.00000001,FALSE)),1,0)))),2)</f>
      </c>
      <c r="T367" s="29">
        <f>IFERROR(IF(N367=0,"",IF(NOT(AND(LEN(TRIM('DATOS'!F367&amp;""))&gt;0,TRIM('DATOS'!F367&amp;"")&lt;&gt;"Pendiente",TRIM('DATOS'!F367&amp;"")&lt;&gt;"Por confirmar",TRIM('DATOS'!F367&amp;"")&lt;&gt;"No consta",TRIM('DATOS'!F367&amp;"")&lt;&gt;"Desconocido",TRIM('DATOS'!F367&amp;"")&lt;&gt;"Sin confirmar",TRIM('DATOS'!F367&amp;"")&lt;&gt;"Por decidir",TRIM('DATOS'!F367&amp;"")&lt;&gt;"Por comprobar")),2,IF(COUNTIFS('REFERENCIAS'!$T$15:$T$34,"ID:"&amp;SUBSTITUTE(SUBSTITUTE(SUBSTITUTE(SUBSTITUTE(UPPER(TRIM('DATOS'!F367&amp;"")),"!","!E"),"*","!A"),"?","!B"),"~","!C"),'REFERENCIAS'!$H$15:$H$34,"&lt;&gt;")&gt;0,0,1))),2)</f>
      </c>
      <c r="U367" s="29" t="str">
        <f>'DATOS'!R367</f>
        <v>ID:</v>
      </c>
      <c r="V367" s="29" t="str">
        <f>'DATOS'!S367</f>
        <v>ID:</v>
      </c>
      <c r="W367" s="29" t="n">
        <f>IF(N367=0,0,COUNTIFS('REFERENCIAS'!$R$15:$R$64,U367))</f>
        <v>0</v>
      </c>
      <c r="X367" s="29" t="n">
        <f>IF(N367=0,0,COUNTIFS('DATOS'!$R$10:$R$509,U367,'DATOS'!$S$10:$S$509,V367))</f>
        <v>0</v>
      </c>
      <c r="Y367" s="29" t="n">
        <f>IF(AND(ISNUMBER('DATOS'!G367),ISNUMBER('DATOS'!H367),ISNUMBER('DATOS'!J367)),1,0)</f>
        <v>0</v>
      </c>
    </row>
    <row r="368" ht="64" customHeight="1">
      <c r="B368" s="26">
        <f>IF(N368=1,359,"")</f>
      </c>
      <c r="C368" s="26">
        <f>IF(AND(N368=1,LEN(TRIM('DATOS'!B368&amp;""))&gt;0),'DATOS'!B368,"")</f>
      </c>
      <c r="D368" s="26">
        <f>IF(AND(N368=1,LEN(TRIM('DATOS'!C368&amp;""))&gt;0),'DATOS'!C368,"")</f>
      </c>
      <c r="E368" s="26">
        <f>IF(NOT(ISNUMBER(P368)),"",IF(P368=2,"ROJO",IF(P368=1,"ÁMBAR","VERDE")))</f>
      </c>
      <c r="F368" s="26">
        <f>IF(NOT(ISNUMBER(Q368)),"",IF(Q368=2,"ROJO",IF(Q368=1,"ÁMBAR","VERDE")))</f>
      </c>
      <c r="G368" s="26">
        <f>IF(NOT(ISNUMBER(R368)),"",IF(R368=2,"ROJO",IF(R368=1,"ÁMBAR","VERDE")))</f>
      </c>
      <c r="H368" s="26">
        <f>IF(NOT(ISNUMBER(S368)),"",IF(S368=2,"ROJO",IF(S368=1,"ÁMBAR","VERDE")))</f>
      </c>
      <c r="I368" s="26">
        <f>IF(NOT(ISNUMBER(T368)),"",IF(T368=2,"ROJO",IF(T368=1,"ÁMBAR","VERDE")))</f>
      </c>
      <c r="J368" s="26">
        <f>IF(NOT(ISNUMBER(O368)),"",IF(O368=2,"ROJO",IF(O368=1,"ÁMBAR","VERDE")))</f>
      </c>
      <c r="K368" s="26">
        <f>IFERROR(IF(AND(N368=1,LEN(TRIM('DATOS'!N368&amp;""))&gt;0),'DATOS'!N368,""),"Hay una entrada con error. Corregimos el dato antes de cerrar la comprobación.")</f>
      </c>
      <c r="L368" s="26">
        <f>IFERROR(IF(N368=0,"",IF(O368&gt;0,"Completamos datos, claves o motivo. ","")&amp;IF(P368&gt;0,"Cotejamos precios e importe. ","")&amp;IF(Q368&gt;0,"Aclaramos el cero. ","")&amp;IF(R368&gt;0,"Comprobamos el texto. ","")&amp;IF(S368&gt;0,"Revisamos decimales visibles. ","")&amp;IF(T368&gt;0,"Confirmamos la unidad.","")),"Hay una entrada con error. Corregimos el dato antes de cerrar la comprobación.")</f>
      </c>
      <c r="N368" s="29" t="n">
        <f>IF(COUNTA('DATOS'!B368:O368)&gt;0,1,0)</f>
        <v>0</v>
      </c>
      <c r="O368" s="29">
        <f>IFERROR(IF(N368=0,"",IF(OR(NOT(AND(LEN(TRIM('DATOS'!B368&amp;""))&gt;0,TRIM('DATOS'!B368&amp;"")&lt;&gt;"Pendiente",TRIM('DATOS'!B368&amp;"")&lt;&gt;"Por confirmar",TRIM('DATOS'!B368&amp;"")&lt;&gt;"No consta",TRIM('DATOS'!B368&amp;"")&lt;&gt;"Desconocido",TRIM('DATOS'!B368&amp;"")&lt;&gt;"Sin confirmar",TRIM('DATOS'!B368&amp;"")&lt;&gt;"Por decidir",TRIM('DATOS'!B368&amp;"")&lt;&gt;"Por comprobar")),NOT(AND(LEN(TRIM('DATOS'!C368&amp;""))&gt;0,TRIM('DATOS'!C368&amp;"")&lt;&gt;"Pendiente",TRIM('DATOS'!C368&amp;"")&lt;&gt;"Por confirmar",TRIM('DATOS'!C368&amp;"")&lt;&gt;"No consta",TRIM('DATOS'!C368&amp;"")&lt;&gt;"Desconocido",TRIM('DATOS'!C368&amp;"")&lt;&gt;"Sin confirmar",TRIM('DATOS'!C368&amp;"")&lt;&gt;"Por decidir",TRIM('DATOS'!C368&amp;"")&lt;&gt;"Por comprobar")),NOT(AND(LEN(TRIM('DATOS'!D368&amp;""))&gt;0,TRIM('DATOS'!D368&amp;"")&lt;&gt;"Pendiente",TRIM('DATOS'!D368&amp;"")&lt;&gt;"Por confirmar",TRIM('DATOS'!D368&amp;"")&lt;&gt;"No consta",TRIM('DATOS'!D368&amp;"")&lt;&gt;"Desconocido",TRIM('DATOS'!D368&amp;"")&lt;&gt;"Sin confirmar",TRIM('DATOS'!D368&amp;"")&lt;&gt;"Por decidir",TRIM('DATOS'!D368&amp;"")&lt;&gt;"Por comprobar")),NOT(AND(LEN(TRIM('DATOS'!E368&amp;""))&gt;0,TRIM('DATOS'!E368&amp;"")&lt;&gt;"Pendiente",TRIM('DATOS'!E368&amp;"")&lt;&gt;"Por confirmar",TRIM('DATOS'!E368&amp;"")&lt;&gt;"No consta",TRIM('DATOS'!E368&amp;"")&lt;&gt;"Desconocido",TRIM('DATOS'!E368&amp;"")&lt;&gt;"Sin confirmar",TRIM('DATOS'!E368&amp;"")&lt;&gt;"Por decidir",TRIM('DATOS'!E368&amp;"")&lt;&gt;"Por comprobar")),NOT(AND(LEN(TRIM('DATOS'!F368&amp;""))&gt;0,TRIM('DATOS'!F368&amp;"")&lt;&gt;"Pendiente",TRIM('DATOS'!F368&amp;"")&lt;&gt;"Por confirmar",TRIM('DATOS'!F368&amp;"")&lt;&gt;"No consta",TRIM('DATOS'!F368&amp;"")&lt;&gt;"Desconocido",TRIM('DATOS'!F368&amp;"")&lt;&gt;"Sin confirmar",TRIM('DATOS'!F368&amp;"")&lt;&gt;"Por decidir",TRIM('DATOS'!F368&amp;"")&lt;&gt;"Por comprobar")),NOT(AND(LEN(TRIM('DATOS'!N368&amp;""))&gt;0,TRIM('DATOS'!N368&amp;"")&lt;&gt;"Pendiente",TRIM('DATOS'!N368&amp;"")&lt;&gt;"Por confirmar",TRIM('DATOS'!N368&amp;"")&lt;&gt;"No consta",TRIM('DATOS'!N368&amp;"")&lt;&gt;"Desconocido",TRIM('DATOS'!N368&amp;"")&lt;&gt;"Sin confirmar",TRIM('DATOS'!N368&amp;"")&lt;&gt;"Por decidir",TRIM('DATOS'!N368&amp;"")&lt;&gt;"Por comprobar")),NOT(Y368=1),W368&lt;&gt;1,X368&gt;1,NOT(OR(LEN(TRIM('DATOS'!K368&amp;""))=0,'DATOS'!K368="Sin valorar",'DATOS'!K368="Sin coste documentado",'DATOS'!K368="Incluido en otra partida",'DATOS'!K368="Por confirmar")),NOT(OR(LEN(TRIM('DATOS'!M368&amp;""))=0,'DATOS'!M368="Sí",'DATOS'!M368="No",'DATOS'!M368="Por confirmar")),NOT(OR(LEN(TRIM('DATOS'!O368&amp;""))=0,'DATOS'!O368="Comparamos",'DATOS'!O368="No existe",'DATOS'!O368="Por confirmar"))),2,IF(AND(OR('DATOS'!G368&lt;0,'DATOS'!H368&lt;0,'DATOS'!J368&lt;0),NOT(AND(LEN(TRIM('DATOS'!L368&amp;""))&gt;0,TRIM('DATOS'!L368&amp;"")&lt;&gt;"Pendiente",TRIM('DATOS'!L368&amp;"")&lt;&gt;"Por confirmar",TRIM('DATOS'!L368&amp;"")&lt;&gt;"No consta",TRIM('DATOS'!L368&amp;"")&lt;&gt;"Desconocido",TRIM('DATOS'!L368&amp;"")&lt;&gt;"Sin confirmar",TRIM('DATOS'!L368&amp;"")&lt;&gt;"Por decidir",TRIM('DATOS'!L368&amp;"")&lt;&gt;"Por comprobar"))),1,0))),2)</f>
      </c>
      <c r="P368" s="29">
        <f>IFERROR(IF(N368=0,"",IF(NOT(Y368=1),1,IF('REFERENCIAS'!$Q$8&lt;&gt;1,2,IF(ABS('DATOS'!J368-ROUND('DATOS'!G368*'DATOS'!H368,'REFERENCIAS'!$K$8))&gt;0.00000001,2,IF('DATOS'!O368="No existe",IF(LEN(TRIM('DATOS'!I368&amp;""))=0,0,2),IF('DATOS'!O368="Comparamos",IF(LEN(TRIM('DATOS'!I368&amp;""))=0,1,IF(ISNUMBER('DATOS'!I368),IF(ABS('DATOS'!H368-'DATOS'!I368)&gt;0.00000001,2,0),2)),1)))))),2)</f>
      </c>
      <c r="Q368" s="29">
        <f>IFERROR(IF(N368=0,"",IF(NOT(Y368=1),1,IF('DATOS'!K368="Sin valorar",2,IF('DATOS'!G368=0,1,IF(OR('DATOS'!H368=0,'DATOS'!J368=0),IF(AND(OR('DATOS'!K368="Sin coste documentado",'DATOS'!K368="Incluido en otra partida"),AND(LEN(TRIM('DATOS'!L368&amp;""))&gt;0,TRIM('DATOS'!L368&amp;"")&lt;&gt;"Pendiente",TRIM('DATOS'!L368&amp;"")&lt;&gt;"Por confirmar",TRIM('DATOS'!L368&amp;"")&lt;&gt;"No consta",TRIM('DATOS'!L368&amp;"")&lt;&gt;"Desconocido",TRIM('DATOS'!L368&amp;"")&lt;&gt;"Sin confirmar",TRIM('DATOS'!L368&amp;"")&lt;&gt;"Por decidir",TRIM('DATOS'!L368&amp;"")&lt;&gt;"Por comprobar")),0,1),0))))),2)</f>
      </c>
      <c r="R368" s="29">
        <f>IFERROR(IF(N368=0,"",IF(OR(NOT(AND(LEN(TRIM('DATOS'!D368&amp;""))&gt;0,TRIM('DATOS'!D368&amp;"")&lt;&gt;"Pendiente",TRIM('DATOS'!D368&amp;"")&lt;&gt;"Por confirmar",TRIM('DATOS'!D368&amp;"")&lt;&gt;"No consta",TRIM('DATOS'!D368&amp;"")&lt;&gt;"Desconocido",TRIM('DATOS'!D368&amp;"")&lt;&gt;"Sin confirmar",TRIM('DATOS'!D368&amp;"")&lt;&gt;"Por decidir",TRIM('DATOS'!D368&amp;"")&lt;&gt;"Por comprobar")),NOT(AND(LEN(TRIM('DATOS'!E368&amp;""))&gt;0,TRIM('DATOS'!E368&amp;"")&lt;&gt;"Pendiente",TRIM('DATOS'!E368&amp;"")&lt;&gt;"Por confirmar",TRIM('DATOS'!E368&amp;"")&lt;&gt;"No consta",TRIM('DATOS'!E368&amp;"")&lt;&gt;"Desconocido",TRIM('DATOS'!E368&amp;"")&lt;&gt;"Sin confirmar",TRIM('DATOS'!E368&amp;"")&lt;&gt;"Por decidir",TRIM('DATOS'!E368&amp;"")&lt;&gt;"Por comprobar"))),2,IF('DATOS'!M368="No",2,IF('DATOS'!M368="Sí",0,IF(OR('DATOS'!D368&lt;&gt;'DATOS'!E368,LEN('DATOS'!E368)&gt;300,RIGHT(TRIM('DATOS'!E368),3)="...",RIGHT(TRIM('DATOS'!E368),1)="…"),1,0))))),2)</f>
      </c>
      <c r="S368" s="29">
        <f>IFERROR(IF(N368=0,"",IF('REFERENCIAS'!$Q$8&lt;&gt;1,2,IF(NOT(Y368=1),1,IF(OR(ABS('DATOS'!G368-ROUND('DATOS'!G368,'REFERENCIAS'!$E$8))&gt;0.00000001,ABS('DATOS'!H368-ROUND('DATOS'!H368,'REFERENCIAS'!$H$8))&gt;0.00000001,ABS('DATOS'!J368-ROUND('DATOS'!J368,'REFERENCIAS'!$K$8))&gt;0.00000001,IF(ISNUMBER('DATOS'!I368),ABS('DATOS'!I368-ROUND('DATOS'!I368,'REFERENCIAS'!$H$8))&gt;0.00000001,FALSE)),1,0)))),2)</f>
      </c>
      <c r="T368" s="29">
        <f>IFERROR(IF(N368=0,"",IF(NOT(AND(LEN(TRIM('DATOS'!F368&amp;""))&gt;0,TRIM('DATOS'!F368&amp;"")&lt;&gt;"Pendiente",TRIM('DATOS'!F368&amp;"")&lt;&gt;"Por confirmar",TRIM('DATOS'!F368&amp;"")&lt;&gt;"No consta",TRIM('DATOS'!F368&amp;"")&lt;&gt;"Desconocido",TRIM('DATOS'!F368&amp;"")&lt;&gt;"Sin confirmar",TRIM('DATOS'!F368&amp;"")&lt;&gt;"Por decidir",TRIM('DATOS'!F368&amp;"")&lt;&gt;"Por comprobar")),2,IF(COUNTIFS('REFERENCIAS'!$T$15:$T$34,"ID:"&amp;SUBSTITUTE(SUBSTITUTE(SUBSTITUTE(SUBSTITUTE(UPPER(TRIM('DATOS'!F368&amp;"")),"!","!E"),"*","!A"),"?","!B"),"~","!C"),'REFERENCIAS'!$H$15:$H$34,"&lt;&gt;")&gt;0,0,1))),2)</f>
      </c>
      <c r="U368" s="29" t="str">
        <f>'DATOS'!R368</f>
        <v>ID:</v>
      </c>
      <c r="V368" s="29" t="str">
        <f>'DATOS'!S368</f>
        <v>ID:</v>
      </c>
      <c r="W368" s="29" t="n">
        <f>IF(N368=0,0,COUNTIFS('REFERENCIAS'!$R$15:$R$64,U368))</f>
        <v>0</v>
      </c>
      <c r="X368" s="29" t="n">
        <f>IF(N368=0,0,COUNTIFS('DATOS'!$R$10:$R$509,U368,'DATOS'!$S$10:$S$509,V368))</f>
        <v>0</v>
      </c>
      <c r="Y368" s="29" t="n">
        <f>IF(AND(ISNUMBER('DATOS'!G368),ISNUMBER('DATOS'!H368),ISNUMBER('DATOS'!J368)),1,0)</f>
        <v>0</v>
      </c>
    </row>
    <row r="369" ht="64" customHeight="1">
      <c r="B369" s="26">
        <f>IF(N369=1,360,"")</f>
      </c>
      <c r="C369" s="26">
        <f>IF(AND(N369=1,LEN(TRIM('DATOS'!B369&amp;""))&gt;0),'DATOS'!B369,"")</f>
      </c>
      <c r="D369" s="26">
        <f>IF(AND(N369=1,LEN(TRIM('DATOS'!C369&amp;""))&gt;0),'DATOS'!C369,"")</f>
      </c>
      <c r="E369" s="26">
        <f>IF(NOT(ISNUMBER(P369)),"",IF(P369=2,"ROJO",IF(P369=1,"ÁMBAR","VERDE")))</f>
      </c>
      <c r="F369" s="26">
        <f>IF(NOT(ISNUMBER(Q369)),"",IF(Q369=2,"ROJO",IF(Q369=1,"ÁMBAR","VERDE")))</f>
      </c>
      <c r="G369" s="26">
        <f>IF(NOT(ISNUMBER(R369)),"",IF(R369=2,"ROJO",IF(R369=1,"ÁMBAR","VERDE")))</f>
      </c>
      <c r="H369" s="26">
        <f>IF(NOT(ISNUMBER(S369)),"",IF(S369=2,"ROJO",IF(S369=1,"ÁMBAR","VERDE")))</f>
      </c>
      <c r="I369" s="26">
        <f>IF(NOT(ISNUMBER(T369)),"",IF(T369=2,"ROJO",IF(T369=1,"ÁMBAR","VERDE")))</f>
      </c>
      <c r="J369" s="26">
        <f>IF(NOT(ISNUMBER(O369)),"",IF(O369=2,"ROJO",IF(O369=1,"ÁMBAR","VERDE")))</f>
      </c>
      <c r="K369" s="26">
        <f>IFERROR(IF(AND(N369=1,LEN(TRIM('DATOS'!N369&amp;""))&gt;0),'DATOS'!N369,""),"Hay una entrada con error. Corregimos el dato antes de cerrar la comprobación.")</f>
      </c>
      <c r="L369" s="26">
        <f>IFERROR(IF(N369=0,"",IF(O369&gt;0,"Completamos datos, claves o motivo. ","")&amp;IF(P369&gt;0,"Cotejamos precios e importe. ","")&amp;IF(Q369&gt;0,"Aclaramos el cero. ","")&amp;IF(R369&gt;0,"Comprobamos el texto. ","")&amp;IF(S369&gt;0,"Revisamos decimales visibles. ","")&amp;IF(T369&gt;0,"Confirmamos la unidad.","")),"Hay una entrada con error. Corregimos el dato antes de cerrar la comprobación.")</f>
      </c>
      <c r="N369" s="29" t="n">
        <f>IF(COUNTA('DATOS'!B369:O369)&gt;0,1,0)</f>
        <v>0</v>
      </c>
      <c r="O369" s="29">
        <f>IFERROR(IF(N369=0,"",IF(OR(NOT(AND(LEN(TRIM('DATOS'!B369&amp;""))&gt;0,TRIM('DATOS'!B369&amp;"")&lt;&gt;"Pendiente",TRIM('DATOS'!B369&amp;"")&lt;&gt;"Por confirmar",TRIM('DATOS'!B369&amp;"")&lt;&gt;"No consta",TRIM('DATOS'!B369&amp;"")&lt;&gt;"Desconocido",TRIM('DATOS'!B369&amp;"")&lt;&gt;"Sin confirmar",TRIM('DATOS'!B369&amp;"")&lt;&gt;"Por decidir",TRIM('DATOS'!B369&amp;"")&lt;&gt;"Por comprobar")),NOT(AND(LEN(TRIM('DATOS'!C369&amp;""))&gt;0,TRIM('DATOS'!C369&amp;"")&lt;&gt;"Pendiente",TRIM('DATOS'!C369&amp;"")&lt;&gt;"Por confirmar",TRIM('DATOS'!C369&amp;"")&lt;&gt;"No consta",TRIM('DATOS'!C369&amp;"")&lt;&gt;"Desconocido",TRIM('DATOS'!C369&amp;"")&lt;&gt;"Sin confirmar",TRIM('DATOS'!C369&amp;"")&lt;&gt;"Por decidir",TRIM('DATOS'!C369&amp;"")&lt;&gt;"Por comprobar")),NOT(AND(LEN(TRIM('DATOS'!D369&amp;""))&gt;0,TRIM('DATOS'!D369&amp;"")&lt;&gt;"Pendiente",TRIM('DATOS'!D369&amp;"")&lt;&gt;"Por confirmar",TRIM('DATOS'!D369&amp;"")&lt;&gt;"No consta",TRIM('DATOS'!D369&amp;"")&lt;&gt;"Desconocido",TRIM('DATOS'!D369&amp;"")&lt;&gt;"Sin confirmar",TRIM('DATOS'!D369&amp;"")&lt;&gt;"Por decidir",TRIM('DATOS'!D369&amp;"")&lt;&gt;"Por comprobar")),NOT(AND(LEN(TRIM('DATOS'!E369&amp;""))&gt;0,TRIM('DATOS'!E369&amp;"")&lt;&gt;"Pendiente",TRIM('DATOS'!E369&amp;"")&lt;&gt;"Por confirmar",TRIM('DATOS'!E369&amp;"")&lt;&gt;"No consta",TRIM('DATOS'!E369&amp;"")&lt;&gt;"Desconocido",TRIM('DATOS'!E369&amp;"")&lt;&gt;"Sin confirmar",TRIM('DATOS'!E369&amp;"")&lt;&gt;"Por decidir",TRIM('DATOS'!E369&amp;"")&lt;&gt;"Por comprobar")),NOT(AND(LEN(TRIM('DATOS'!F369&amp;""))&gt;0,TRIM('DATOS'!F369&amp;"")&lt;&gt;"Pendiente",TRIM('DATOS'!F369&amp;"")&lt;&gt;"Por confirmar",TRIM('DATOS'!F369&amp;"")&lt;&gt;"No consta",TRIM('DATOS'!F369&amp;"")&lt;&gt;"Desconocido",TRIM('DATOS'!F369&amp;"")&lt;&gt;"Sin confirmar",TRIM('DATOS'!F369&amp;"")&lt;&gt;"Por decidir",TRIM('DATOS'!F369&amp;"")&lt;&gt;"Por comprobar")),NOT(AND(LEN(TRIM('DATOS'!N369&amp;""))&gt;0,TRIM('DATOS'!N369&amp;"")&lt;&gt;"Pendiente",TRIM('DATOS'!N369&amp;"")&lt;&gt;"Por confirmar",TRIM('DATOS'!N369&amp;"")&lt;&gt;"No consta",TRIM('DATOS'!N369&amp;"")&lt;&gt;"Desconocido",TRIM('DATOS'!N369&amp;"")&lt;&gt;"Sin confirmar",TRIM('DATOS'!N369&amp;"")&lt;&gt;"Por decidir",TRIM('DATOS'!N369&amp;"")&lt;&gt;"Por comprobar")),NOT(Y369=1),W369&lt;&gt;1,X369&gt;1,NOT(OR(LEN(TRIM('DATOS'!K369&amp;""))=0,'DATOS'!K369="Sin valorar",'DATOS'!K369="Sin coste documentado",'DATOS'!K369="Incluido en otra partida",'DATOS'!K369="Por confirmar")),NOT(OR(LEN(TRIM('DATOS'!M369&amp;""))=0,'DATOS'!M369="Sí",'DATOS'!M369="No",'DATOS'!M369="Por confirmar")),NOT(OR(LEN(TRIM('DATOS'!O369&amp;""))=0,'DATOS'!O369="Comparamos",'DATOS'!O369="No existe",'DATOS'!O369="Por confirmar"))),2,IF(AND(OR('DATOS'!G369&lt;0,'DATOS'!H369&lt;0,'DATOS'!J369&lt;0),NOT(AND(LEN(TRIM('DATOS'!L369&amp;""))&gt;0,TRIM('DATOS'!L369&amp;"")&lt;&gt;"Pendiente",TRIM('DATOS'!L369&amp;"")&lt;&gt;"Por confirmar",TRIM('DATOS'!L369&amp;"")&lt;&gt;"No consta",TRIM('DATOS'!L369&amp;"")&lt;&gt;"Desconocido",TRIM('DATOS'!L369&amp;"")&lt;&gt;"Sin confirmar",TRIM('DATOS'!L369&amp;"")&lt;&gt;"Por decidir",TRIM('DATOS'!L369&amp;"")&lt;&gt;"Por comprobar"))),1,0))),2)</f>
      </c>
      <c r="P369" s="29">
        <f>IFERROR(IF(N369=0,"",IF(NOT(Y369=1),1,IF('REFERENCIAS'!$Q$8&lt;&gt;1,2,IF(ABS('DATOS'!J369-ROUND('DATOS'!G369*'DATOS'!H369,'REFERENCIAS'!$K$8))&gt;0.00000001,2,IF('DATOS'!O369="No existe",IF(LEN(TRIM('DATOS'!I369&amp;""))=0,0,2),IF('DATOS'!O369="Comparamos",IF(LEN(TRIM('DATOS'!I369&amp;""))=0,1,IF(ISNUMBER('DATOS'!I369),IF(ABS('DATOS'!H369-'DATOS'!I369)&gt;0.00000001,2,0),2)),1)))))),2)</f>
      </c>
      <c r="Q369" s="29">
        <f>IFERROR(IF(N369=0,"",IF(NOT(Y369=1),1,IF('DATOS'!K369="Sin valorar",2,IF('DATOS'!G369=0,1,IF(OR('DATOS'!H369=0,'DATOS'!J369=0),IF(AND(OR('DATOS'!K369="Sin coste documentado",'DATOS'!K369="Incluido en otra partida"),AND(LEN(TRIM('DATOS'!L369&amp;""))&gt;0,TRIM('DATOS'!L369&amp;"")&lt;&gt;"Pendiente",TRIM('DATOS'!L369&amp;"")&lt;&gt;"Por confirmar",TRIM('DATOS'!L369&amp;"")&lt;&gt;"No consta",TRIM('DATOS'!L369&amp;"")&lt;&gt;"Desconocido",TRIM('DATOS'!L369&amp;"")&lt;&gt;"Sin confirmar",TRIM('DATOS'!L369&amp;"")&lt;&gt;"Por decidir",TRIM('DATOS'!L369&amp;"")&lt;&gt;"Por comprobar")),0,1),0))))),2)</f>
      </c>
      <c r="R369" s="29">
        <f>IFERROR(IF(N369=0,"",IF(OR(NOT(AND(LEN(TRIM('DATOS'!D369&amp;""))&gt;0,TRIM('DATOS'!D369&amp;"")&lt;&gt;"Pendiente",TRIM('DATOS'!D369&amp;"")&lt;&gt;"Por confirmar",TRIM('DATOS'!D369&amp;"")&lt;&gt;"No consta",TRIM('DATOS'!D369&amp;"")&lt;&gt;"Desconocido",TRIM('DATOS'!D369&amp;"")&lt;&gt;"Sin confirmar",TRIM('DATOS'!D369&amp;"")&lt;&gt;"Por decidir",TRIM('DATOS'!D369&amp;"")&lt;&gt;"Por comprobar")),NOT(AND(LEN(TRIM('DATOS'!E369&amp;""))&gt;0,TRIM('DATOS'!E369&amp;"")&lt;&gt;"Pendiente",TRIM('DATOS'!E369&amp;"")&lt;&gt;"Por confirmar",TRIM('DATOS'!E369&amp;"")&lt;&gt;"No consta",TRIM('DATOS'!E369&amp;"")&lt;&gt;"Desconocido",TRIM('DATOS'!E369&amp;"")&lt;&gt;"Sin confirmar",TRIM('DATOS'!E369&amp;"")&lt;&gt;"Por decidir",TRIM('DATOS'!E369&amp;"")&lt;&gt;"Por comprobar"))),2,IF('DATOS'!M369="No",2,IF('DATOS'!M369="Sí",0,IF(OR('DATOS'!D369&lt;&gt;'DATOS'!E369,LEN('DATOS'!E369)&gt;300,RIGHT(TRIM('DATOS'!E369),3)="...",RIGHT(TRIM('DATOS'!E369),1)="…"),1,0))))),2)</f>
      </c>
      <c r="S369" s="29">
        <f>IFERROR(IF(N369=0,"",IF('REFERENCIAS'!$Q$8&lt;&gt;1,2,IF(NOT(Y369=1),1,IF(OR(ABS('DATOS'!G369-ROUND('DATOS'!G369,'REFERENCIAS'!$E$8))&gt;0.00000001,ABS('DATOS'!H369-ROUND('DATOS'!H369,'REFERENCIAS'!$H$8))&gt;0.00000001,ABS('DATOS'!J369-ROUND('DATOS'!J369,'REFERENCIAS'!$K$8))&gt;0.00000001,IF(ISNUMBER('DATOS'!I369),ABS('DATOS'!I369-ROUND('DATOS'!I369,'REFERENCIAS'!$H$8))&gt;0.00000001,FALSE)),1,0)))),2)</f>
      </c>
      <c r="T369" s="29">
        <f>IFERROR(IF(N369=0,"",IF(NOT(AND(LEN(TRIM('DATOS'!F369&amp;""))&gt;0,TRIM('DATOS'!F369&amp;"")&lt;&gt;"Pendiente",TRIM('DATOS'!F369&amp;"")&lt;&gt;"Por confirmar",TRIM('DATOS'!F369&amp;"")&lt;&gt;"No consta",TRIM('DATOS'!F369&amp;"")&lt;&gt;"Desconocido",TRIM('DATOS'!F369&amp;"")&lt;&gt;"Sin confirmar",TRIM('DATOS'!F369&amp;"")&lt;&gt;"Por decidir",TRIM('DATOS'!F369&amp;"")&lt;&gt;"Por comprobar")),2,IF(COUNTIFS('REFERENCIAS'!$T$15:$T$34,"ID:"&amp;SUBSTITUTE(SUBSTITUTE(SUBSTITUTE(SUBSTITUTE(UPPER(TRIM('DATOS'!F369&amp;"")),"!","!E"),"*","!A"),"?","!B"),"~","!C"),'REFERENCIAS'!$H$15:$H$34,"&lt;&gt;")&gt;0,0,1))),2)</f>
      </c>
      <c r="U369" s="29" t="str">
        <f>'DATOS'!R369</f>
        <v>ID:</v>
      </c>
      <c r="V369" s="29" t="str">
        <f>'DATOS'!S369</f>
        <v>ID:</v>
      </c>
      <c r="W369" s="29" t="n">
        <f>IF(N369=0,0,COUNTIFS('REFERENCIAS'!$R$15:$R$64,U369))</f>
        <v>0</v>
      </c>
      <c r="X369" s="29" t="n">
        <f>IF(N369=0,0,COUNTIFS('DATOS'!$R$10:$R$509,U369,'DATOS'!$S$10:$S$509,V369))</f>
        <v>0</v>
      </c>
      <c r="Y369" s="29" t="n">
        <f>IF(AND(ISNUMBER('DATOS'!G369),ISNUMBER('DATOS'!H369),ISNUMBER('DATOS'!J369)),1,0)</f>
        <v>0</v>
      </c>
    </row>
    <row r="370" ht="64" customHeight="1">
      <c r="B370" s="26">
        <f>IF(N370=1,361,"")</f>
      </c>
      <c r="C370" s="26">
        <f>IF(AND(N370=1,LEN(TRIM('DATOS'!B370&amp;""))&gt;0),'DATOS'!B370,"")</f>
      </c>
      <c r="D370" s="26">
        <f>IF(AND(N370=1,LEN(TRIM('DATOS'!C370&amp;""))&gt;0),'DATOS'!C370,"")</f>
      </c>
      <c r="E370" s="26">
        <f>IF(NOT(ISNUMBER(P370)),"",IF(P370=2,"ROJO",IF(P370=1,"ÁMBAR","VERDE")))</f>
      </c>
      <c r="F370" s="26">
        <f>IF(NOT(ISNUMBER(Q370)),"",IF(Q370=2,"ROJO",IF(Q370=1,"ÁMBAR","VERDE")))</f>
      </c>
      <c r="G370" s="26">
        <f>IF(NOT(ISNUMBER(R370)),"",IF(R370=2,"ROJO",IF(R370=1,"ÁMBAR","VERDE")))</f>
      </c>
      <c r="H370" s="26">
        <f>IF(NOT(ISNUMBER(S370)),"",IF(S370=2,"ROJO",IF(S370=1,"ÁMBAR","VERDE")))</f>
      </c>
      <c r="I370" s="26">
        <f>IF(NOT(ISNUMBER(T370)),"",IF(T370=2,"ROJO",IF(T370=1,"ÁMBAR","VERDE")))</f>
      </c>
      <c r="J370" s="26">
        <f>IF(NOT(ISNUMBER(O370)),"",IF(O370=2,"ROJO",IF(O370=1,"ÁMBAR","VERDE")))</f>
      </c>
      <c r="K370" s="26">
        <f>IFERROR(IF(AND(N370=1,LEN(TRIM('DATOS'!N370&amp;""))&gt;0),'DATOS'!N370,""),"Hay una entrada con error. Corregimos el dato antes de cerrar la comprobación.")</f>
      </c>
      <c r="L370" s="26">
        <f>IFERROR(IF(N370=0,"",IF(O370&gt;0,"Completamos datos, claves o motivo. ","")&amp;IF(P370&gt;0,"Cotejamos precios e importe. ","")&amp;IF(Q370&gt;0,"Aclaramos el cero. ","")&amp;IF(R370&gt;0,"Comprobamos el texto. ","")&amp;IF(S370&gt;0,"Revisamos decimales visibles. ","")&amp;IF(T370&gt;0,"Confirmamos la unidad.","")),"Hay una entrada con error. Corregimos el dato antes de cerrar la comprobación.")</f>
      </c>
      <c r="N370" s="29" t="n">
        <f>IF(COUNTA('DATOS'!B370:O370)&gt;0,1,0)</f>
        <v>0</v>
      </c>
      <c r="O370" s="29">
        <f>IFERROR(IF(N370=0,"",IF(OR(NOT(AND(LEN(TRIM('DATOS'!B370&amp;""))&gt;0,TRIM('DATOS'!B370&amp;"")&lt;&gt;"Pendiente",TRIM('DATOS'!B370&amp;"")&lt;&gt;"Por confirmar",TRIM('DATOS'!B370&amp;"")&lt;&gt;"No consta",TRIM('DATOS'!B370&amp;"")&lt;&gt;"Desconocido",TRIM('DATOS'!B370&amp;"")&lt;&gt;"Sin confirmar",TRIM('DATOS'!B370&amp;"")&lt;&gt;"Por decidir",TRIM('DATOS'!B370&amp;"")&lt;&gt;"Por comprobar")),NOT(AND(LEN(TRIM('DATOS'!C370&amp;""))&gt;0,TRIM('DATOS'!C370&amp;"")&lt;&gt;"Pendiente",TRIM('DATOS'!C370&amp;"")&lt;&gt;"Por confirmar",TRIM('DATOS'!C370&amp;"")&lt;&gt;"No consta",TRIM('DATOS'!C370&amp;"")&lt;&gt;"Desconocido",TRIM('DATOS'!C370&amp;"")&lt;&gt;"Sin confirmar",TRIM('DATOS'!C370&amp;"")&lt;&gt;"Por decidir",TRIM('DATOS'!C370&amp;"")&lt;&gt;"Por comprobar")),NOT(AND(LEN(TRIM('DATOS'!D370&amp;""))&gt;0,TRIM('DATOS'!D370&amp;"")&lt;&gt;"Pendiente",TRIM('DATOS'!D370&amp;"")&lt;&gt;"Por confirmar",TRIM('DATOS'!D370&amp;"")&lt;&gt;"No consta",TRIM('DATOS'!D370&amp;"")&lt;&gt;"Desconocido",TRIM('DATOS'!D370&amp;"")&lt;&gt;"Sin confirmar",TRIM('DATOS'!D370&amp;"")&lt;&gt;"Por decidir",TRIM('DATOS'!D370&amp;"")&lt;&gt;"Por comprobar")),NOT(AND(LEN(TRIM('DATOS'!E370&amp;""))&gt;0,TRIM('DATOS'!E370&amp;"")&lt;&gt;"Pendiente",TRIM('DATOS'!E370&amp;"")&lt;&gt;"Por confirmar",TRIM('DATOS'!E370&amp;"")&lt;&gt;"No consta",TRIM('DATOS'!E370&amp;"")&lt;&gt;"Desconocido",TRIM('DATOS'!E370&amp;"")&lt;&gt;"Sin confirmar",TRIM('DATOS'!E370&amp;"")&lt;&gt;"Por decidir",TRIM('DATOS'!E370&amp;"")&lt;&gt;"Por comprobar")),NOT(AND(LEN(TRIM('DATOS'!F370&amp;""))&gt;0,TRIM('DATOS'!F370&amp;"")&lt;&gt;"Pendiente",TRIM('DATOS'!F370&amp;"")&lt;&gt;"Por confirmar",TRIM('DATOS'!F370&amp;"")&lt;&gt;"No consta",TRIM('DATOS'!F370&amp;"")&lt;&gt;"Desconocido",TRIM('DATOS'!F370&amp;"")&lt;&gt;"Sin confirmar",TRIM('DATOS'!F370&amp;"")&lt;&gt;"Por decidir",TRIM('DATOS'!F370&amp;"")&lt;&gt;"Por comprobar")),NOT(AND(LEN(TRIM('DATOS'!N370&amp;""))&gt;0,TRIM('DATOS'!N370&amp;"")&lt;&gt;"Pendiente",TRIM('DATOS'!N370&amp;"")&lt;&gt;"Por confirmar",TRIM('DATOS'!N370&amp;"")&lt;&gt;"No consta",TRIM('DATOS'!N370&amp;"")&lt;&gt;"Desconocido",TRIM('DATOS'!N370&amp;"")&lt;&gt;"Sin confirmar",TRIM('DATOS'!N370&amp;"")&lt;&gt;"Por decidir",TRIM('DATOS'!N370&amp;"")&lt;&gt;"Por comprobar")),NOT(Y370=1),W370&lt;&gt;1,X370&gt;1,NOT(OR(LEN(TRIM('DATOS'!K370&amp;""))=0,'DATOS'!K370="Sin valorar",'DATOS'!K370="Sin coste documentado",'DATOS'!K370="Incluido en otra partida",'DATOS'!K370="Por confirmar")),NOT(OR(LEN(TRIM('DATOS'!M370&amp;""))=0,'DATOS'!M370="Sí",'DATOS'!M370="No",'DATOS'!M370="Por confirmar")),NOT(OR(LEN(TRIM('DATOS'!O370&amp;""))=0,'DATOS'!O370="Comparamos",'DATOS'!O370="No existe",'DATOS'!O370="Por confirmar"))),2,IF(AND(OR('DATOS'!G370&lt;0,'DATOS'!H370&lt;0,'DATOS'!J370&lt;0),NOT(AND(LEN(TRIM('DATOS'!L370&amp;""))&gt;0,TRIM('DATOS'!L370&amp;"")&lt;&gt;"Pendiente",TRIM('DATOS'!L370&amp;"")&lt;&gt;"Por confirmar",TRIM('DATOS'!L370&amp;"")&lt;&gt;"No consta",TRIM('DATOS'!L370&amp;"")&lt;&gt;"Desconocido",TRIM('DATOS'!L370&amp;"")&lt;&gt;"Sin confirmar",TRIM('DATOS'!L370&amp;"")&lt;&gt;"Por decidir",TRIM('DATOS'!L370&amp;"")&lt;&gt;"Por comprobar"))),1,0))),2)</f>
      </c>
      <c r="P370" s="29">
        <f>IFERROR(IF(N370=0,"",IF(NOT(Y370=1),1,IF('REFERENCIAS'!$Q$8&lt;&gt;1,2,IF(ABS('DATOS'!J370-ROUND('DATOS'!G370*'DATOS'!H370,'REFERENCIAS'!$K$8))&gt;0.00000001,2,IF('DATOS'!O370="No existe",IF(LEN(TRIM('DATOS'!I370&amp;""))=0,0,2),IF('DATOS'!O370="Comparamos",IF(LEN(TRIM('DATOS'!I370&amp;""))=0,1,IF(ISNUMBER('DATOS'!I370),IF(ABS('DATOS'!H370-'DATOS'!I370)&gt;0.00000001,2,0),2)),1)))))),2)</f>
      </c>
      <c r="Q370" s="29">
        <f>IFERROR(IF(N370=0,"",IF(NOT(Y370=1),1,IF('DATOS'!K370="Sin valorar",2,IF('DATOS'!G370=0,1,IF(OR('DATOS'!H370=0,'DATOS'!J370=0),IF(AND(OR('DATOS'!K370="Sin coste documentado",'DATOS'!K370="Incluido en otra partida"),AND(LEN(TRIM('DATOS'!L370&amp;""))&gt;0,TRIM('DATOS'!L370&amp;"")&lt;&gt;"Pendiente",TRIM('DATOS'!L370&amp;"")&lt;&gt;"Por confirmar",TRIM('DATOS'!L370&amp;"")&lt;&gt;"No consta",TRIM('DATOS'!L370&amp;"")&lt;&gt;"Desconocido",TRIM('DATOS'!L370&amp;"")&lt;&gt;"Sin confirmar",TRIM('DATOS'!L370&amp;"")&lt;&gt;"Por decidir",TRIM('DATOS'!L370&amp;"")&lt;&gt;"Por comprobar")),0,1),0))))),2)</f>
      </c>
      <c r="R370" s="29">
        <f>IFERROR(IF(N370=0,"",IF(OR(NOT(AND(LEN(TRIM('DATOS'!D370&amp;""))&gt;0,TRIM('DATOS'!D370&amp;"")&lt;&gt;"Pendiente",TRIM('DATOS'!D370&amp;"")&lt;&gt;"Por confirmar",TRIM('DATOS'!D370&amp;"")&lt;&gt;"No consta",TRIM('DATOS'!D370&amp;"")&lt;&gt;"Desconocido",TRIM('DATOS'!D370&amp;"")&lt;&gt;"Sin confirmar",TRIM('DATOS'!D370&amp;"")&lt;&gt;"Por decidir",TRIM('DATOS'!D370&amp;"")&lt;&gt;"Por comprobar")),NOT(AND(LEN(TRIM('DATOS'!E370&amp;""))&gt;0,TRIM('DATOS'!E370&amp;"")&lt;&gt;"Pendiente",TRIM('DATOS'!E370&amp;"")&lt;&gt;"Por confirmar",TRIM('DATOS'!E370&amp;"")&lt;&gt;"No consta",TRIM('DATOS'!E370&amp;"")&lt;&gt;"Desconocido",TRIM('DATOS'!E370&amp;"")&lt;&gt;"Sin confirmar",TRIM('DATOS'!E370&amp;"")&lt;&gt;"Por decidir",TRIM('DATOS'!E370&amp;"")&lt;&gt;"Por comprobar"))),2,IF('DATOS'!M370="No",2,IF('DATOS'!M370="Sí",0,IF(OR('DATOS'!D370&lt;&gt;'DATOS'!E370,LEN('DATOS'!E370)&gt;300,RIGHT(TRIM('DATOS'!E370),3)="...",RIGHT(TRIM('DATOS'!E370),1)="…"),1,0))))),2)</f>
      </c>
      <c r="S370" s="29">
        <f>IFERROR(IF(N370=0,"",IF('REFERENCIAS'!$Q$8&lt;&gt;1,2,IF(NOT(Y370=1),1,IF(OR(ABS('DATOS'!G370-ROUND('DATOS'!G370,'REFERENCIAS'!$E$8))&gt;0.00000001,ABS('DATOS'!H370-ROUND('DATOS'!H370,'REFERENCIAS'!$H$8))&gt;0.00000001,ABS('DATOS'!J370-ROUND('DATOS'!J370,'REFERENCIAS'!$K$8))&gt;0.00000001,IF(ISNUMBER('DATOS'!I370),ABS('DATOS'!I370-ROUND('DATOS'!I370,'REFERENCIAS'!$H$8))&gt;0.00000001,FALSE)),1,0)))),2)</f>
      </c>
      <c r="T370" s="29">
        <f>IFERROR(IF(N370=0,"",IF(NOT(AND(LEN(TRIM('DATOS'!F370&amp;""))&gt;0,TRIM('DATOS'!F370&amp;"")&lt;&gt;"Pendiente",TRIM('DATOS'!F370&amp;"")&lt;&gt;"Por confirmar",TRIM('DATOS'!F370&amp;"")&lt;&gt;"No consta",TRIM('DATOS'!F370&amp;"")&lt;&gt;"Desconocido",TRIM('DATOS'!F370&amp;"")&lt;&gt;"Sin confirmar",TRIM('DATOS'!F370&amp;"")&lt;&gt;"Por decidir",TRIM('DATOS'!F370&amp;"")&lt;&gt;"Por comprobar")),2,IF(COUNTIFS('REFERENCIAS'!$T$15:$T$34,"ID:"&amp;SUBSTITUTE(SUBSTITUTE(SUBSTITUTE(SUBSTITUTE(UPPER(TRIM('DATOS'!F370&amp;"")),"!","!E"),"*","!A"),"?","!B"),"~","!C"),'REFERENCIAS'!$H$15:$H$34,"&lt;&gt;")&gt;0,0,1))),2)</f>
      </c>
      <c r="U370" s="29" t="str">
        <f>'DATOS'!R370</f>
        <v>ID:</v>
      </c>
      <c r="V370" s="29" t="str">
        <f>'DATOS'!S370</f>
        <v>ID:</v>
      </c>
      <c r="W370" s="29" t="n">
        <f>IF(N370=0,0,COUNTIFS('REFERENCIAS'!$R$15:$R$64,U370))</f>
        <v>0</v>
      </c>
      <c r="X370" s="29" t="n">
        <f>IF(N370=0,0,COUNTIFS('DATOS'!$R$10:$R$509,U370,'DATOS'!$S$10:$S$509,V370))</f>
        <v>0</v>
      </c>
      <c r="Y370" s="29" t="n">
        <f>IF(AND(ISNUMBER('DATOS'!G370),ISNUMBER('DATOS'!H370),ISNUMBER('DATOS'!J370)),1,0)</f>
        <v>0</v>
      </c>
    </row>
    <row r="371" ht="64" customHeight="1">
      <c r="B371" s="26">
        <f>IF(N371=1,362,"")</f>
      </c>
      <c r="C371" s="26">
        <f>IF(AND(N371=1,LEN(TRIM('DATOS'!B371&amp;""))&gt;0),'DATOS'!B371,"")</f>
      </c>
      <c r="D371" s="26">
        <f>IF(AND(N371=1,LEN(TRIM('DATOS'!C371&amp;""))&gt;0),'DATOS'!C371,"")</f>
      </c>
      <c r="E371" s="26">
        <f>IF(NOT(ISNUMBER(P371)),"",IF(P371=2,"ROJO",IF(P371=1,"ÁMBAR","VERDE")))</f>
      </c>
      <c r="F371" s="26">
        <f>IF(NOT(ISNUMBER(Q371)),"",IF(Q371=2,"ROJO",IF(Q371=1,"ÁMBAR","VERDE")))</f>
      </c>
      <c r="G371" s="26">
        <f>IF(NOT(ISNUMBER(R371)),"",IF(R371=2,"ROJO",IF(R371=1,"ÁMBAR","VERDE")))</f>
      </c>
      <c r="H371" s="26">
        <f>IF(NOT(ISNUMBER(S371)),"",IF(S371=2,"ROJO",IF(S371=1,"ÁMBAR","VERDE")))</f>
      </c>
      <c r="I371" s="26">
        <f>IF(NOT(ISNUMBER(T371)),"",IF(T371=2,"ROJO",IF(T371=1,"ÁMBAR","VERDE")))</f>
      </c>
      <c r="J371" s="26">
        <f>IF(NOT(ISNUMBER(O371)),"",IF(O371=2,"ROJO",IF(O371=1,"ÁMBAR","VERDE")))</f>
      </c>
      <c r="K371" s="26">
        <f>IFERROR(IF(AND(N371=1,LEN(TRIM('DATOS'!N371&amp;""))&gt;0),'DATOS'!N371,""),"Hay una entrada con error. Corregimos el dato antes de cerrar la comprobación.")</f>
      </c>
      <c r="L371" s="26">
        <f>IFERROR(IF(N371=0,"",IF(O371&gt;0,"Completamos datos, claves o motivo. ","")&amp;IF(P371&gt;0,"Cotejamos precios e importe. ","")&amp;IF(Q371&gt;0,"Aclaramos el cero. ","")&amp;IF(R371&gt;0,"Comprobamos el texto. ","")&amp;IF(S371&gt;0,"Revisamos decimales visibles. ","")&amp;IF(T371&gt;0,"Confirmamos la unidad.","")),"Hay una entrada con error. Corregimos el dato antes de cerrar la comprobación.")</f>
      </c>
      <c r="N371" s="29" t="n">
        <f>IF(COUNTA('DATOS'!B371:O371)&gt;0,1,0)</f>
        <v>0</v>
      </c>
      <c r="O371" s="29">
        <f>IFERROR(IF(N371=0,"",IF(OR(NOT(AND(LEN(TRIM('DATOS'!B371&amp;""))&gt;0,TRIM('DATOS'!B371&amp;"")&lt;&gt;"Pendiente",TRIM('DATOS'!B371&amp;"")&lt;&gt;"Por confirmar",TRIM('DATOS'!B371&amp;"")&lt;&gt;"No consta",TRIM('DATOS'!B371&amp;"")&lt;&gt;"Desconocido",TRIM('DATOS'!B371&amp;"")&lt;&gt;"Sin confirmar",TRIM('DATOS'!B371&amp;"")&lt;&gt;"Por decidir",TRIM('DATOS'!B371&amp;"")&lt;&gt;"Por comprobar")),NOT(AND(LEN(TRIM('DATOS'!C371&amp;""))&gt;0,TRIM('DATOS'!C371&amp;"")&lt;&gt;"Pendiente",TRIM('DATOS'!C371&amp;"")&lt;&gt;"Por confirmar",TRIM('DATOS'!C371&amp;"")&lt;&gt;"No consta",TRIM('DATOS'!C371&amp;"")&lt;&gt;"Desconocido",TRIM('DATOS'!C371&amp;"")&lt;&gt;"Sin confirmar",TRIM('DATOS'!C371&amp;"")&lt;&gt;"Por decidir",TRIM('DATOS'!C371&amp;"")&lt;&gt;"Por comprobar")),NOT(AND(LEN(TRIM('DATOS'!D371&amp;""))&gt;0,TRIM('DATOS'!D371&amp;"")&lt;&gt;"Pendiente",TRIM('DATOS'!D371&amp;"")&lt;&gt;"Por confirmar",TRIM('DATOS'!D371&amp;"")&lt;&gt;"No consta",TRIM('DATOS'!D371&amp;"")&lt;&gt;"Desconocido",TRIM('DATOS'!D371&amp;"")&lt;&gt;"Sin confirmar",TRIM('DATOS'!D371&amp;"")&lt;&gt;"Por decidir",TRIM('DATOS'!D371&amp;"")&lt;&gt;"Por comprobar")),NOT(AND(LEN(TRIM('DATOS'!E371&amp;""))&gt;0,TRIM('DATOS'!E371&amp;"")&lt;&gt;"Pendiente",TRIM('DATOS'!E371&amp;"")&lt;&gt;"Por confirmar",TRIM('DATOS'!E371&amp;"")&lt;&gt;"No consta",TRIM('DATOS'!E371&amp;"")&lt;&gt;"Desconocido",TRIM('DATOS'!E371&amp;"")&lt;&gt;"Sin confirmar",TRIM('DATOS'!E371&amp;"")&lt;&gt;"Por decidir",TRIM('DATOS'!E371&amp;"")&lt;&gt;"Por comprobar")),NOT(AND(LEN(TRIM('DATOS'!F371&amp;""))&gt;0,TRIM('DATOS'!F371&amp;"")&lt;&gt;"Pendiente",TRIM('DATOS'!F371&amp;"")&lt;&gt;"Por confirmar",TRIM('DATOS'!F371&amp;"")&lt;&gt;"No consta",TRIM('DATOS'!F371&amp;"")&lt;&gt;"Desconocido",TRIM('DATOS'!F371&amp;"")&lt;&gt;"Sin confirmar",TRIM('DATOS'!F371&amp;"")&lt;&gt;"Por decidir",TRIM('DATOS'!F371&amp;"")&lt;&gt;"Por comprobar")),NOT(AND(LEN(TRIM('DATOS'!N371&amp;""))&gt;0,TRIM('DATOS'!N371&amp;"")&lt;&gt;"Pendiente",TRIM('DATOS'!N371&amp;"")&lt;&gt;"Por confirmar",TRIM('DATOS'!N371&amp;"")&lt;&gt;"No consta",TRIM('DATOS'!N371&amp;"")&lt;&gt;"Desconocido",TRIM('DATOS'!N371&amp;"")&lt;&gt;"Sin confirmar",TRIM('DATOS'!N371&amp;"")&lt;&gt;"Por decidir",TRIM('DATOS'!N371&amp;"")&lt;&gt;"Por comprobar")),NOT(Y371=1),W371&lt;&gt;1,X371&gt;1,NOT(OR(LEN(TRIM('DATOS'!K371&amp;""))=0,'DATOS'!K371="Sin valorar",'DATOS'!K371="Sin coste documentado",'DATOS'!K371="Incluido en otra partida",'DATOS'!K371="Por confirmar")),NOT(OR(LEN(TRIM('DATOS'!M371&amp;""))=0,'DATOS'!M371="Sí",'DATOS'!M371="No",'DATOS'!M371="Por confirmar")),NOT(OR(LEN(TRIM('DATOS'!O371&amp;""))=0,'DATOS'!O371="Comparamos",'DATOS'!O371="No existe",'DATOS'!O371="Por confirmar"))),2,IF(AND(OR('DATOS'!G371&lt;0,'DATOS'!H371&lt;0,'DATOS'!J371&lt;0),NOT(AND(LEN(TRIM('DATOS'!L371&amp;""))&gt;0,TRIM('DATOS'!L371&amp;"")&lt;&gt;"Pendiente",TRIM('DATOS'!L371&amp;"")&lt;&gt;"Por confirmar",TRIM('DATOS'!L371&amp;"")&lt;&gt;"No consta",TRIM('DATOS'!L371&amp;"")&lt;&gt;"Desconocido",TRIM('DATOS'!L371&amp;"")&lt;&gt;"Sin confirmar",TRIM('DATOS'!L371&amp;"")&lt;&gt;"Por decidir",TRIM('DATOS'!L371&amp;"")&lt;&gt;"Por comprobar"))),1,0))),2)</f>
      </c>
      <c r="P371" s="29">
        <f>IFERROR(IF(N371=0,"",IF(NOT(Y371=1),1,IF('REFERENCIAS'!$Q$8&lt;&gt;1,2,IF(ABS('DATOS'!J371-ROUND('DATOS'!G371*'DATOS'!H371,'REFERENCIAS'!$K$8))&gt;0.00000001,2,IF('DATOS'!O371="No existe",IF(LEN(TRIM('DATOS'!I371&amp;""))=0,0,2),IF('DATOS'!O371="Comparamos",IF(LEN(TRIM('DATOS'!I371&amp;""))=0,1,IF(ISNUMBER('DATOS'!I371),IF(ABS('DATOS'!H371-'DATOS'!I371)&gt;0.00000001,2,0),2)),1)))))),2)</f>
      </c>
      <c r="Q371" s="29">
        <f>IFERROR(IF(N371=0,"",IF(NOT(Y371=1),1,IF('DATOS'!K371="Sin valorar",2,IF('DATOS'!G371=0,1,IF(OR('DATOS'!H371=0,'DATOS'!J371=0),IF(AND(OR('DATOS'!K371="Sin coste documentado",'DATOS'!K371="Incluido en otra partida"),AND(LEN(TRIM('DATOS'!L371&amp;""))&gt;0,TRIM('DATOS'!L371&amp;"")&lt;&gt;"Pendiente",TRIM('DATOS'!L371&amp;"")&lt;&gt;"Por confirmar",TRIM('DATOS'!L371&amp;"")&lt;&gt;"No consta",TRIM('DATOS'!L371&amp;"")&lt;&gt;"Desconocido",TRIM('DATOS'!L371&amp;"")&lt;&gt;"Sin confirmar",TRIM('DATOS'!L371&amp;"")&lt;&gt;"Por decidir",TRIM('DATOS'!L371&amp;"")&lt;&gt;"Por comprobar")),0,1),0))))),2)</f>
      </c>
      <c r="R371" s="29">
        <f>IFERROR(IF(N371=0,"",IF(OR(NOT(AND(LEN(TRIM('DATOS'!D371&amp;""))&gt;0,TRIM('DATOS'!D371&amp;"")&lt;&gt;"Pendiente",TRIM('DATOS'!D371&amp;"")&lt;&gt;"Por confirmar",TRIM('DATOS'!D371&amp;"")&lt;&gt;"No consta",TRIM('DATOS'!D371&amp;"")&lt;&gt;"Desconocido",TRIM('DATOS'!D371&amp;"")&lt;&gt;"Sin confirmar",TRIM('DATOS'!D371&amp;"")&lt;&gt;"Por decidir",TRIM('DATOS'!D371&amp;"")&lt;&gt;"Por comprobar")),NOT(AND(LEN(TRIM('DATOS'!E371&amp;""))&gt;0,TRIM('DATOS'!E371&amp;"")&lt;&gt;"Pendiente",TRIM('DATOS'!E371&amp;"")&lt;&gt;"Por confirmar",TRIM('DATOS'!E371&amp;"")&lt;&gt;"No consta",TRIM('DATOS'!E371&amp;"")&lt;&gt;"Desconocido",TRIM('DATOS'!E371&amp;"")&lt;&gt;"Sin confirmar",TRIM('DATOS'!E371&amp;"")&lt;&gt;"Por decidir",TRIM('DATOS'!E371&amp;"")&lt;&gt;"Por comprobar"))),2,IF('DATOS'!M371="No",2,IF('DATOS'!M371="Sí",0,IF(OR('DATOS'!D371&lt;&gt;'DATOS'!E371,LEN('DATOS'!E371)&gt;300,RIGHT(TRIM('DATOS'!E371),3)="...",RIGHT(TRIM('DATOS'!E371),1)="…"),1,0))))),2)</f>
      </c>
      <c r="S371" s="29">
        <f>IFERROR(IF(N371=0,"",IF('REFERENCIAS'!$Q$8&lt;&gt;1,2,IF(NOT(Y371=1),1,IF(OR(ABS('DATOS'!G371-ROUND('DATOS'!G371,'REFERENCIAS'!$E$8))&gt;0.00000001,ABS('DATOS'!H371-ROUND('DATOS'!H371,'REFERENCIAS'!$H$8))&gt;0.00000001,ABS('DATOS'!J371-ROUND('DATOS'!J371,'REFERENCIAS'!$K$8))&gt;0.00000001,IF(ISNUMBER('DATOS'!I371),ABS('DATOS'!I371-ROUND('DATOS'!I371,'REFERENCIAS'!$H$8))&gt;0.00000001,FALSE)),1,0)))),2)</f>
      </c>
      <c r="T371" s="29">
        <f>IFERROR(IF(N371=0,"",IF(NOT(AND(LEN(TRIM('DATOS'!F371&amp;""))&gt;0,TRIM('DATOS'!F371&amp;"")&lt;&gt;"Pendiente",TRIM('DATOS'!F371&amp;"")&lt;&gt;"Por confirmar",TRIM('DATOS'!F371&amp;"")&lt;&gt;"No consta",TRIM('DATOS'!F371&amp;"")&lt;&gt;"Desconocido",TRIM('DATOS'!F371&amp;"")&lt;&gt;"Sin confirmar",TRIM('DATOS'!F371&amp;"")&lt;&gt;"Por decidir",TRIM('DATOS'!F371&amp;"")&lt;&gt;"Por comprobar")),2,IF(COUNTIFS('REFERENCIAS'!$T$15:$T$34,"ID:"&amp;SUBSTITUTE(SUBSTITUTE(SUBSTITUTE(SUBSTITUTE(UPPER(TRIM('DATOS'!F371&amp;"")),"!","!E"),"*","!A"),"?","!B"),"~","!C"),'REFERENCIAS'!$H$15:$H$34,"&lt;&gt;")&gt;0,0,1))),2)</f>
      </c>
      <c r="U371" s="29" t="str">
        <f>'DATOS'!R371</f>
        <v>ID:</v>
      </c>
      <c r="V371" s="29" t="str">
        <f>'DATOS'!S371</f>
        <v>ID:</v>
      </c>
      <c r="W371" s="29" t="n">
        <f>IF(N371=0,0,COUNTIFS('REFERENCIAS'!$R$15:$R$64,U371))</f>
        <v>0</v>
      </c>
      <c r="X371" s="29" t="n">
        <f>IF(N371=0,0,COUNTIFS('DATOS'!$R$10:$R$509,U371,'DATOS'!$S$10:$S$509,V371))</f>
        <v>0</v>
      </c>
      <c r="Y371" s="29" t="n">
        <f>IF(AND(ISNUMBER('DATOS'!G371),ISNUMBER('DATOS'!H371),ISNUMBER('DATOS'!J371)),1,0)</f>
        <v>0</v>
      </c>
    </row>
    <row r="372" ht="64" customHeight="1">
      <c r="B372" s="26">
        <f>IF(N372=1,363,"")</f>
      </c>
      <c r="C372" s="26">
        <f>IF(AND(N372=1,LEN(TRIM('DATOS'!B372&amp;""))&gt;0),'DATOS'!B372,"")</f>
      </c>
      <c r="D372" s="26">
        <f>IF(AND(N372=1,LEN(TRIM('DATOS'!C372&amp;""))&gt;0),'DATOS'!C372,"")</f>
      </c>
      <c r="E372" s="26">
        <f>IF(NOT(ISNUMBER(P372)),"",IF(P372=2,"ROJO",IF(P372=1,"ÁMBAR","VERDE")))</f>
      </c>
      <c r="F372" s="26">
        <f>IF(NOT(ISNUMBER(Q372)),"",IF(Q372=2,"ROJO",IF(Q372=1,"ÁMBAR","VERDE")))</f>
      </c>
      <c r="G372" s="26">
        <f>IF(NOT(ISNUMBER(R372)),"",IF(R372=2,"ROJO",IF(R372=1,"ÁMBAR","VERDE")))</f>
      </c>
      <c r="H372" s="26">
        <f>IF(NOT(ISNUMBER(S372)),"",IF(S372=2,"ROJO",IF(S372=1,"ÁMBAR","VERDE")))</f>
      </c>
      <c r="I372" s="26">
        <f>IF(NOT(ISNUMBER(T372)),"",IF(T372=2,"ROJO",IF(T372=1,"ÁMBAR","VERDE")))</f>
      </c>
      <c r="J372" s="26">
        <f>IF(NOT(ISNUMBER(O372)),"",IF(O372=2,"ROJO",IF(O372=1,"ÁMBAR","VERDE")))</f>
      </c>
      <c r="K372" s="26">
        <f>IFERROR(IF(AND(N372=1,LEN(TRIM('DATOS'!N372&amp;""))&gt;0),'DATOS'!N372,""),"Hay una entrada con error. Corregimos el dato antes de cerrar la comprobación.")</f>
      </c>
      <c r="L372" s="26">
        <f>IFERROR(IF(N372=0,"",IF(O372&gt;0,"Completamos datos, claves o motivo. ","")&amp;IF(P372&gt;0,"Cotejamos precios e importe. ","")&amp;IF(Q372&gt;0,"Aclaramos el cero. ","")&amp;IF(R372&gt;0,"Comprobamos el texto. ","")&amp;IF(S372&gt;0,"Revisamos decimales visibles. ","")&amp;IF(T372&gt;0,"Confirmamos la unidad.","")),"Hay una entrada con error. Corregimos el dato antes de cerrar la comprobación.")</f>
      </c>
      <c r="N372" s="29" t="n">
        <f>IF(COUNTA('DATOS'!B372:O372)&gt;0,1,0)</f>
        <v>0</v>
      </c>
      <c r="O372" s="29">
        <f>IFERROR(IF(N372=0,"",IF(OR(NOT(AND(LEN(TRIM('DATOS'!B372&amp;""))&gt;0,TRIM('DATOS'!B372&amp;"")&lt;&gt;"Pendiente",TRIM('DATOS'!B372&amp;"")&lt;&gt;"Por confirmar",TRIM('DATOS'!B372&amp;"")&lt;&gt;"No consta",TRIM('DATOS'!B372&amp;"")&lt;&gt;"Desconocido",TRIM('DATOS'!B372&amp;"")&lt;&gt;"Sin confirmar",TRIM('DATOS'!B372&amp;"")&lt;&gt;"Por decidir",TRIM('DATOS'!B372&amp;"")&lt;&gt;"Por comprobar")),NOT(AND(LEN(TRIM('DATOS'!C372&amp;""))&gt;0,TRIM('DATOS'!C372&amp;"")&lt;&gt;"Pendiente",TRIM('DATOS'!C372&amp;"")&lt;&gt;"Por confirmar",TRIM('DATOS'!C372&amp;"")&lt;&gt;"No consta",TRIM('DATOS'!C372&amp;"")&lt;&gt;"Desconocido",TRIM('DATOS'!C372&amp;"")&lt;&gt;"Sin confirmar",TRIM('DATOS'!C372&amp;"")&lt;&gt;"Por decidir",TRIM('DATOS'!C372&amp;"")&lt;&gt;"Por comprobar")),NOT(AND(LEN(TRIM('DATOS'!D372&amp;""))&gt;0,TRIM('DATOS'!D372&amp;"")&lt;&gt;"Pendiente",TRIM('DATOS'!D372&amp;"")&lt;&gt;"Por confirmar",TRIM('DATOS'!D372&amp;"")&lt;&gt;"No consta",TRIM('DATOS'!D372&amp;"")&lt;&gt;"Desconocido",TRIM('DATOS'!D372&amp;"")&lt;&gt;"Sin confirmar",TRIM('DATOS'!D372&amp;"")&lt;&gt;"Por decidir",TRIM('DATOS'!D372&amp;"")&lt;&gt;"Por comprobar")),NOT(AND(LEN(TRIM('DATOS'!E372&amp;""))&gt;0,TRIM('DATOS'!E372&amp;"")&lt;&gt;"Pendiente",TRIM('DATOS'!E372&amp;"")&lt;&gt;"Por confirmar",TRIM('DATOS'!E372&amp;"")&lt;&gt;"No consta",TRIM('DATOS'!E372&amp;"")&lt;&gt;"Desconocido",TRIM('DATOS'!E372&amp;"")&lt;&gt;"Sin confirmar",TRIM('DATOS'!E372&amp;"")&lt;&gt;"Por decidir",TRIM('DATOS'!E372&amp;"")&lt;&gt;"Por comprobar")),NOT(AND(LEN(TRIM('DATOS'!F372&amp;""))&gt;0,TRIM('DATOS'!F372&amp;"")&lt;&gt;"Pendiente",TRIM('DATOS'!F372&amp;"")&lt;&gt;"Por confirmar",TRIM('DATOS'!F372&amp;"")&lt;&gt;"No consta",TRIM('DATOS'!F372&amp;"")&lt;&gt;"Desconocido",TRIM('DATOS'!F372&amp;"")&lt;&gt;"Sin confirmar",TRIM('DATOS'!F372&amp;"")&lt;&gt;"Por decidir",TRIM('DATOS'!F372&amp;"")&lt;&gt;"Por comprobar")),NOT(AND(LEN(TRIM('DATOS'!N372&amp;""))&gt;0,TRIM('DATOS'!N372&amp;"")&lt;&gt;"Pendiente",TRIM('DATOS'!N372&amp;"")&lt;&gt;"Por confirmar",TRIM('DATOS'!N372&amp;"")&lt;&gt;"No consta",TRIM('DATOS'!N372&amp;"")&lt;&gt;"Desconocido",TRIM('DATOS'!N372&amp;"")&lt;&gt;"Sin confirmar",TRIM('DATOS'!N372&amp;"")&lt;&gt;"Por decidir",TRIM('DATOS'!N372&amp;"")&lt;&gt;"Por comprobar")),NOT(Y372=1),W372&lt;&gt;1,X372&gt;1,NOT(OR(LEN(TRIM('DATOS'!K372&amp;""))=0,'DATOS'!K372="Sin valorar",'DATOS'!K372="Sin coste documentado",'DATOS'!K372="Incluido en otra partida",'DATOS'!K372="Por confirmar")),NOT(OR(LEN(TRIM('DATOS'!M372&amp;""))=0,'DATOS'!M372="Sí",'DATOS'!M372="No",'DATOS'!M372="Por confirmar")),NOT(OR(LEN(TRIM('DATOS'!O372&amp;""))=0,'DATOS'!O372="Comparamos",'DATOS'!O372="No existe",'DATOS'!O372="Por confirmar"))),2,IF(AND(OR('DATOS'!G372&lt;0,'DATOS'!H372&lt;0,'DATOS'!J372&lt;0),NOT(AND(LEN(TRIM('DATOS'!L372&amp;""))&gt;0,TRIM('DATOS'!L372&amp;"")&lt;&gt;"Pendiente",TRIM('DATOS'!L372&amp;"")&lt;&gt;"Por confirmar",TRIM('DATOS'!L372&amp;"")&lt;&gt;"No consta",TRIM('DATOS'!L372&amp;"")&lt;&gt;"Desconocido",TRIM('DATOS'!L372&amp;"")&lt;&gt;"Sin confirmar",TRIM('DATOS'!L372&amp;"")&lt;&gt;"Por decidir",TRIM('DATOS'!L372&amp;"")&lt;&gt;"Por comprobar"))),1,0))),2)</f>
      </c>
      <c r="P372" s="29">
        <f>IFERROR(IF(N372=0,"",IF(NOT(Y372=1),1,IF('REFERENCIAS'!$Q$8&lt;&gt;1,2,IF(ABS('DATOS'!J372-ROUND('DATOS'!G372*'DATOS'!H372,'REFERENCIAS'!$K$8))&gt;0.00000001,2,IF('DATOS'!O372="No existe",IF(LEN(TRIM('DATOS'!I372&amp;""))=0,0,2),IF('DATOS'!O372="Comparamos",IF(LEN(TRIM('DATOS'!I372&amp;""))=0,1,IF(ISNUMBER('DATOS'!I372),IF(ABS('DATOS'!H372-'DATOS'!I372)&gt;0.00000001,2,0),2)),1)))))),2)</f>
      </c>
      <c r="Q372" s="29">
        <f>IFERROR(IF(N372=0,"",IF(NOT(Y372=1),1,IF('DATOS'!K372="Sin valorar",2,IF('DATOS'!G372=0,1,IF(OR('DATOS'!H372=0,'DATOS'!J372=0),IF(AND(OR('DATOS'!K372="Sin coste documentado",'DATOS'!K372="Incluido en otra partida"),AND(LEN(TRIM('DATOS'!L372&amp;""))&gt;0,TRIM('DATOS'!L372&amp;"")&lt;&gt;"Pendiente",TRIM('DATOS'!L372&amp;"")&lt;&gt;"Por confirmar",TRIM('DATOS'!L372&amp;"")&lt;&gt;"No consta",TRIM('DATOS'!L372&amp;"")&lt;&gt;"Desconocido",TRIM('DATOS'!L372&amp;"")&lt;&gt;"Sin confirmar",TRIM('DATOS'!L372&amp;"")&lt;&gt;"Por decidir",TRIM('DATOS'!L372&amp;"")&lt;&gt;"Por comprobar")),0,1),0))))),2)</f>
      </c>
      <c r="R372" s="29">
        <f>IFERROR(IF(N372=0,"",IF(OR(NOT(AND(LEN(TRIM('DATOS'!D372&amp;""))&gt;0,TRIM('DATOS'!D372&amp;"")&lt;&gt;"Pendiente",TRIM('DATOS'!D372&amp;"")&lt;&gt;"Por confirmar",TRIM('DATOS'!D372&amp;"")&lt;&gt;"No consta",TRIM('DATOS'!D372&amp;"")&lt;&gt;"Desconocido",TRIM('DATOS'!D372&amp;"")&lt;&gt;"Sin confirmar",TRIM('DATOS'!D372&amp;"")&lt;&gt;"Por decidir",TRIM('DATOS'!D372&amp;"")&lt;&gt;"Por comprobar")),NOT(AND(LEN(TRIM('DATOS'!E372&amp;""))&gt;0,TRIM('DATOS'!E372&amp;"")&lt;&gt;"Pendiente",TRIM('DATOS'!E372&amp;"")&lt;&gt;"Por confirmar",TRIM('DATOS'!E372&amp;"")&lt;&gt;"No consta",TRIM('DATOS'!E372&amp;"")&lt;&gt;"Desconocido",TRIM('DATOS'!E372&amp;"")&lt;&gt;"Sin confirmar",TRIM('DATOS'!E372&amp;"")&lt;&gt;"Por decidir",TRIM('DATOS'!E372&amp;"")&lt;&gt;"Por comprobar"))),2,IF('DATOS'!M372="No",2,IF('DATOS'!M372="Sí",0,IF(OR('DATOS'!D372&lt;&gt;'DATOS'!E372,LEN('DATOS'!E372)&gt;300,RIGHT(TRIM('DATOS'!E372),3)="...",RIGHT(TRIM('DATOS'!E372),1)="…"),1,0))))),2)</f>
      </c>
      <c r="S372" s="29">
        <f>IFERROR(IF(N372=0,"",IF('REFERENCIAS'!$Q$8&lt;&gt;1,2,IF(NOT(Y372=1),1,IF(OR(ABS('DATOS'!G372-ROUND('DATOS'!G372,'REFERENCIAS'!$E$8))&gt;0.00000001,ABS('DATOS'!H372-ROUND('DATOS'!H372,'REFERENCIAS'!$H$8))&gt;0.00000001,ABS('DATOS'!J372-ROUND('DATOS'!J372,'REFERENCIAS'!$K$8))&gt;0.00000001,IF(ISNUMBER('DATOS'!I372),ABS('DATOS'!I372-ROUND('DATOS'!I372,'REFERENCIAS'!$H$8))&gt;0.00000001,FALSE)),1,0)))),2)</f>
      </c>
      <c r="T372" s="29">
        <f>IFERROR(IF(N372=0,"",IF(NOT(AND(LEN(TRIM('DATOS'!F372&amp;""))&gt;0,TRIM('DATOS'!F372&amp;"")&lt;&gt;"Pendiente",TRIM('DATOS'!F372&amp;"")&lt;&gt;"Por confirmar",TRIM('DATOS'!F372&amp;"")&lt;&gt;"No consta",TRIM('DATOS'!F372&amp;"")&lt;&gt;"Desconocido",TRIM('DATOS'!F372&amp;"")&lt;&gt;"Sin confirmar",TRIM('DATOS'!F372&amp;"")&lt;&gt;"Por decidir",TRIM('DATOS'!F372&amp;"")&lt;&gt;"Por comprobar")),2,IF(COUNTIFS('REFERENCIAS'!$T$15:$T$34,"ID:"&amp;SUBSTITUTE(SUBSTITUTE(SUBSTITUTE(SUBSTITUTE(UPPER(TRIM('DATOS'!F372&amp;"")),"!","!E"),"*","!A"),"?","!B"),"~","!C"),'REFERENCIAS'!$H$15:$H$34,"&lt;&gt;")&gt;0,0,1))),2)</f>
      </c>
      <c r="U372" s="29" t="str">
        <f>'DATOS'!R372</f>
        <v>ID:</v>
      </c>
      <c r="V372" s="29" t="str">
        <f>'DATOS'!S372</f>
        <v>ID:</v>
      </c>
      <c r="W372" s="29" t="n">
        <f>IF(N372=0,0,COUNTIFS('REFERENCIAS'!$R$15:$R$64,U372))</f>
        <v>0</v>
      </c>
      <c r="X372" s="29" t="n">
        <f>IF(N372=0,0,COUNTIFS('DATOS'!$R$10:$R$509,U372,'DATOS'!$S$10:$S$509,V372))</f>
        <v>0</v>
      </c>
      <c r="Y372" s="29" t="n">
        <f>IF(AND(ISNUMBER('DATOS'!G372),ISNUMBER('DATOS'!H372),ISNUMBER('DATOS'!J372)),1,0)</f>
        <v>0</v>
      </c>
    </row>
    <row r="373" ht="64" customHeight="1">
      <c r="B373" s="26">
        <f>IF(N373=1,364,"")</f>
      </c>
      <c r="C373" s="26">
        <f>IF(AND(N373=1,LEN(TRIM('DATOS'!B373&amp;""))&gt;0),'DATOS'!B373,"")</f>
      </c>
      <c r="D373" s="26">
        <f>IF(AND(N373=1,LEN(TRIM('DATOS'!C373&amp;""))&gt;0),'DATOS'!C373,"")</f>
      </c>
      <c r="E373" s="26">
        <f>IF(NOT(ISNUMBER(P373)),"",IF(P373=2,"ROJO",IF(P373=1,"ÁMBAR","VERDE")))</f>
      </c>
      <c r="F373" s="26">
        <f>IF(NOT(ISNUMBER(Q373)),"",IF(Q373=2,"ROJO",IF(Q373=1,"ÁMBAR","VERDE")))</f>
      </c>
      <c r="G373" s="26">
        <f>IF(NOT(ISNUMBER(R373)),"",IF(R373=2,"ROJO",IF(R373=1,"ÁMBAR","VERDE")))</f>
      </c>
      <c r="H373" s="26">
        <f>IF(NOT(ISNUMBER(S373)),"",IF(S373=2,"ROJO",IF(S373=1,"ÁMBAR","VERDE")))</f>
      </c>
      <c r="I373" s="26">
        <f>IF(NOT(ISNUMBER(T373)),"",IF(T373=2,"ROJO",IF(T373=1,"ÁMBAR","VERDE")))</f>
      </c>
      <c r="J373" s="26">
        <f>IF(NOT(ISNUMBER(O373)),"",IF(O373=2,"ROJO",IF(O373=1,"ÁMBAR","VERDE")))</f>
      </c>
      <c r="K373" s="26">
        <f>IFERROR(IF(AND(N373=1,LEN(TRIM('DATOS'!N373&amp;""))&gt;0),'DATOS'!N373,""),"Hay una entrada con error. Corregimos el dato antes de cerrar la comprobación.")</f>
      </c>
      <c r="L373" s="26">
        <f>IFERROR(IF(N373=0,"",IF(O373&gt;0,"Completamos datos, claves o motivo. ","")&amp;IF(P373&gt;0,"Cotejamos precios e importe. ","")&amp;IF(Q373&gt;0,"Aclaramos el cero. ","")&amp;IF(R373&gt;0,"Comprobamos el texto. ","")&amp;IF(S373&gt;0,"Revisamos decimales visibles. ","")&amp;IF(T373&gt;0,"Confirmamos la unidad.","")),"Hay una entrada con error. Corregimos el dato antes de cerrar la comprobación.")</f>
      </c>
      <c r="N373" s="29" t="n">
        <f>IF(COUNTA('DATOS'!B373:O373)&gt;0,1,0)</f>
        <v>0</v>
      </c>
      <c r="O373" s="29">
        <f>IFERROR(IF(N373=0,"",IF(OR(NOT(AND(LEN(TRIM('DATOS'!B373&amp;""))&gt;0,TRIM('DATOS'!B373&amp;"")&lt;&gt;"Pendiente",TRIM('DATOS'!B373&amp;"")&lt;&gt;"Por confirmar",TRIM('DATOS'!B373&amp;"")&lt;&gt;"No consta",TRIM('DATOS'!B373&amp;"")&lt;&gt;"Desconocido",TRIM('DATOS'!B373&amp;"")&lt;&gt;"Sin confirmar",TRIM('DATOS'!B373&amp;"")&lt;&gt;"Por decidir",TRIM('DATOS'!B373&amp;"")&lt;&gt;"Por comprobar")),NOT(AND(LEN(TRIM('DATOS'!C373&amp;""))&gt;0,TRIM('DATOS'!C373&amp;"")&lt;&gt;"Pendiente",TRIM('DATOS'!C373&amp;"")&lt;&gt;"Por confirmar",TRIM('DATOS'!C373&amp;"")&lt;&gt;"No consta",TRIM('DATOS'!C373&amp;"")&lt;&gt;"Desconocido",TRIM('DATOS'!C373&amp;"")&lt;&gt;"Sin confirmar",TRIM('DATOS'!C373&amp;"")&lt;&gt;"Por decidir",TRIM('DATOS'!C373&amp;"")&lt;&gt;"Por comprobar")),NOT(AND(LEN(TRIM('DATOS'!D373&amp;""))&gt;0,TRIM('DATOS'!D373&amp;"")&lt;&gt;"Pendiente",TRIM('DATOS'!D373&amp;"")&lt;&gt;"Por confirmar",TRIM('DATOS'!D373&amp;"")&lt;&gt;"No consta",TRIM('DATOS'!D373&amp;"")&lt;&gt;"Desconocido",TRIM('DATOS'!D373&amp;"")&lt;&gt;"Sin confirmar",TRIM('DATOS'!D373&amp;"")&lt;&gt;"Por decidir",TRIM('DATOS'!D373&amp;"")&lt;&gt;"Por comprobar")),NOT(AND(LEN(TRIM('DATOS'!E373&amp;""))&gt;0,TRIM('DATOS'!E373&amp;"")&lt;&gt;"Pendiente",TRIM('DATOS'!E373&amp;"")&lt;&gt;"Por confirmar",TRIM('DATOS'!E373&amp;"")&lt;&gt;"No consta",TRIM('DATOS'!E373&amp;"")&lt;&gt;"Desconocido",TRIM('DATOS'!E373&amp;"")&lt;&gt;"Sin confirmar",TRIM('DATOS'!E373&amp;"")&lt;&gt;"Por decidir",TRIM('DATOS'!E373&amp;"")&lt;&gt;"Por comprobar")),NOT(AND(LEN(TRIM('DATOS'!F373&amp;""))&gt;0,TRIM('DATOS'!F373&amp;"")&lt;&gt;"Pendiente",TRIM('DATOS'!F373&amp;"")&lt;&gt;"Por confirmar",TRIM('DATOS'!F373&amp;"")&lt;&gt;"No consta",TRIM('DATOS'!F373&amp;"")&lt;&gt;"Desconocido",TRIM('DATOS'!F373&amp;"")&lt;&gt;"Sin confirmar",TRIM('DATOS'!F373&amp;"")&lt;&gt;"Por decidir",TRIM('DATOS'!F373&amp;"")&lt;&gt;"Por comprobar")),NOT(AND(LEN(TRIM('DATOS'!N373&amp;""))&gt;0,TRIM('DATOS'!N373&amp;"")&lt;&gt;"Pendiente",TRIM('DATOS'!N373&amp;"")&lt;&gt;"Por confirmar",TRIM('DATOS'!N373&amp;"")&lt;&gt;"No consta",TRIM('DATOS'!N373&amp;"")&lt;&gt;"Desconocido",TRIM('DATOS'!N373&amp;"")&lt;&gt;"Sin confirmar",TRIM('DATOS'!N373&amp;"")&lt;&gt;"Por decidir",TRIM('DATOS'!N373&amp;"")&lt;&gt;"Por comprobar")),NOT(Y373=1),W373&lt;&gt;1,X373&gt;1,NOT(OR(LEN(TRIM('DATOS'!K373&amp;""))=0,'DATOS'!K373="Sin valorar",'DATOS'!K373="Sin coste documentado",'DATOS'!K373="Incluido en otra partida",'DATOS'!K373="Por confirmar")),NOT(OR(LEN(TRIM('DATOS'!M373&amp;""))=0,'DATOS'!M373="Sí",'DATOS'!M373="No",'DATOS'!M373="Por confirmar")),NOT(OR(LEN(TRIM('DATOS'!O373&amp;""))=0,'DATOS'!O373="Comparamos",'DATOS'!O373="No existe",'DATOS'!O373="Por confirmar"))),2,IF(AND(OR('DATOS'!G373&lt;0,'DATOS'!H373&lt;0,'DATOS'!J373&lt;0),NOT(AND(LEN(TRIM('DATOS'!L373&amp;""))&gt;0,TRIM('DATOS'!L373&amp;"")&lt;&gt;"Pendiente",TRIM('DATOS'!L373&amp;"")&lt;&gt;"Por confirmar",TRIM('DATOS'!L373&amp;"")&lt;&gt;"No consta",TRIM('DATOS'!L373&amp;"")&lt;&gt;"Desconocido",TRIM('DATOS'!L373&amp;"")&lt;&gt;"Sin confirmar",TRIM('DATOS'!L373&amp;"")&lt;&gt;"Por decidir",TRIM('DATOS'!L373&amp;"")&lt;&gt;"Por comprobar"))),1,0))),2)</f>
      </c>
      <c r="P373" s="29">
        <f>IFERROR(IF(N373=0,"",IF(NOT(Y373=1),1,IF('REFERENCIAS'!$Q$8&lt;&gt;1,2,IF(ABS('DATOS'!J373-ROUND('DATOS'!G373*'DATOS'!H373,'REFERENCIAS'!$K$8))&gt;0.00000001,2,IF('DATOS'!O373="No existe",IF(LEN(TRIM('DATOS'!I373&amp;""))=0,0,2),IF('DATOS'!O373="Comparamos",IF(LEN(TRIM('DATOS'!I373&amp;""))=0,1,IF(ISNUMBER('DATOS'!I373),IF(ABS('DATOS'!H373-'DATOS'!I373)&gt;0.00000001,2,0),2)),1)))))),2)</f>
      </c>
      <c r="Q373" s="29">
        <f>IFERROR(IF(N373=0,"",IF(NOT(Y373=1),1,IF('DATOS'!K373="Sin valorar",2,IF('DATOS'!G373=0,1,IF(OR('DATOS'!H373=0,'DATOS'!J373=0),IF(AND(OR('DATOS'!K373="Sin coste documentado",'DATOS'!K373="Incluido en otra partida"),AND(LEN(TRIM('DATOS'!L373&amp;""))&gt;0,TRIM('DATOS'!L373&amp;"")&lt;&gt;"Pendiente",TRIM('DATOS'!L373&amp;"")&lt;&gt;"Por confirmar",TRIM('DATOS'!L373&amp;"")&lt;&gt;"No consta",TRIM('DATOS'!L373&amp;"")&lt;&gt;"Desconocido",TRIM('DATOS'!L373&amp;"")&lt;&gt;"Sin confirmar",TRIM('DATOS'!L373&amp;"")&lt;&gt;"Por decidir",TRIM('DATOS'!L373&amp;"")&lt;&gt;"Por comprobar")),0,1),0))))),2)</f>
      </c>
      <c r="R373" s="29">
        <f>IFERROR(IF(N373=0,"",IF(OR(NOT(AND(LEN(TRIM('DATOS'!D373&amp;""))&gt;0,TRIM('DATOS'!D373&amp;"")&lt;&gt;"Pendiente",TRIM('DATOS'!D373&amp;"")&lt;&gt;"Por confirmar",TRIM('DATOS'!D373&amp;"")&lt;&gt;"No consta",TRIM('DATOS'!D373&amp;"")&lt;&gt;"Desconocido",TRIM('DATOS'!D373&amp;"")&lt;&gt;"Sin confirmar",TRIM('DATOS'!D373&amp;"")&lt;&gt;"Por decidir",TRIM('DATOS'!D373&amp;"")&lt;&gt;"Por comprobar")),NOT(AND(LEN(TRIM('DATOS'!E373&amp;""))&gt;0,TRIM('DATOS'!E373&amp;"")&lt;&gt;"Pendiente",TRIM('DATOS'!E373&amp;"")&lt;&gt;"Por confirmar",TRIM('DATOS'!E373&amp;"")&lt;&gt;"No consta",TRIM('DATOS'!E373&amp;"")&lt;&gt;"Desconocido",TRIM('DATOS'!E373&amp;"")&lt;&gt;"Sin confirmar",TRIM('DATOS'!E373&amp;"")&lt;&gt;"Por decidir",TRIM('DATOS'!E373&amp;"")&lt;&gt;"Por comprobar"))),2,IF('DATOS'!M373="No",2,IF('DATOS'!M373="Sí",0,IF(OR('DATOS'!D373&lt;&gt;'DATOS'!E373,LEN('DATOS'!E373)&gt;300,RIGHT(TRIM('DATOS'!E373),3)="...",RIGHT(TRIM('DATOS'!E373),1)="…"),1,0))))),2)</f>
      </c>
      <c r="S373" s="29">
        <f>IFERROR(IF(N373=0,"",IF('REFERENCIAS'!$Q$8&lt;&gt;1,2,IF(NOT(Y373=1),1,IF(OR(ABS('DATOS'!G373-ROUND('DATOS'!G373,'REFERENCIAS'!$E$8))&gt;0.00000001,ABS('DATOS'!H373-ROUND('DATOS'!H373,'REFERENCIAS'!$H$8))&gt;0.00000001,ABS('DATOS'!J373-ROUND('DATOS'!J373,'REFERENCIAS'!$K$8))&gt;0.00000001,IF(ISNUMBER('DATOS'!I373),ABS('DATOS'!I373-ROUND('DATOS'!I373,'REFERENCIAS'!$H$8))&gt;0.00000001,FALSE)),1,0)))),2)</f>
      </c>
      <c r="T373" s="29">
        <f>IFERROR(IF(N373=0,"",IF(NOT(AND(LEN(TRIM('DATOS'!F373&amp;""))&gt;0,TRIM('DATOS'!F373&amp;"")&lt;&gt;"Pendiente",TRIM('DATOS'!F373&amp;"")&lt;&gt;"Por confirmar",TRIM('DATOS'!F373&amp;"")&lt;&gt;"No consta",TRIM('DATOS'!F373&amp;"")&lt;&gt;"Desconocido",TRIM('DATOS'!F373&amp;"")&lt;&gt;"Sin confirmar",TRIM('DATOS'!F373&amp;"")&lt;&gt;"Por decidir",TRIM('DATOS'!F373&amp;"")&lt;&gt;"Por comprobar")),2,IF(COUNTIFS('REFERENCIAS'!$T$15:$T$34,"ID:"&amp;SUBSTITUTE(SUBSTITUTE(SUBSTITUTE(SUBSTITUTE(UPPER(TRIM('DATOS'!F373&amp;"")),"!","!E"),"*","!A"),"?","!B"),"~","!C"),'REFERENCIAS'!$H$15:$H$34,"&lt;&gt;")&gt;0,0,1))),2)</f>
      </c>
      <c r="U373" s="29" t="str">
        <f>'DATOS'!R373</f>
        <v>ID:</v>
      </c>
      <c r="V373" s="29" t="str">
        <f>'DATOS'!S373</f>
        <v>ID:</v>
      </c>
      <c r="W373" s="29" t="n">
        <f>IF(N373=0,0,COUNTIFS('REFERENCIAS'!$R$15:$R$64,U373))</f>
        <v>0</v>
      </c>
      <c r="X373" s="29" t="n">
        <f>IF(N373=0,0,COUNTIFS('DATOS'!$R$10:$R$509,U373,'DATOS'!$S$10:$S$509,V373))</f>
        <v>0</v>
      </c>
      <c r="Y373" s="29" t="n">
        <f>IF(AND(ISNUMBER('DATOS'!G373),ISNUMBER('DATOS'!H373),ISNUMBER('DATOS'!J373)),1,0)</f>
        <v>0</v>
      </c>
    </row>
    <row r="374" ht="64" customHeight="1">
      <c r="B374" s="26">
        <f>IF(N374=1,365,"")</f>
      </c>
      <c r="C374" s="26">
        <f>IF(AND(N374=1,LEN(TRIM('DATOS'!B374&amp;""))&gt;0),'DATOS'!B374,"")</f>
      </c>
      <c r="D374" s="26">
        <f>IF(AND(N374=1,LEN(TRIM('DATOS'!C374&amp;""))&gt;0),'DATOS'!C374,"")</f>
      </c>
      <c r="E374" s="26">
        <f>IF(NOT(ISNUMBER(P374)),"",IF(P374=2,"ROJO",IF(P374=1,"ÁMBAR","VERDE")))</f>
      </c>
      <c r="F374" s="26">
        <f>IF(NOT(ISNUMBER(Q374)),"",IF(Q374=2,"ROJO",IF(Q374=1,"ÁMBAR","VERDE")))</f>
      </c>
      <c r="G374" s="26">
        <f>IF(NOT(ISNUMBER(R374)),"",IF(R374=2,"ROJO",IF(R374=1,"ÁMBAR","VERDE")))</f>
      </c>
      <c r="H374" s="26">
        <f>IF(NOT(ISNUMBER(S374)),"",IF(S374=2,"ROJO",IF(S374=1,"ÁMBAR","VERDE")))</f>
      </c>
      <c r="I374" s="26">
        <f>IF(NOT(ISNUMBER(T374)),"",IF(T374=2,"ROJO",IF(T374=1,"ÁMBAR","VERDE")))</f>
      </c>
      <c r="J374" s="26">
        <f>IF(NOT(ISNUMBER(O374)),"",IF(O374=2,"ROJO",IF(O374=1,"ÁMBAR","VERDE")))</f>
      </c>
      <c r="K374" s="26">
        <f>IFERROR(IF(AND(N374=1,LEN(TRIM('DATOS'!N374&amp;""))&gt;0),'DATOS'!N374,""),"Hay una entrada con error. Corregimos el dato antes de cerrar la comprobación.")</f>
      </c>
      <c r="L374" s="26">
        <f>IFERROR(IF(N374=0,"",IF(O374&gt;0,"Completamos datos, claves o motivo. ","")&amp;IF(P374&gt;0,"Cotejamos precios e importe. ","")&amp;IF(Q374&gt;0,"Aclaramos el cero. ","")&amp;IF(R374&gt;0,"Comprobamos el texto. ","")&amp;IF(S374&gt;0,"Revisamos decimales visibles. ","")&amp;IF(T374&gt;0,"Confirmamos la unidad.","")),"Hay una entrada con error. Corregimos el dato antes de cerrar la comprobación.")</f>
      </c>
      <c r="N374" s="29" t="n">
        <f>IF(COUNTA('DATOS'!B374:O374)&gt;0,1,0)</f>
        <v>0</v>
      </c>
      <c r="O374" s="29">
        <f>IFERROR(IF(N374=0,"",IF(OR(NOT(AND(LEN(TRIM('DATOS'!B374&amp;""))&gt;0,TRIM('DATOS'!B374&amp;"")&lt;&gt;"Pendiente",TRIM('DATOS'!B374&amp;"")&lt;&gt;"Por confirmar",TRIM('DATOS'!B374&amp;"")&lt;&gt;"No consta",TRIM('DATOS'!B374&amp;"")&lt;&gt;"Desconocido",TRIM('DATOS'!B374&amp;"")&lt;&gt;"Sin confirmar",TRIM('DATOS'!B374&amp;"")&lt;&gt;"Por decidir",TRIM('DATOS'!B374&amp;"")&lt;&gt;"Por comprobar")),NOT(AND(LEN(TRIM('DATOS'!C374&amp;""))&gt;0,TRIM('DATOS'!C374&amp;"")&lt;&gt;"Pendiente",TRIM('DATOS'!C374&amp;"")&lt;&gt;"Por confirmar",TRIM('DATOS'!C374&amp;"")&lt;&gt;"No consta",TRIM('DATOS'!C374&amp;"")&lt;&gt;"Desconocido",TRIM('DATOS'!C374&amp;"")&lt;&gt;"Sin confirmar",TRIM('DATOS'!C374&amp;"")&lt;&gt;"Por decidir",TRIM('DATOS'!C374&amp;"")&lt;&gt;"Por comprobar")),NOT(AND(LEN(TRIM('DATOS'!D374&amp;""))&gt;0,TRIM('DATOS'!D374&amp;"")&lt;&gt;"Pendiente",TRIM('DATOS'!D374&amp;"")&lt;&gt;"Por confirmar",TRIM('DATOS'!D374&amp;"")&lt;&gt;"No consta",TRIM('DATOS'!D374&amp;"")&lt;&gt;"Desconocido",TRIM('DATOS'!D374&amp;"")&lt;&gt;"Sin confirmar",TRIM('DATOS'!D374&amp;"")&lt;&gt;"Por decidir",TRIM('DATOS'!D374&amp;"")&lt;&gt;"Por comprobar")),NOT(AND(LEN(TRIM('DATOS'!E374&amp;""))&gt;0,TRIM('DATOS'!E374&amp;"")&lt;&gt;"Pendiente",TRIM('DATOS'!E374&amp;"")&lt;&gt;"Por confirmar",TRIM('DATOS'!E374&amp;"")&lt;&gt;"No consta",TRIM('DATOS'!E374&amp;"")&lt;&gt;"Desconocido",TRIM('DATOS'!E374&amp;"")&lt;&gt;"Sin confirmar",TRIM('DATOS'!E374&amp;"")&lt;&gt;"Por decidir",TRIM('DATOS'!E374&amp;"")&lt;&gt;"Por comprobar")),NOT(AND(LEN(TRIM('DATOS'!F374&amp;""))&gt;0,TRIM('DATOS'!F374&amp;"")&lt;&gt;"Pendiente",TRIM('DATOS'!F374&amp;"")&lt;&gt;"Por confirmar",TRIM('DATOS'!F374&amp;"")&lt;&gt;"No consta",TRIM('DATOS'!F374&amp;"")&lt;&gt;"Desconocido",TRIM('DATOS'!F374&amp;"")&lt;&gt;"Sin confirmar",TRIM('DATOS'!F374&amp;"")&lt;&gt;"Por decidir",TRIM('DATOS'!F374&amp;"")&lt;&gt;"Por comprobar")),NOT(AND(LEN(TRIM('DATOS'!N374&amp;""))&gt;0,TRIM('DATOS'!N374&amp;"")&lt;&gt;"Pendiente",TRIM('DATOS'!N374&amp;"")&lt;&gt;"Por confirmar",TRIM('DATOS'!N374&amp;"")&lt;&gt;"No consta",TRIM('DATOS'!N374&amp;"")&lt;&gt;"Desconocido",TRIM('DATOS'!N374&amp;"")&lt;&gt;"Sin confirmar",TRIM('DATOS'!N374&amp;"")&lt;&gt;"Por decidir",TRIM('DATOS'!N374&amp;"")&lt;&gt;"Por comprobar")),NOT(Y374=1),W374&lt;&gt;1,X374&gt;1,NOT(OR(LEN(TRIM('DATOS'!K374&amp;""))=0,'DATOS'!K374="Sin valorar",'DATOS'!K374="Sin coste documentado",'DATOS'!K374="Incluido en otra partida",'DATOS'!K374="Por confirmar")),NOT(OR(LEN(TRIM('DATOS'!M374&amp;""))=0,'DATOS'!M374="Sí",'DATOS'!M374="No",'DATOS'!M374="Por confirmar")),NOT(OR(LEN(TRIM('DATOS'!O374&amp;""))=0,'DATOS'!O374="Comparamos",'DATOS'!O374="No existe",'DATOS'!O374="Por confirmar"))),2,IF(AND(OR('DATOS'!G374&lt;0,'DATOS'!H374&lt;0,'DATOS'!J374&lt;0),NOT(AND(LEN(TRIM('DATOS'!L374&amp;""))&gt;0,TRIM('DATOS'!L374&amp;"")&lt;&gt;"Pendiente",TRIM('DATOS'!L374&amp;"")&lt;&gt;"Por confirmar",TRIM('DATOS'!L374&amp;"")&lt;&gt;"No consta",TRIM('DATOS'!L374&amp;"")&lt;&gt;"Desconocido",TRIM('DATOS'!L374&amp;"")&lt;&gt;"Sin confirmar",TRIM('DATOS'!L374&amp;"")&lt;&gt;"Por decidir",TRIM('DATOS'!L374&amp;"")&lt;&gt;"Por comprobar"))),1,0))),2)</f>
      </c>
      <c r="P374" s="29">
        <f>IFERROR(IF(N374=0,"",IF(NOT(Y374=1),1,IF('REFERENCIAS'!$Q$8&lt;&gt;1,2,IF(ABS('DATOS'!J374-ROUND('DATOS'!G374*'DATOS'!H374,'REFERENCIAS'!$K$8))&gt;0.00000001,2,IF('DATOS'!O374="No existe",IF(LEN(TRIM('DATOS'!I374&amp;""))=0,0,2),IF('DATOS'!O374="Comparamos",IF(LEN(TRIM('DATOS'!I374&amp;""))=0,1,IF(ISNUMBER('DATOS'!I374),IF(ABS('DATOS'!H374-'DATOS'!I374)&gt;0.00000001,2,0),2)),1)))))),2)</f>
      </c>
      <c r="Q374" s="29">
        <f>IFERROR(IF(N374=0,"",IF(NOT(Y374=1),1,IF('DATOS'!K374="Sin valorar",2,IF('DATOS'!G374=0,1,IF(OR('DATOS'!H374=0,'DATOS'!J374=0),IF(AND(OR('DATOS'!K374="Sin coste documentado",'DATOS'!K374="Incluido en otra partida"),AND(LEN(TRIM('DATOS'!L374&amp;""))&gt;0,TRIM('DATOS'!L374&amp;"")&lt;&gt;"Pendiente",TRIM('DATOS'!L374&amp;"")&lt;&gt;"Por confirmar",TRIM('DATOS'!L374&amp;"")&lt;&gt;"No consta",TRIM('DATOS'!L374&amp;"")&lt;&gt;"Desconocido",TRIM('DATOS'!L374&amp;"")&lt;&gt;"Sin confirmar",TRIM('DATOS'!L374&amp;"")&lt;&gt;"Por decidir",TRIM('DATOS'!L374&amp;"")&lt;&gt;"Por comprobar")),0,1),0))))),2)</f>
      </c>
      <c r="R374" s="29">
        <f>IFERROR(IF(N374=0,"",IF(OR(NOT(AND(LEN(TRIM('DATOS'!D374&amp;""))&gt;0,TRIM('DATOS'!D374&amp;"")&lt;&gt;"Pendiente",TRIM('DATOS'!D374&amp;"")&lt;&gt;"Por confirmar",TRIM('DATOS'!D374&amp;"")&lt;&gt;"No consta",TRIM('DATOS'!D374&amp;"")&lt;&gt;"Desconocido",TRIM('DATOS'!D374&amp;"")&lt;&gt;"Sin confirmar",TRIM('DATOS'!D374&amp;"")&lt;&gt;"Por decidir",TRIM('DATOS'!D374&amp;"")&lt;&gt;"Por comprobar")),NOT(AND(LEN(TRIM('DATOS'!E374&amp;""))&gt;0,TRIM('DATOS'!E374&amp;"")&lt;&gt;"Pendiente",TRIM('DATOS'!E374&amp;"")&lt;&gt;"Por confirmar",TRIM('DATOS'!E374&amp;"")&lt;&gt;"No consta",TRIM('DATOS'!E374&amp;"")&lt;&gt;"Desconocido",TRIM('DATOS'!E374&amp;"")&lt;&gt;"Sin confirmar",TRIM('DATOS'!E374&amp;"")&lt;&gt;"Por decidir",TRIM('DATOS'!E374&amp;"")&lt;&gt;"Por comprobar"))),2,IF('DATOS'!M374="No",2,IF('DATOS'!M374="Sí",0,IF(OR('DATOS'!D374&lt;&gt;'DATOS'!E374,LEN('DATOS'!E374)&gt;300,RIGHT(TRIM('DATOS'!E374),3)="...",RIGHT(TRIM('DATOS'!E374),1)="…"),1,0))))),2)</f>
      </c>
      <c r="S374" s="29">
        <f>IFERROR(IF(N374=0,"",IF('REFERENCIAS'!$Q$8&lt;&gt;1,2,IF(NOT(Y374=1),1,IF(OR(ABS('DATOS'!G374-ROUND('DATOS'!G374,'REFERENCIAS'!$E$8))&gt;0.00000001,ABS('DATOS'!H374-ROUND('DATOS'!H374,'REFERENCIAS'!$H$8))&gt;0.00000001,ABS('DATOS'!J374-ROUND('DATOS'!J374,'REFERENCIAS'!$K$8))&gt;0.00000001,IF(ISNUMBER('DATOS'!I374),ABS('DATOS'!I374-ROUND('DATOS'!I374,'REFERENCIAS'!$H$8))&gt;0.00000001,FALSE)),1,0)))),2)</f>
      </c>
      <c r="T374" s="29">
        <f>IFERROR(IF(N374=0,"",IF(NOT(AND(LEN(TRIM('DATOS'!F374&amp;""))&gt;0,TRIM('DATOS'!F374&amp;"")&lt;&gt;"Pendiente",TRIM('DATOS'!F374&amp;"")&lt;&gt;"Por confirmar",TRIM('DATOS'!F374&amp;"")&lt;&gt;"No consta",TRIM('DATOS'!F374&amp;"")&lt;&gt;"Desconocido",TRIM('DATOS'!F374&amp;"")&lt;&gt;"Sin confirmar",TRIM('DATOS'!F374&amp;"")&lt;&gt;"Por decidir",TRIM('DATOS'!F374&amp;"")&lt;&gt;"Por comprobar")),2,IF(COUNTIFS('REFERENCIAS'!$T$15:$T$34,"ID:"&amp;SUBSTITUTE(SUBSTITUTE(SUBSTITUTE(SUBSTITUTE(UPPER(TRIM('DATOS'!F374&amp;"")),"!","!E"),"*","!A"),"?","!B"),"~","!C"),'REFERENCIAS'!$H$15:$H$34,"&lt;&gt;")&gt;0,0,1))),2)</f>
      </c>
      <c r="U374" s="29" t="str">
        <f>'DATOS'!R374</f>
        <v>ID:</v>
      </c>
      <c r="V374" s="29" t="str">
        <f>'DATOS'!S374</f>
        <v>ID:</v>
      </c>
      <c r="W374" s="29" t="n">
        <f>IF(N374=0,0,COUNTIFS('REFERENCIAS'!$R$15:$R$64,U374))</f>
        <v>0</v>
      </c>
      <c r="X374" s="29" t="n">
        <f>IF(N374=0,0,COUNTIFS('DATOS'!$R$10:$R$509,U374,'DATOS'!$S$10:$S$509,V374))</f>
        <v>0</v>
      </c>
      <c r="Y374" s="29" t="n">
        <f>IF(AND(ISNUMBER('DATOS'!G374),ISNUMBER('DATOS'!H374),ISNUMBER('DATOS'!J374)),1,0)</f>
        <v>0</v>
      </c>
    </row>
    <row r="375" ht="64" customHeight="1">
      <c r="B375" s="26">
        <f>IF(N375=1,366,"")</f>
      </c>
      <c r="C375" s="26">
        <f>IF(AND(N375=1,LEN(TRIM('DATOS'!B375&amp;""))&gt;0),'DATOS'!B375,"")</f>
      </c>
      <c r="D375" s="26">
        <f>IF(AND(N375=1,LEN(TRIM('DATOS'!C375&amp;""))&gt;0),'DATOS'!C375,"")</f>
      </c>
      <c r="E375" s="26">
        <f>IF(NOT(ISNUMBER(P375)),"",IF(P375=2,"ROJO",IF(P375=1,"ÁMBAR","VERDE")))</f>
      </c>
      <c r="F375" s="26">
        <f>IF(NOT(ISNUMBER(Q375)),"",IF(Q375=2,"ROJO",IF(Q375=1,"ÁMBAR","VERDE")))</f>
      </c>
      <c r="G375" s="26">
        <f>IF(NOT(ISNUMBER(R375)),"",IF(R375=2,"ROJO",IF(R375=1,"ÁMBAR","VERDE")))</f>
      </c>
      <c r="H375" s="26">
        <f>IF(NOT(ISNUMBER(S375)),"",IF(S375=2,"ROJO",IF(S375=1,"ÁMBAR","VERDE")))</f>
      </c>
      <c r="I375" s="26">
        <f>IF(NOT(ISNUMBER(T375)),"",IF(T375=2,"ROJO",IF(T375=1,"ÁMBAR","VERDE")))</f>
      </c>
      <c r="J375" s="26">
        <f>IF(NOT(ISNUMBER(O375)),"",IF(O375=2,"ROJO",IF(O375=1,"ÁMBAR","VERDE")))</f>
      </c>
      <c r="K375" s="26">
        <f>IFERROR(IF(AND(N375=1,LEN(TRIM('DATOS'!N375&amp;""))&gt;0),'DATOS'!N375,""),"Hay una entrada con error. Corregimos el dato antes de cerrar la comprobación.")</f>
      </c>
      <c r="L375" s="26">
        <f>IFERROR(IF(N375=0,"",IF(O375&gt;0,"Completamos datos, claves o motivo. ","")&amp;IF(P375&gt;0,"Cotejamos precios e importe. ","")&amp;IF(Q375&gt;0,"Aclaramos el cero. ","")&amp;IF(R375&gt;0,"Comprobamos el texto. ","")&amp;IF(S375&gt;0,"Revisamos decimales visibles. ","")&amp;IF(T375&gt;0,"Confirmamos la unidad.","")),"Hay una entrada con error. Corregimos el dato antes de cerrar la comprobación.")</f>
      </c>
      <c r="N375" s="29" t="n">
        <f>IF(COUNTA('DATOS'!B375:O375)&gt;0,1,0)</f>
        <v>0</v>
      </c>
      <c r="O375" s="29">
        <f>IFERROR(IF(N375=0,"",IF(OR(NOT(AND(LEN(TRIM('DATOS'!B375&amp;""))&gt;0,TRIM('DATOS'!B375&amp;"")&lt;&gt;"Pendiente",TRIM('DATOS'!B375&amp;"")&lt;&gt;"Por confirmar",TRIM('DATOS'!B375&amp;"")&lt;&gt;"No consta",TRIM('DATOS'!B375&amp;"")&lt;&gt;"Desconocido",TRIM('DATOS'!B375&amp;"")&lt;&gt;"Sin confirmar",TRIM('DATOS'!B375&amp;"")&lt;&gt;"Por decidir",TRIM('DATOS'!B375&amp;"")&lt;&gt;"Por comprobar")),NOT(AND(LEN(TRIM('DATOS'!C375&amp;""))&gt;0,TRIM('DATOS'!C375&amp;"")&lt;&gt;"Pendiente",TRIM('DATOS'!C375&amp;"")&lt;&gt;"Por confirmar",TRIM('DATOS'!C375&amp;"")&lt;&gt;"No consta",TRIM('DATOS'!C375&amp;"")&lt;&gt;"Desconocido",TRIM('DATOS'!C375&amp;"")&lt;&gt;"Sin confirmar",TRIM('DATOS'!C375&amp;"")&lt;&gt;"Por decidir",TRIM('DATOS'!C375&amp;"")&lt;&gt;"Por comprobar")),NOT(AND(LEN(TRIM('DATOS'!D375&amp;""))&gt;0,TRIM('DATOS'!D375&amp;"")&lt;&gt;"Pendiente",TRIM('DATOS'!D375&amp;"")&lt;&gt;"Por confirmar",TRIM('DATOS'!D375&amp;"")&lt;&gt;"No consta",TRIM('DATOS'!D375&amp;"")&lt;&gt;"Desconocido",TRIM('DATOS'!D375&amp;"")&lt;&gt;"Sin confirmar",TRIM('DATOS'!D375&amp;"")&lt;&gt;"Por decidir",TRIM('DATOS'!D375&amp;"")&lt;&gt;"Por comprobar")),NOT(AND(LEN(TRIM('DATOS'!E375&amp;""))&gt;0,TRIM('DATOS'!E375&amp;"")&lt;&gt;"Pendiente",TRIM('DATOS'!E375&amp;"")&lt;&gt;"Por confirmar",TRIM('DATOS'!E375&amp;"")&lt;&gt;"No consta",TRIM('DATOS'!E375&amp;"")&lt;&gt;"Desconocido",TRIM('DATOS'!E375&amp;"")&lt;&gt;"Sin confirmar",TRIM('DATOS'!E375&amp;"")&lt;&gt;"Por decidir",TRIM('DATOS'!E375&amp;"")&lt;&gt;"Por comprobar")),NOT(AND(LEN(TRIM('DATOS'!F375&amp;""))&gt;0,TRIM('DATOS'!F375&amp;"")&lt;&gt;"Pendiente",TRIM('DATOS'!F375&amp;"")&lt;&gt;"Por confirmar",TRIM('DATOS'!F375&amp;"")&lt;&gt;"No consta",TRIM('DATOS'!F375&amp;"")&lt;&gt;"Desconocido",TRIM('DATOS'!F375&amp;"")&lt;&gt;"Sin confirmar",TRIM('DATOS'!F375&amp;"")&lt;&gt;"Por decidir",TRIM('DATOS'!F375&amp;"")&lt;&gt;"Por comprobar")),NOT(AND(LEN(TRIM('DATOS'!N375&amp;""))&gt;0,TRIM('DATOS'!N375&amp;"")&lt;&gt;"Pendiente",TRIM('DATOS'!N375&amp;"")&lt;&gt;"Por confirmar",TRIM('DATOS'!N375&amp;"")&lt;&gt;"No consta",TRIM('DATOS'!N375&amp;"")&lt;&gt;"Desconocido",TRIM('DATOS'!N375&amp;"")&lt;&gt;"Sin confirmar",TRIM('DATOS'!N375&amp;"")&lt;&gt;"Por decidir",TRIM('DATOS'!N375&amp;"")&lt;&gt;"Por comprobar")),NOT(Y375=1),W375&lt;&gt;1,X375&gt;1,NOT(OR(LEN(TRIM('DATOS'!K375&amp;""))=0,'DATOS'!K375="Sin valorar",'DATOS'!K375="Sin coste documentado",'DATOS'!K375="Incluido en otra partida",'DATOS'!K375="Por confirmar")),NOT(OR(LEN(TRIM('DATOS'!M375&amp;""))=0,'DATOS'!M375="Sí",'DATOS'!M375="No",'DATOS'!M375="Por confirmar")),NOT(OR(LEN(TRIM('DATOS'!O375&amp;""))=0,'DATOS'!O375="Comparamos",'DATOS'!O375="No existe",'DATOS'!O375="Por confirmar"))),2,IF(AND(OR('DATOS'!G375&lt;0,'DATOS'!H375&lt;0,'DATOS'!J375&lt;0),NOT(AND(LEN(TRIM('DATOS'!L375&amp;""))&gt;0,TRIM('DATOS'!L375&amp;"")&lt;&gt;"Pendiente",TRIM('DATOS'!L375&amp;"")&lt;&gt;"Por confirmar",TRIM('DATOS'!L375&amp;"")&lt;&gt;"No consta",TRIM('DATOS'!L375&amp;"")&lt;&gt;"Desconocido",TRIM('DATOS'!L375&amp;"")&lt;&gt;"Sin confirmar",TRIM('DATOS'!L375&amp;"")&lt;&gt;"Por decidir",TRIM('DATOS'!L375&amp;"")&lt;&gt;"Por comprobar"))),1,0))),2)</f>
      </c>
      <c r="P375" s="29">
        <f>IFERROR(IF(N375=0,"",IF(NOT(Y375=1),1,IF('REFERENCIAS'!$Q$8&lt;&gt;1,2,IF(ABS('DATOS'!J375-ROUND('DATOS'!G375*'DATOS'!H375,'REFERENCIAS'!$K$8))&gt;0.00000001,2,IF('DATOS'!O375="No existe",IF(LEN(TRIM('DATOS'!I375&amp;""))=0,0,2),IF('DATOS'!O375="Comparamos",IF(LEN(TRIM('DATOS'!I375&amp;""))=0,1,IF(ISNUMBER('DATOS'!I375),IF(ABS('DATOS'!H375-'DATOS'!I375)&gt;0.00000001,2,0),2)),1)))))),2)</f>
      </c>
      <c r="Q375" s="29">
        <f>IFERROR(IF(N375=0,"",IF(NOT(Y375=1),1,IF('DATOS'!K375="Sin valorar",2,IF('DATOS'!G375=0,1,IF(OR('DATOS'!H375=0,'DATOS'!J375=0),IF(AND(OR('DATOS'!K375="Sin coste documentado",'DATOS'!K375="Incluido en otra partida"),AND(LEN(TRIM('DATOS'!L375&amp;""))&gt;0,TRIM('DATOS'!L375&amp;"")&lt;&gt;"Pendiente",TRIM('DATOS'!L375&amp;"")&lt;&gt;"Por confirmar",TRIM('DATOS'!L375&amp;"")&lt;&gt;"No consta",TRIM('DATOS'!L375&amp;"")&lt;&gt;"Desconocido",TRIM('DATOS'!L375&amp;"")&lt;&gt;"Sin confirmar",TRIM('DATOS'!L375&amp;"")&lt;&gt;"Por decidir",TRIM('DATOS'!L375&amp;"")&lt;&gt;"Por comprobar")),0,1),0))))),2)</f>
      </c>
      <c r="R375" s="29">
        <f>IFERROR(IF(N375=0,"",IF(OR(NOT(AND(LEN(TRIM('DATOS'!D375&amp;""))&gt;0,TRIM('DATOS'!D375&amp;"")&lt;&gt;"Pendiente",TRIM('DATOS'!D375&amp;"")&lt;&gt;"Por confirmar",TRIM('DATOS'!D375&amp;"")&lt;&gt;"No consta",TRIM('DATOS'!D375&amp;"")&lt;&gt;"Desconocido",TRIM('DATOS'!D375&amp;"")&lt;&gt;"Sin confirmar",TRIM('DATOS'!D375&amp;"")&lt;&gt;"Por decidir",TRIM('DATOS'!D375&amp;"")&lt;&gt;"Por comprobar")),NOT(AND(LEN(TRIM('DATOS'!E375&amp;""))&gt;0,TRIM('DATOS'!E375&amp;"")&lt;&gt;"Pendiente",TRIM('DATOS'!E375&amp;"")&lt;&gt;"Por confirmar",TRIM('DATOS'!E375&amp;"")&lt;&gt;"No consta",TRIM('DATOS'!E375&amp;"")&lt;&gt;"Desconocido",TRIM('DATOS'!E375&amp;"")&lt;&gt;"Sin confirmar",TRIM('DATOS'!E375&amp;"")&lt;&gt;"Por decidir",TRIM('DATOS'!E375&amp;"")&lt;&gt;"Por comprobar"))),2,IF('DATOS'!M375="No",2,IF('DATOS'!M375="Sí",0,IF(OR('DATOS'!D375&lt;&gt;'DATOS'!E375,LEN('DATOS'!E375)&gt;300,RIGHT(TRIM('DATOS'!E375),3)="...",RIGHT(TRIM('DATOS'!E375),1)="…"),1,0))))),2)</f>
      </c>
      <c r="S375" s="29">
        <f>IFERROR(IF(N375=0,"",IF('REFERENCIAS'!$Q$8&lt;&gt;1,2,IF(NOT(Y375=1),1,IF(OR(ABS('DATOS'!G375-ROUND('DATOS'!G375,'REFERENCIAS'!$E$8))&gt;0.00000001,ABS('DATOS'!H375-ROUND('DATOS'!H375,'REFERENCIAS'!$H$8))&gt;0.00000001,ABS('DATOS'!J375-ROUND('DATOS'!J375,'REFERENCIAS'!$K$8))&gt;0.00000001,IF(ISNUMBER('DATOS'!I375),ABS('DATOS'!I375-ROUND('DATOS'!I375,'REFERENCIAS'!$H$8))&gt;0.00000001,FALSE)),1,0)))),2)</f>
      </c>
      <c r="T375" s="29">
        <f>IFERROR(IF(N375=0,"",IF(NOT(AND(LEN(TRIM('DATOS'!F375&amp;""))&gt;0,TRIM('DATOS'!F375&amp;"")&lt;&gt;"Pendiente",TRIM('DATOS'!F375&amp;"")&lt;&gt;"Por confirmar",TRIM('DATOS'!F375&amp;"")&lt;&gt;"No consta",TRIM('DATOS'!F375&amp;"")&lt;&gt;"Desconocido",TRIM('DATOS'!F375&amp;"")&lt;&gt;"Sin confirmar",TRIM('DATOS'!F375&amp;"")&lt;&gt;"Por decidir",TRIM('DATOS'!F375&amp;"")&lt;&gt;"Por comprobar")),2,IF(COUNTIFS('REFERENCIAS'!$T$15:$T$34,"ID:"&amp;SUBSTITUTE(SUBSTITUTE(SUBSTITUTE(SUBSTITUTE(UPPER(TRIM('DATOS'!F375&amp;"")),"!","!E"),"*","!A"),"?","!B"),"~","!C"),'REFERENCIAS'!$H$15:$H$34,"&lt;&gt;")&gt;0,0,1))),2)</f>
      </c>
      <c r="U375" s="29" t="str">
        <f>'DATOS'!R375</f>
        <v>ID:</v>
      </c>
      <c r="V375" s="29" t="str">
        <f>'DATOS'!S375</f>
        <v>ID:</v>
      </c>
      <c r="W375" s="29" t="n">
        <f>IF(N375=0,0,COUNTIFS('REFERENCIAS'!$R$15:$R$64,U375))</f>
        <v>0</v>
      </c>
      <c r="X375" s="29" t="n">
        <f>IF(N375=0,0,COUNTIFS('DATOS'!$R$10:$R$509,U375,'DATOS'!$S$10:$S$509,V375))</f>
        <v>0</v>
      </c>
      <c r="Y375" s="29" t="n">
        <f>IF(AND(ISNUMBER('DATOS'!G375),ISNUMBER('DATOS'!H375),ISNUMBER('DATOS'!J375)),1,0)</f>
        <v>0</v>
      </c>
    </row>
    <row r="376" ht="64" customHeight="1">
      <c r="B376" s="26">
        <f>IF(N376=1,367,"")</f>
      </c>
      <c r="C376" s="26">
        <f>IF(AND(N376=1,LEN(TRIM('DATOS'!B376&amp;""))&gt;0),'DATOS'!B376,"")</f>
      </c>
      <c r="D376" s="26">
        <f>IF(AND(N376=1,LEN(TRIM('DATOS'!C376&amp;""))&gt;0),'DATOS'!C376,"")</f>
      </c>
      <c r="E376" s="26">
        <f>IF(NOT(ISNUMBER(P376)),"",IF(P376=2,"ROJO",IF(P376=1,"ÁMBAR","VERDE")))</f>
      </c>
      <c r="F376" s="26">
        <f>IF(NOT(ISNUMBER(Q376)),"",IF(Q376=2,"ROJO",IF(Q376=1,"ÁMBAR","VERDE")))</f>
      </c>
      <c r="G376" s="26">
        <f>IF(NOT(ISNUMBER(R376)),"",IF(R376=2,"ROJO",IF(R376=1,"ÁMBAR","VERDE")))</f>
      </c>
      <c r="H376" s="26">
        <f>IF(NOT(ISNUMBER(S376)),"",IF(S376=2,"ROJO",IF(S376=1,"ÁMBAR","VERDE")))</f>
      </c>
      <c r="I376" s="26">
        <f>IF(NOT(ISNUMBER(T376)),"",IF(T376=2,"ROJO",IF(T376=1,"ÁMBAR","VERDE")))</f>
      </c>
      <c r="J376" s="26">
        <f>IF(NOT(ISNUMBER(O376)),"",IF(O376=2,"ROJO",IF(O376=1,"ÁMBAR","VERDE")))</f>
      </c>
      <c r="K376" s="26">
        <f>IFERROR(IF(AND(N376=1,LEN(TRIM('DATOS'!N376&amp;""))&gt;0),'DATOS'!N376,""),"Hay una entrada con error. Corregimos el dato antes de cerrar la comprobación.")</f>
      </c>
      <c r="L376" s="26">
        <f>IFERROR(IF(N376=0,"",IF(O376&gt;0,"Completamos datos, claves o motivo. ","")&amp;IF(P376&gt;0,"Cotejamos precios e importe. ","")&amp;IF(Q376&gt;0,"Aclaramos el cero. ","")&amp;IF(R376&gt;0,"Comprobamos el texto. ","")&amp;IF(S376&gt;0,"Revisamos decimales visibles. ","")&amp;IF(T376&gt;0,"Confirmamos la unidad.","")),"Hay una entrada con error. Corregimos el dato antes de cerrar la comprobación.")</f>
      </c>
      <c r="N376" s="29" t="n">
        <f>IF(COUNTA('DATOS'!B376:O376)&gt;0,1,0)</f>
        <v>0</v>
      </c>
      <c r="O376" s="29">
        <f>IFERROR(IF(N376=0,"",IF(OR(NOT(AND(LEN(TRIM('DATOS'!B376&amp;""))&gt;0,TRIM('DATOS'!B376&amp;"")&lt;&gt;"Pendiente",TRIM('DATOS'!B376&amp;"")&lt;&gt;"Por confirmar",TRIM('DATOS'!B376&amp;"")&lt;&gt;"No consta",TRIM('DATOS'!B376&amp;"")&lt;&gt;"Desconocido",TRIM('DATOS'!B376&amp;"")&lt;&gt;"Sin confirmar",TRIM('DATOS'!B376&amp;"")&lt;&gt;"Por decidir",TRIM('DATOS'!B376&amp;"")&lt;&gt;"Por comprobar")),NOT(AND(LEN(TRIM('DATOS'!C376&amp;""))&gt;0,TRIM('DATOS'!C376&amp;"")&lt;&gt;"Pendiente",TRIM('DATOS'!C376&amp;"")&lt;&gt;"Por confirmar",TRIM('DATOS'!C376&amp;"")&lt;&gt;"No consta",TRIM('DATOS'!C376&amp;"")&lt;&gt;"Desconocido",TRIM('DATOS'!C376&amp;"")&lt;&gt;"Sin confirmar",TRIM('DATOS'!C376&amp;"")&lt;&gt;"Por decidir",TRIM('DATOS'!C376&amp;"")&lt;&gt;"Por comprobar")),NOT(AND(LEN(TRIM('DATOS'!D376&amp;""))&gt;0,TRIM('DATOS'!D376&amp;"")&lt;&gt;"Pendiente",TRIM('DATOS'!D376&amp;"")&lt;&gt;"Por confirmar",TRIM('DATOS'!D376&amp;"")&lt;&gt;"No consta",TRIM('DATOS'!D376&amp;"")&lt;&gt;"Desconocido",TRIM('DATOS'!D376&amp;"")&lt;&gt;"Sin confirmar",TRIM('DATOS'!D376&amp;"")&lt;&gt;"Por decidir",TRIM('DATOS'!D376&amp;"")&lt;&gt;"Por comprobar")),NOT(AND(LEN(TRIM('DATOS'!E376&amp;""))&gt;0,TRIM('DATOS'!E376&amp;"")&lt;&gt;"Pendiente",TRIM('DATOS'!E376&amp;"")&lt;&gt;"Por confirmar",TRIM('DATOS'!E376&amp;"")&lt;&gt;"No consta",TRIM('DATOS'!E376&amp;"")&lt;&gt;"Desconocido",TRIM('DATOS'!E376&amp;"")&lt;&gt;"Sin confirmar",TRIM('DATOS'!E376&amp;"")&lt;&gt;"Por decidir",TRIM('DATOS'!E376&amp;"")&lt;&gt;"Por comprobar")),NOT(AND(LEN(TRIM('DATOS'!F376&amp;""))&gt;0,TRIM('DATOS'!F376&amp;"")&lt;&gt;"Pendiente",TRIM('DATOS'!F376&amp;"")&lt;&gt;"Por confirmar",TRIM('DATOS'!F376&amp;"")&lt;&gt;"No consta",TRIM('DATOS'!F376&amp;"")&lt;&gt;"Desconocido",TRIM('DATOS'!F376&amp;"")&lt;&gt;"Sin confirmar",TRIM('DATOS'!F376&amp;"")&lt;&gt;"Por decidir",TRIM('DATOS'!F376&amp;"")&lt;&gt;"Por comprobar")),NOT(AND(LEN(TRIM('DATOS'!N376&amp;""))&gt;0,TRIM('DATOS'!N376&amp;"")&lt;&gt;"Pendiente",TRIM('DATOS'!N376&amp;"")&lt;&gt;"Por confirmar",TRIM('DATOS'!N376&amp;"")&lt;&gt;"No consta",TRIM('DATOS'!N376&amp;"")&lt;&gt;"Desconocido",TRIM('DATOS'!N376&amp;"")&lt;&gt;"Sin confirmar",TRIM('DATOS'!N376&amp;"")&lt;&gt;"Por decidir",TRIM('DATOS'!N376&amp;"")&lt;&gt;"Por comprobar")),NOT(Y376=1),W376&lt;&gt;1,X376&gt;1,NOT(OR(LEN(TRIM('DATOS'!K376&amp;""))=0,'DATOS'!K376="Sin valorar",'DATOS'!K376="Sin coste documentado",'DATOS'!K376="Incluido en otra partida",'DATOS'!K376="Por confirmar")),NOT(OR(LEN(TRIM('DATOS'!M376&amp;""))=0,'DATOS'!M376="Sí",'DATOS'!M376="No",'DATOS'!M376="Por confirmar")),NOT(OR(LEN(TRIM('DATOS'!O376&amp;""))=0,'DATOS'!O376="Comparamos",'DATOS'!O376="No existe",'DATOS'!O376="Por confirmar"))),2,IF(AND(OR('DATOS'!G376&lt;0,'DATOS'!H376&lt;0,'DATOS'!J376&lt;0),NOT(AND(LEN(TRIM('DATOS'!L376&amp;""))&gt;0,TRIM('DATOS'!L376&amp;"")&lt;&gt;"Pendiente",TRIM('DATOS'!L376&amp;"")&lt;&gt;"Por confirmar",TRIM('DATOS'!L376&amp;"")&lt;&gt;"No consta",TRIM('DATOS'!L376&amp;"")&lt;&gt;"Desconocido",TRIM('DATOS'!L376&amp;"")&lt;&gt;"Sin confirmar",TRIM('DATOS'!L376&amp;"")&lt;&gt;"Por decidir",TRIM('DATOS'!L376&amp;"")&lt;&gt;"Por comprobar"))),1,0))),2)</f>
      </c>
      <c r="P376" s="29">
        <f>IFERROR(IF(N376=0,"",IF(NOT(Y376=1),1,IF('REFERENCIAS'!$Q$8&lt;&gt;1,2,IF(ABS('DATOS'!J376-ROUND('DATOS'!G376*'DATOS'!H376,'REFERENCIAS'!$K$8))&gt;0.00000001,2,IF('DATOS'!O376="No existe",IF(LEN(TRIM('DATOS'!I376&amp;""))=0,0,2),IF('DATOS'!O376="Comparamos",IF(LEN(TRIM('DATOS'!I376&amp;""))=0,1,IF(ISNUMBER('DATOS'!I376),IF(ABS('DATOS'!H376-'DATOS'!I376)&gt;0.00000001,2,0),2)),1)))))),2)</f>
      </c>
      <c r="Q376" s="29">
        <f>IFERROR(IF(N376=0,"",IF(NOT(Y376=1),1,IF('DATOS'!K376="Sin valorar",2,IF('DATOS'!G376=0,1,IF(OR('DATOS'!H376=0,'DATOS'!J376=0),IF(AND(OR('DATOS'!K376="Sin coste documentado",'DATOS'!K376="Incluido en otra partida"),AND(LEN(TRIM('DATOS'!L376&amp;""))&gt;0,TRIM('DATOS'!L376&amp;"")&lt;&gt;"Pendiente",TRIM('DATOS'!L376&amp;"")&lt;&gt;"Por confirmar",TRIM('DATOS'!L376&amp;"")&lt;&gt;"No consta",TRIM('DATOS'!L376&amp;"")&lt;&gt;"Desconocido",TRIM('DATOS'!L376&amp;"")&lt;&gt;"Sin confirmar",TRIM('DATOS'!L376&amp;"")&lt;&gt;"Por decidir",TRIM('DATOS'!L376&amp;"")&lt;&gt;"Por comprobar")),0,1),0))))),2)</f>
      </c>
      <c r="R376" s="29">
        <f>IFERROR(IF(N376=0,"",IF(OR(NOT(AND(LEN(TRIM('DATOS'!D376&amp;""))&gt;0,TRIM('DATOS'!D376&amp;"")&lt;&gt;"Pendiente",TRIM('DATOS'!D376&amp;"")&lt;&gt;"Por confirmar",TRIM('DATOS'!D376&amp;"")&lt;&gt;"No consta",TRIM('DATOS'!D376&amp;"")&lt;&gt;"Desconocido",TRIM('DATOS'!D376&amp;"")&lt;&gt;"Sin confirmar",TRIM('DATOS'!D376&amp;"")&lt;&gt;"Por decidir",TRIM('DATOS'!D376&amp;"")&lt;&gt;"Por comprobar")),NOT(AND(LEN(TRIM('DATOS'!E376&amp;""))&gt;0,TRIM('DATOS'!E376&amp;"")&lt;&gt;"Pendiente",TRIM('DATOS'!E376&amp;"")&lt;&gt;"Por confirmar",TRIM('DATOS'!E376&amp;"")&lt;&gt;"No consta",TRIM('DATOS'!E376&amp;"")&lt;&gt;"Desconocido",TRIM('DATOS'!E376&amp;"")&lt;&gt;"Sin confirmar",TRIM('DATOS'!E376&amp;"")&lt;&gt;"Por decidir",TRIM('DATOS'!E376&amp;"")&lt;&gt;"Por comprobar"))),2,IF('DATOS'!M376="No",2,IF('DATOS'!M376="Sí",0,IF(OR('DATOS'!D376&lt;&gt;'DATOS'!E376,LEN('DATOS'!E376)&gt;300,RIGHT(TRIM('DATOS'!E376),3)="...",RIGHT(TRIM('DATOS'!E376),1)="…"),1,0))))),2)</f>
      </c>
      <c r="S376" s="29">
        <f>IFERROR(IF(N376=0,"",IF('REFERENCIAS'!$Q$8&lt;&gt;1,2,IF(NOT(Y376=1),1,IF(OR(ABS('DATOS'!G376-ROUND('DATOS'!G376,'REFERENCIAS'!$E$8))&gt;0.00000001,ABS('DATOS'!H376-ROUND('DATOS'!H376,'REFERENCIAS'!$H$8))&gt;0.00000001,ABS('DATOS'!J376-ROUND('DATOS'!J376,'REFERENCIAS'!$K$8))&gt;0.00000001,IF(ISNUMBER('DATOS'!I376),ABS('DATOS'!I376-ROUND('DATOS'!I376,'REFERENCIAS'!$H$8))&gt;0.00000001,FALSE)),1,0)))),2)</f>
      </c>
      <c r="T376" s="29">
        <f>IFERROR(IF(N376=0,"",IF(NOT(AND(LEN(TRIM('DATOS'!F376&amp;""))&gt;0,TRIM('DATOS'!F376&amp;"")&lt;&gt;"Pendiente",TRIM('DATOS'!F376&amp;"")&lt;&gt;"Por confirmar",TRIM('DATOS'!F376&amp;"")&lt;&gt;"No consta",TRIM('DATOS'!F376&amp;"")&lt;&gt;"Desconocido",TRIM('DATOS'!F376&amp;"")&lt;&gt;"Sin confirmar",TRIM('DATOS'!F376&amp;"")&lt;&gt;"Por decidir",TRIM('DATOS'!F376&amp;"")&lt;&gt;"Por comprobar")),2,IF(COUNTIFS('REFERENCIAS'!$T$15:$T$34,"ID:"&amp;SUBSTITUTE(SUBSTITUTE(SUBSTITUTE(SUBSTITUTE(UPPER(TRIM('DATOS'!F376&amp;"")),"!","!E"),"*","!A"),"?","!B"),"~","!C"),'REFERENCIAS'!$H$15:$H$34,"&lt;&gt;")&gt;0,0,1))),2)</f>
      </c>
      <c r="U376" s="29" t="str">
        <f>'DATOS'!R376</f>
        <v>ID:</v>
      </c>
      <c r="V376" s="29" t="str">
        <f>'DATOS'!S376</f>
        <v>ID:</v>
      </c>
      <c r="W376" s="29" t="n">
        <f>IF(N376=0,0,COUNTIFS('REFERENCIAS'!$R$15:$R$64,U376))</f>
        <v>0</v>
      </c>
      <c r="X376" s="29" t="n">
        <f>IF(N376=0,0,COUNTIFS('DATOS'!$R$10:$R$509,U376,'DATOS'!$S$10:$S$509,V376))</f>
        <v>0</v>
      </c>
      <c r="Y376" s="29" t="n">
        <f>IF(AND(ISNUMBER('DATOS'!G376),ISNUMBER('DATOS'!H376),ISNUMBER('DATOS'!J376)),1,0)</f>
        <v>0</v>
      </c>
    </row>
    <row r="377" ht="64" customHeight="1">
      <c r="B377" s="26">
        <f>IF(N377=1,368,"")</f>
      </c>
      <c r="C377" s="26">
        <f>IF(AND(N377=1,LEN(TRIM('DATOS'!B377&amp;""))&gt;0),'DATOS'!B377,"")</f>
      </c>
      <c r="D377" s="26">
        <f>IF(AND(N377=1,LEN(TRIM('DATOS'!C377&amp;""))&gt;0),'DATOS'!C377,"")</f>
      </c>
      <c r="E377" s="26">
        <f>IF(NOT(ISNUMBER(P377)),"",IF(P377=2,"ROJO",IF(P377=1,"ÁMBAR","VERDE")))</f>
      </c>
      <c r="F377" s="26">
        <f>IF(NOT(ISNUMBER(Q377)),"",IF(Q377=2,"ROJO",IF(Q377=1,"ÁMBAR","VERDE")))</f>
      </c>
      <c r="G377" s="26">
        <f>IF(NOT(ISNUMBER(R377)),"",IF(R377=2,"ROJO",IF(R377=1,"ÁMBAR","VERDE")))</f>
      </c>
      <c r="H377" s="26">
        <f>IF(NOT(ISNUMBER(S377)),"",IF(S377=2,"ROJO",IF(S377=1,"ÁMBAR","VERDE")))</f>
      </c>
      <c r="I377" s="26">
        <f>IF(NOT(ISNUMBER(T377)),"",IF(T377=2,"ROJO",IF(T377=1,"ÁMBAR","VERDE")))</f>
      </c>
      <c r="J377" s="26">
        <f>IF(NOT(ISNUMBER(O377)),"",IF(O377=2,"ROJO",IF(O377=1,"ÁMBAR","VERDE")))</f>
      </c>
      <c r="K377" s="26">
        <f>IFERROR(IF(AND(N377=1,LEN(TRIM('DATOS'!N377&amp;""))&gt;0),'DATOS'!N377,""),"Hay una entrada con error. Corregimos el dato antes de cerrar la comprobación.")</f>
      </c>
      <c r="L377" s="26">
        <f>IFERROR(IF(N377=0,"",IF(O377&gt;0,"Completamos datos, claves o motivo. ","")&amp;IF(P377&gt;0,"Cotejamos precios e importe. ","")&amp;IF(Q377&gt;0,"Aclaramos el cero. ","")&amp;IF(R377&gt;0,"Comprobamos el texto. ","")&amp;IF(S377&gt;0,"Revisamos decimales visibles. ","")&amp;IF(T377&gt;0,"Confirmamos la unidad.","")),"Hay una entrada con error. Corregimos el dato antes de cerrar la comprobación.")</f>
      </c>
      <c r="N377" s="29" t="n">
        <f>IF(COUNTA('DATOS'!B377:O377)&gt;0,1,0)</f>
        <v>0</v>
      </c>
      <c r="O377" s="29">
        <f>IFERROR(IF(N377=0,"",IF(OR(NOT(AND(LEN(TRIM('DATOS'!B377&amp;""))&gt;0,TRIM('DATOS'!B377&amp;"")&lt;&gt;"Pendiente",TRIM('DATOS'!B377&amp;"")&lt;&gt;"Por confirmar",TRIM('DATOS'!B377&amp;"")&lt;&gt;"No consta",TRIM('DATOS'!B377&amp;"")&lt;&gt;"Desconocido",TRIM('DATOS'!B377&amp;"")&lt;&gt;"Sin confirmar",TRIM('DATOS'!B377&amp;"")&lt;&gt;"Por decidir",TRIM('DATOS'!B377&amp;"")&lt;&gt;"Por comprobar")),NOT(AND(LEN(TRIM('DATOS'!C377&amp;""))&gt;0,TRIM('DATOS'!C377&amp;"")&lt;&gt;"Pendiente",TRIM('DATOS'!C377&amp;"")&lt;&gt;"Por confirmar",TRIM('DATOS'!C377&amp;"")&lt;&gt;"No consta",TRIM('DATOS'!C377&amp;"")&lt;&gt;"Desconocido",TRIM('DATOS'!C377&amp;"")&lt;&gt;"Sin confirmar",TRIM('DATOS'!C377&amp;"")&lt;&gt;"Por decidir",TRIM('DATOS'!C377&amp;"")&lt;&gt;"Por comprobar")),NOT(AND(LEN(TRIM('DATOS'!D377&amp;""))&gt;0,TRIM('DATOS'!D377&amp;"")&lt;&gt;"Pendiente",TRIM('DATOS'!D377&amp;"")&lt;&gt;"Por confirmar",TRIM('DATOS'!D377&amp;"")&lt;&gt;"No consta",TRIM('DATOS'!D377&amp;"")&lt;&gt;"Desconocido",TRIM('DATOS'!D377&amp;"")&lt;&gt;"Sin confirmar",TRIM('DATOS'!D377&amp;"")&lt;&gt;"Por decidir",TRIM('DATOS'!D377&amp;"")&lt;&gt;"Por comprobar")),NOT(AND(LEN(TRIM('DATOS'!E377&amp;""))&gt;0,TRIM('DATOS'!E377&amp;"")&lt;&gt;"Pendiente",TRIM('DATOS'!E377&amp;"")&lt;&gt;"Por confirmar",TRIM('DATOS'!E377&amp;"")&lt;&gt;"No consta",TRIM('DATOS'!E377&amp;"")&lt;&gt;"Desconocido",TRIM('DATOS'!E377&amp;"")&lt;&gt;"Sin confirmar",TRIM('DATOS'!E377&amp;"")&lt;&gt;"Por decidir",TRIM('DATOS'!E377&amp;"")&lt;&gt;"Por comprobar")),NOT(AND(LEN(TRIM('DATOS'!F377&amp;""))&gt;0,TRIM('DATOS'!F377&amp;"")&lt;&gt;"Pendiente",TRIM('DATOS'!F377&amp;"")&lt;&gt;"Por confirmar",TRIM('DATOS'!F377&amp;"")&lt;&gt;"No consta",TRIM('DATOS'!F377&amp;"")&lt;&gt;"Desconocido",TRIM('DATOS'!F377&amp;"")&lt;&gt;"Sin confirmar",TRIM('DATOS'!F377&amp;"")&lt;&gt;"Por decidir",TRIM('DATOS'!F377&amp;"")&lt;&gt;"Por comprobar")),NOT(AND(LEN(TRIM('DATOS'!N377&amp;""))&gt;0,TRIM('DATOS'!N377&amp;"")&lt;&gt;"Pendiente",TRIM('DATOS'!N377&amp;"")&lt;&gt;"Por confirmar",TRIM('DATOS'!N377&amp;"")&lt;&gt;"No consta",TRIM('DATOS'!N377&amp;"")&lt;&gt;"Desconocido",TRIM('DATOS'!N377&amp;"")&lt;&gt;"Sin confirmar",TRIM('DATOS'!N377&amp;"")&lt;&gt;"Por decidir",TRIM('DATOS'!N377&amp;"")&lt;&gt;"Por comprobar")),NOT(Y377=1),W377&lt;&gt;1,X377&gt;1,NOT(OR(LEN(TRIM('DATOS'!K377&amp;""))=0,'DATOS'!K377="Sin valorar",'DATOS'!K377="Sin coste documentado",'DATOS'!K377="Incluido en otra partida",'DATOS'!K377="Por confirmar")),NOT(OR(LEN(TRIM('DATOS'!M377&amp;""))=0,'DATOS'!M377="Sí",'DATOS'!M377="No",'DATOS'!M377="Por confirmar")),NOT(OR(LEN(TRIM('DATOS'!O377&amp;""))=0,'DATOS'!O377="Comparamos",'DATOS'!O377="No existe",'DATOS'!O377="Por confirmar"))),2,IF(AND(OR('DATOS'!G377&lt;0,'DATOS'!H377&lt;0,'DATOS'!J377&lt;0),NOT(AND(LEN(TRIM('DATOS'!L377&amp;""))&gt;0,TRIM('DATOS'!L377&amp;"")&lt;&gt;"Pendiente",TRIM('DATOS'!L377&amp;"")&lt;&gt;"Por confirmar",TRIM('DATOS'!L377&amp;"")&lt;&gt;"No consta",TRIM('DATOS'!L377&amp;"")&lt;&gt;"Desconocido",TRIM('DATOS'!L377&amp;"")&lt;&gt;"Sin confirmar",TRIM('DATOS'!L377&amp;"")&lt;&gt;"Por decidir",TRIM('DATOS'!L377&amp;"")&lt;&gt;"Por comprobar"))),1,0))),2)</f>
      </c>
      <c r="P377" s="29">
        <f>IFERROR(IF(N377=0,"",IF(NOT(Y377=1),1,IF('REFERENCIAS'!$Q$8&lt;&gt;1,2,IF(ABS('DATOS'!J377-ROUND('DATOS'!G377*'DATOS'!H377,'REFERENCIAS'!$K$8))&gt;0.00000001,2,IF('DATOS'!O377="No existe",IF(LEN(TRIM('DATOS'!I377&amp;""))=0,0,2),IF('DATOS'!O377="Comparamos",IF(LEN(TRIM('DATOS'!I377&amp;""))=0,1,IF(ISNUMBER('DATOS'!I377),IF(ABS('DATOS'!H377-'DATOS'!I377)&gt;0.00000001,2,0),2)),1)))))),2)</f>
      </c>
      <c r="Q377" s="29">
        <f>IFERROR(IF(N377=0,"",IF(NOT(Y377=1),1,IF('DATOS'!K377="Sin valorar",2,IF('DATOS'!G377=0,1,IF(OR('DATOS'!H377=0,'DATOS'!J377=0),IF(AND(OR('DATOS'!K377="Sin coste documentado",'DATOS'!K377="Incluido en otra partida"),AND(LEN(TRIM('DATOS'!L377&amp;""))&gt;0,TRIM('DATOS'!L377&amp;"")&lt;&gt;"Pendiente",TRIM('DATOS'!L377&amp;"")&lt;&gt;"Por confirmar",TRIM('DATOS'!L377&amp;"")&lt;&gt;"No consta",TRIM('DATOS'!L377&amp;"")&lt;&gt;"Desconocido",TRIM('DATOS'!L377&amp;"")&lt;&gt;"Sin confirmar",TRIM('DATOS'!L377&amp;"")&lt;&gt;"Por decidir",TRIM('DATOS'!L377&amp;"")&lt;&gt;"Por comprobar")),0,1),0))))),2)</f>
      </c>
      <c r="R377" s="29">
        <f>IFERROR(IF(N377=0,"",IF(OR(NOT(AND(LEN(TRIM('DATOS'!D377&amp;""))&gt;0,TRIM('DATOS'!D377&amp;"")&lt;&gt;"Pendiente",TRIM('DATOS'!D377&amp;"")&lt;&gt;"Por confirmar",TRIM('DATOS'!D377&amp;"")&lt;&gt;"No consta",TRIM('DATOS'!D377&amp;"")&lt;&gt;"Desconocido",TRIM('DATOS'!D377&amp;"")&lt;&gt;"Sin confirmar",TRIM('DATOS'!D377&amp;"")&lt;&gt;"Por decidir",TRIM('DATOS'!D377&amp;"")&lt;&gt;"Por comprobar")),NOT(AND(LEN(TRIM('DATOS'!E377&amp;""))&gt;0,TRIM('DATOS'!E377&amp;"")&lt;&gt;"Pendiente",TRIM('DATOS'!E377&amp;"")&lt;&gt;"Por confirmar",TRIM('DATOS'!E377&amp;"")&lt;&gt;"No consta",TRIM('DATOS'!E377&amp;"")&lt;&gt;"Desconocido",TRIM('DATOS'!E377&amp;"")&lt;&gt;"Sin confirmar",TRIM('DATOS'!E377&amp;"")&lt;&gt;"Por decidir",TRIM('DATOS'!E377&amp;"")&lt;&gt;"Por comprobar"))),2,IF('DATOS'!M377="No",2,IF('DATOS'!M377="Sí",0,IF(OR('DATOS'!D377&lt;&gt;'DATOS'!E377,LEN('DATOS'!E377)&gt;300,RIGHT(TRIM('DATOS'!E377),3)="...",RIGHT(TRIM('DATOS'!E377),1)="…"),1,0))))),2)</f>
      </c>
      <c r="S377" s="29">
        <f>IFERROR(IF(N377=0,"",IF('REFERENCIAS'!$Q$8&lt;&gt;1,2,IF(NOT(Y377=1),1,IF(OR(ABS('DATOS'!G377-ROUND('DATOS'!G377,'REFERENCIAS'!$E$8))&gt;0.00000001,ABS('DATOS'!H377-ROUND('DATOS'!H377,'REFERENCIAS'!$H$8))&gt;0.00000001,ABS('DATOS'!J377-ROUND('DATOS'!J377,'REFERENCIAS'!$K$8))&gt;0.00000001,IF(ISNUMBER('DATOS'!I377),ABS('DATOS'!I377-ROUND('DATOS'!I377,'REFERENCIAS'!$H$8))&gt;0.00000001,FALSE)),1,0)))),2)</f>
      </c>
      <c r="T377" s="29">
        <f>IFERROR(IF(N377=0,"",IF(NOT(AND(LEN(TRIM('DATOS'!F377&amp;""))&gt;0,TRIM('DATOS'!F377&amp;"")&lt;&gt;"Pendiente",TRIM('DATOS'!F377&amp;"")&lt;&gt;"Por confirmar",TRIM('DATOS'!F377&amp;"")&lt;&gt;"No consta",TRIM('DATOS'!F377&amp;"")&lt;&gt;"Desconocido",TRIM('DATOS'!F377&amp;"")&lt;&gt;"Sin confirmar",TRIM('DATOS'!F377&amp;"")&lt;&gt;"Por decidir",TRIM('DATOS'!F377&amp;"")&lt;&gt;"Por comprobar")),2,IF(COUNTIFS('REFERENCIAS'!$T$15:$T$34,"ID:"&amp;SUBSTITUTE(SUBSTITUTE(SUBSTITUTE(SUBSTITUTE(UPPER(TRIM('DATOS'!F377&amp;"")),"!","!E"),"*","!A"),"?","!B"),"~","!C"),'REFERENCIAS'!$H$15:$H$34,"&lt;&gt;")&gt;0,0,1))),2)</f>
      </c>
      <c r="U377" s="29" t="str">
        <f>'DATOS'!R377</f>
        <v>ID:</v>
      </c>
      <c r="V377" s="29" t="str">
        <f>'DATOS'!S377</f>
        <v>ID:</v>
      </c>
      <c r="W377" s="29" t="n">
        <f>IF(N377=0,0,COUNTIFS('REFERENCIAS'!$R$15:$R$64,U377))</f>
        <v>0</v>
      </c>
      <c r="X377" s="29" t="n">
        <f>IF(N377=0,0,COUNTIFS('DATOS'!$R$10:$R$509,U377,'DATOS'!$S$10:$S$509,V377))</f>
        <v>0</v>
      </c>
      <c r="Y377" s="29" t="n">
        <f>IF(AND(ISNUMBER('DATOS'!G377),ISNUMBER('DATOS'!H377),ISNUMBER('DATOS'!J377)),1,0)</f>
        <v>0</v>
      </c>
    </row>
    <row r="378" ht="64" customHeight="1">
      <c r="B378" s="26">
        <f>IF(N378=1,369,"")</f>
      </c>
      <c r="C378" s="26">
        <f>IF(AND(N378=1,LEN(TRIM('DATOS'!B378&amp;""))&gt;0),'DATOS'!B378,"")</f>
      </c>
      <c r="D378" s="26">
        <f>IF(AND(N378=1,LEN(TRIM('DATOS'!C378&amp;""))&gt;0),'DATOS'!C378,"")</f>
      </c>
      <c r="E378" s="26">
        <f>IF(NOT(ISNUMBER(P378)),"",IF(P378=2,"ROJO",IF(P378=1,"ÁMBAR","VERDE")))</f>
      </c>
      <c r="F378" s="26">
        <f>IF(NOT(ISNUMBER(Q378)),"",IF(Q378=2,"ROJO",IF(Q378=1,"ÁMBAR","VERDE")))</f>
      </c>
      <c r="G378" s="26">
        <f>IF(NOT(ISNUMBER(R378)),"",IF(R378=2,"ROJO",IF(R378=1,"ÁMBAR","VERDE")))</f>
      </c>
      <c r="H378" s="26">
        <f>IF(NOT(ISNUMBER(S378)),"",IF(S378=2,"ROJO",IF(S378=1,"ÁMBAR","VERDE")))</f>
      </c>
      <c r="I378" s="26">
        <f>IF(NOT(ISNUMBER(T378)),"",IF(T378=2,"ROJO",IF(T378=1,"ÁMBAR","VERDE")))</f>
      </c>
      <c r="J378" s="26">
        <f>IF(NOT(ISNUMBER(O378)),"",IF(O378=2,"ROJO",IF(O378=1,"ÁMBAR","VERDE")))</f>
      </c>
      <c r="K378" s="26">
        <f>IFERROR(IF(AND(N378=1,LEN(TRIM('DATOS'!N378&amp;""))&gt;0),'DATOS'!N378,""),"Hay una entrada con error. Corregimos el dato antes de cerrar la comprobación.")</f>
      </c>
      <c r="L378" s="26">
        <f>IFERROR(IF(N378=0,"",IF(O378&gt;0,"Completamos datos, claves o motivo. ","")&amp;IF(P378&gt;0,"Cotejamos precios e importe. ","")&amp;IF(Q378&gt;0,"Aclaramos el cero. ","")&amp;IF(R378&gt;0,"Comprobamos el texto. ","")&amp;IF(S378&gt;0,"Revisamos decimales visibles. ","")&amp;IF(T378&gt;0,"Confirmamos la unidad.","")),"Hay una entrada con error. Corregimos el dato antes de cerrar la comprobación.")</f>
      </c>
      <c r="N378" s="29" t="n">
        <f>IF(COUNTA('DATOS'!B378:O378)&gt;0,1,0)</f>
        <v>0</v>
      </c>
      <c r="O378" s="29">
        <f>IFERROR(IF(N378=0,"",IF(OR(NOT(AND(LEN(TRIM('DATOS'!B378&amp;""))&gt;0,TRIM('DATOS'!B378&amp;"")&lt;&gt;"Pendiente",TRIM('DATOS'!B378&amp;"")&lt;&gt;"Por confirmar",TRIM('DATOS'!B378&amp;"")&lt;&gt;"No consta",TRIM('DATOS'!B378&amp;"")&lt;&gt;"Desconocido",TRIM('DATOS'!B378&amp;"")&lt;&gt;"Sin confirmar",TRIM('DATOS'!B378&amp;"")&lt;&gt;"Por decidir",TRIM('DATOS'!B378&amp;"")&lt;&gt;"Por comprobar")),NOT(AND(LEN(TRIM('DATOS'!C378&amp;""))&gt;0,TRIM('DATOS'!C378&amp;"")&lt;&gt;"Pendiente",TRIM('DATOS'!C378&amp;"")&lt;&gt;"Por confirmar",TRIM('DATOS'!C378&amp;"")&lt;&gt;"No consta",TRIM('DATOS'!C378&amp;"")&lt;&gt;"Desconocido",TRIM('DATOS'!C378&amp;"")&lt;&gt;"Sin confirmar",TRIM('DATOS'!C378&amp;"")&lt;&gt;"Por decidir",TRIM('DATOS'!C378&amp;"")&lt;&gt;"Por comprobar")),NOT(AND(LEN(TRIM('DATOS'!D378&amp;""))&gt;0,TRIM('DATOS'!D378&amp;"")&lt;&gt;"Pendiente",TRIM('DATOS'!D378&amp;"")&lt;&gt;"Por confirmar",TRIM('DATOS'!D378&amp;"")&lt;&gt;"No consta",TRIM('DATOS'!D378&amp;"")&lt;&gt;"Desconocido",TRIM('DATOS'!D378&amp;"")&lt;&gt;"Sin confirmar",TRIM('DATOS'!D378&amp;"")&lt;&gt;"Por decidir",TRIM('DATOS'!D378&amp;"")&lt;&gt;"Por comprobar")),NOT(AND(LEN(TRIM('DATOS'!E378&amp;""))&gt;0,TRIM('DATOS'!E378&amp;"")&lt;&gt;"Pendiente",TRIM('DATOS'!E378&amp;"")&lt;&gt;"Por confirmar",TRIM('DATOS'!E378&amp;"")&lt;&gt;"No consta",TRIM('DATOS'!E378&amp;"")&lt;&gt;"Desconocido",TRIM('DATOS'!E378&amp;"")&lt;&gt;"Sin confirmar",TRIM('DATOS'!E378&amp;"")&lt;&gt;"Por decidir",TRIM('DATOS'!E378&amp;"")&lt;&gt;"Por comprobar")),NOT(AND(LEN(TRIM('DATOS'!F378&amp;""))&gt;0,TRIM('DATOS'!F378&amp;"")&lt;&gt;"Pendiente",TRIM('DATOS'!F378&amp;"")&lt;&gt;"Por confirmar",TRIM('DATOS'!F378&amp;"")&lt;&gt;"No consta",TRIM('DATOS'!F378&amp;"")&lt;&gt;"Desconocido",TRIM('DATOS'!F378&amp;"")&lt;&gt;"Sin confirmar",TRIM('DATOS'!F378&amp;"")&lt;&gt;"Por decidir",TRIM('DATOS'!F378&amp;"")&lt;&gt;"Por comprobar")),NOT(AND(LEN(TRIM('DATOS'!N378&amp;""))&gt;0,TRIM('DATOS'!N378&amp;"")&lt;&gt;"Pendiente",TRIM('DATOS'!N378&amp;"")&lt;&gt;"Por confirmar",TRIM('DATOS'!N378&amp;"")&lt;&gt;"No consta",TRIM('DATOS'!N378&amp;"")&lt;&gt;"Desconocido",TRIM('DATOS'!N378&amp;"")&lt;&gt;"Sin confirmar",TRIM('DATOS'!N378&amp;"")&lt;&gt;"Por decidir",TRIM('DATOS'!N378&amp;"")&lt;&gt;"Por comprobar")),NOT(Y378=1),W378&lt;&gt;1,X378&gt;1,NOT(OR(LEN(TRIM('DATOS'!K378&amp;""))=0,'DATOS'!K378="Sin valorar",'DATOS'!K378="Sin coste documentado",'DATOS'!K378="Incluido en otra partida",'DATOS'!K378="Por confirmar")),NOT(OR(LEN(TRIM('DATOS'!M378&amp;""))=0,'DATOS'!M378="Sí",'DATOS'!M378="No",'DATOS'!M378="Por confirmar")),NOT(OR(LEN(TRIM('DATOS'!O378&amp;""))=0,'DATOS'!O378="Comparamos",'DATOS'!O378="No existe",'DATOS'!O378="Por confirmar"))),2,IF(AND(OR('DATOS'!G378&lt;0,'DATOS'!H378&lt;0,'DATOS'!J378&lt;0),NOT(AND(LEN(TRIM('DATOS'!L378&amp;""))&gt;0,TRIM('DATOS'!L378&amp;"")&lt;&gt;"Pendiente",TRIM('DATOS'!L378&amp;"")&lt;&gt;"Por confirmar",TRIM('DATOS'!L378&amp;"")&lt;&gt;"No consta",TRIM('DATOS'!L378&amp;"")&lt;&gt;"Desconocido",TRIM('DATOS'!L378&amp;"")&lt;&gt;"Sin confirmar",TRIM('DATOS'!L378&amp;"")&lt;&gt;"Por decidir",TRIM('DATOS'!L378&amp;"")&lt;&gt;"Por comprobar"))),1,0))),2)</f>
      </c>
      <c r="P378" s="29">
        <f>IFERROR(IF(N378=0,"",IF(NOT(Y378=1),1,IF('REFERENCIAS'!$Q$8&lt;&gt;1,2,IF(ABS('DATOS'!J378-ROUND('DATOS'!G378*'DATOS'!H378,'REFERENCIAS'!$K$8))&gt;0.00000001,2,IF('DATOS'!O378="No existe",IF(LEN(TRIM('DATOS'!I378&amp;""))=0,0,2),IF('DATOS'!O378="Comparamos",IF(LEN(TRIM('DATOS'!I378&amp;""))=0,1,IF(ISNUMBER('DATOS'!I378),IF(ABS('DATOS'!H378-'DATOS'!I378)&gt;0.00000001,2,0),2)),1)))))),2)</f>
      </c>
      <c r="Q378" s="29">
        <f>IFERROR(IF(N378=0,"",IF(NOT(Y378=1),1,IF('DATOS'!K378="Sin valorar",2,IF('DATOS'!G378=0,1,IF(OR('DATOS'!H378=0,'DATOS'!J378=0),IF(AND(OR('DATOS'!K378="Sin coste documentado",'DATOS'!K378="Incluido en otra partida"),AND(LEN(TRIM('DATOS'!L378&amp;""))&gt;0,TRIM('DATOS'!L378&amp;"")&lt;&gt;"Pendiente",TRIM('DATOS'!L378&amp;"")&lt;&gt;"Por confirmar",TRIM('DATOS'!L378&amp;"")&lt;&gt;"No consta",TRIM('DATOS'!L378&amp;"")&lt;&gt;"Desconocido",TRIM('DATOS'!L378&amp;"")&lt;&gt;"Sin confirmar",TRIM('DATOS'!L378&amp;"")&lt;&gt;"Por decidir",TRIM('DATOS'!L378&amp;"")&lt;&gt;"Por comprobar")),0,1),0))))),2)</f>
      </c>
      <c r="R378" s="29">
        <f>IFERROR(IF(N378=0,"",IF(OR(NOT(AND(LEN(TRIM('DATOS'!D378&amp;""))&gt;0,TRIM('DATOS'!D378&amp;"")&lt;&gt;"Pendiente",TRIM('DATOS'!D378&amp;"")&lt;&gt;"Por confirmar",TRIM('DATOS'!D378&amp;"")&lt;&gt;"No consta",TRIM('DATOS'!D378&amp;"")&lt;&gt;"Desconocido",TRIM('DATOS'!D378&amp;"")&lt;&gt;"Sin confirmar",TRIM('DATOS'!D378&amp;"")&lt;&gt;"Por decidir",TRIM('DATOS'!D378&amp;"")&lt;&gt;"Por comprobar")),NOT(AND(LEN(TRIM('DATOS'!E378&amp;""))&gt;0,TRIM('DATOS'!E378&amp;"")&lt;&gt;"Pendiente",TRIM('DATOS'!E378&amp;"")&lt;&gt;"Por confirmar",TRIM('DATOS'!E378&amp;"")&lt;&gt;"No consta",TRIM('DATOS'!E378&amp;"")&lt;&gt;"Desconocido",TRIM('DATOS'!E378&amp;"")&lt;&gt;"Sin confirmar",TRIM('DATOS'!E378&amp;"")&lt;&gt;"Por decidir",TRIM('DATOS'!E378&amp;"")&lt;&gt;"Por comprobar"))),2,IF('DATOS'!M378="No",2,IF('DATOS'!M378="Sí",0,IF(OR('DATOS'!D378&lt;&gt;'DATOS'!E378,LEN('DATOS'!E378)&gt;300,RIGHT(TRIM('DATOS'!E378),3)="...",RIGHT(TRIM('DATOS'!E378),1)="…"),1,0))))),2)</f>
      </c>
      <c r="S378" s="29">
        <f>IFERROR(IF(N378=0,"",IF('REFERENCIAS'!$Q$8&lt;&gt;1,2,IF(NOT(Y378=1),1,IF(OR(ABS('DATOS'!G378-ROUND('DATOS'!G378,'REFERENCIAS'!$E$8))&gt;0.00000001,ABS('DATOS'!H378-ROUND('DATOS'!H378,'REFERENCIAS'!$H$8))&gt;0.00000001,ABS('DATOS'!J378-ROUND('DATOS'!J378,'REFERENCIAS'!$K$8))&gt;0.00000001,IF(ISNUMBER('DATOS'!I378),ABS('DATOS'!I378-ROUND('DATOS'!I378,'REFERENCIAS'!$H$8))&gt;0.00000001,FALSE)),1,0)))),2)</f>
      </c>
      <c r="T378" s="29">
        <f>IFERROR(IF(N378=0,"",IF(NOT(AND(LEN(TRIM('DATOS'!F378&amp;""))&gt;0,TRIM('DATOS'!F378&amp;"")&lt;&gt;"Pendiente",TRIM('DATOS'!F378&amp;"")&lt;&gt;"Por confirmar",TRIM('DATOS'!F378&amp;"")&lt;&gt;"No consta",TRIM('DATOS'!F378&amp;"")&lt;&gt;"Desconocido",TRIM('DATOS'!F378&amp;"")&lt;&gt;"Sin confirmar",TRIM('DATOS'!F378&amp;"")&lt;&gt;"Por decidir",TRIM('DATOS'!F378&amp;"")&lt;&gt;"Por comprobar")),2,IF(COUNTIFS('REFERENCIAS'!$T$15:$T$34,"ID:"&amp;SUBSTITUTE(SUBSTITUTE(SUBSTITUTE(SUBSTITUTE(UPPER(TRIM('DATOS'!F378&amp;"")),"!","!E"),"*","!A"),"?","!B"),"~","!C"),'REFERENCIAS'!$H$15:$H$34,"&lt;&gt;")&gt;0,0,1))),2)</f>
      </c>
      <c r="U378" s="29" t="str">
        <f>'DATOS'!R378</f>
        <v>ID:</v>
      </c>
      <c r="V378" s="29" t="str">
        <f>'DATOS'!S378</f>
        <v>ID:</v>
      </c>
      <c r="W378" s="29" t="n">
        <f>IF(N378=0,0,COUNTIFS('REFERENCIAS'!$R$15:$R$64,U378))</f>
        <v>0</v>
      </c>
      <c r="X378" s="29" t="n">
        <f>IF(N378=0,0,COUNTIFS('DATOS'!$R$10:$R$509,U378,'DATOS'!$S$10:$S$509,V378))</f>
        <v>0</v>
      </c>
      <c r="Y378" s="29" t="n">
        <f>IF(AND(ISNUMBER('DATOS'!G378),ISNUMBER('DATOS'!H378),ISNUMBER('DATOS'!J378)),1,0)</f>
        <v>0</v>
      </c>
    </row>
    <row r="379" ht="64" customHeight="1">
      <c r="B379" s="26">
        <f>IF(N379=1,370,"")</f>
      </c>
      <c r="C379" s="26">
        <f>IF(AND(N379=1,LEN(TRIM('DATOS'!B379&amp;""))&gt;0),'DATOS'!B379,"")</f>
      </c>
      <c r="D379" s="26">
        <f>IF(AND(N379=1,LEN(TRIM('DATOS'!C379&amp;""))&gt;0),'DATOS'!C379,"")</f>
      </c>
      <c r="E379" s="26">
        <f>IF(NOT(ISNUMBER(P379)),"",IF(P379=2,"ROJO",IF(P379=1,"ÁMBAR","VERDE")))</f>
      </c>
      <c r="F379" s="26">
        <f>IF(NOT(ISNUMBER(Q379)),"",IF(Q379=2,"ROJO",IF(Q379=1,"ÁMBAR","VERDE")))</f>
      </c>
      <c r="G379" s="26">
        <f>IF(NOT(ISNUMBER(R379)),"",IF(R379=2,"ROJO",IF(R379=1,"ÁMBAR","VERDE")))</f>
      </c>
      <c r="H379" s="26">
        <f>IF(NOT(ISNUMBER(S379)),"",IF(S379=2,"ROJO",IF(S379=1,"ÁMBAR","VERDE")))</f>
      </c>
      <c r="I379" s="26">
        <f>IF(NOT(ISNUMBER(T379)),"",IF(T379=2,"ROJO",IF(T379=1,"ÁMBAR","VERDE")))</f>
      </c>
      <c r="J379" s="26">
        <f>IF(NOT(ISNUMBER(O379)),"",IF(O379=2,"ROJO",IF(O379=1,"ÁMBAR","VERDE")))</f>
      </c>
      <c r="K379" s="26">
        <f>IFERROR(IF(AND(N379=1,LEN(TRIM('DATOS'!N379&amp;""))&gt;0),'DATOS'!N379,""),"Hay una entrada con error. Corregimos el dato antes de cerrar la comprobación.")</f>
      </c>
      <c r="L379" s="26">
        <f>IFERROR(IF(N379=0,"",IF(O379&gt;0,"Completamos datos, claves o motivo. ","")&amp;IF(P379&gt;0,"Cotejamos precios e importe. ","")&amp;IF(Q379&gt;0,"Aclaramos el cero. ","")&amp;IF(R379&gt;0,"Comprobamos el texto. ","")&amp;IF(S379&gt;0,"Revisamos decimales visibles. ","")&amp;IF(T379&gt;0,"Confirmamos la unidad.","")),"Hay una entrada con error. Corregimos el dato antes de cerrar la comprobación.")</f>
      </c>
      <c r="N379" s="29" t="n">
        <f>IF(COUNTA('DATOS'!B379:O379)&gt;0,1,0)</f>
        <v>0</v>
      </c>
      <c r="O379" s="29">
        <f>IFERROR(IF(N379=0,"",IF(OR(NOT(AND(LEN(TRIM('DATOS'!B379&amp;""))&gt;0,TRIM('DATOS'!B379&amp;"")&lt;&gt;"Pendiente",TRIM('DATOS'!B379&amp;"")&lt;&gt;"Por confirmar",TRIM('DATOS'!B379&amp;"")&lt;&gt;"No consta",TRIM('DATOS'!B379&amp;"")&lt;&gt;"Desconocido",TRIM('DATOS'!B379&amp;"")&lt;&gt;"Sin confirmar",TRIM('DATOS'!B379&amp;"")&lt;&gt;"Por decidir",TRIM('DATOS'!B379&amp;"")&lt;&gt;"Por comprobar")),NOT(AND(LEN(TRIM('DATOS'!C379&amp;""))&gt;0,TRIM('DATOS'!C379&amp;"")&lt;&gt;"Pendiente",TRIM('DATOS'!C379&amp;"")&lt;&gt;"Por confirmar",TRIM('DATOS'!C379&amp;"")&lt;&gt;"No consta",TRIM('DATOS'!C379&amp;"")&lt;&gt;"Desconocido",TRIM('DATOS'!C379&amp;"")&lt;&gt;"Sin confirmar",TRIM('DATOS'!C379&amp;"")&lt;&gt;"Por decidir",TRIM('DATOS'!C379&amp;"")&lt;&gt;"Por comprobar")),NOT(AND(LEN(TRIM('DATOS'!D379&amp;""))&gt;0,TRIM('DATOS'!D379&amp;"")&lt;&gt;"Pendiente",TRIM('DATOS'!D379&amp;"")&lt;&gt;"Por confirmar",TRIM('DATOS'!D379&amp;"")&lt;&gt;"No consta",TRIM('DATOS'!D379&amp;"")&lt;&gt;"Desconocido",TRIM('DATOS'!D379&amp;"")&lt;&gt;"Sin confirmar",TRIM('DATOS'!D379&amp;"")&lt;&gt;"Por decidir",TRIM('DATOS'!D379&amp;"")&lt;&gt;"Por comprobar")),NOT(AND(LEN(TRIM('DATOS'!E379&amp;""))&gt;0,TRIM('DATOS'!E379&amp;"")&lt;&gt;"Pendiente",TRIM('DATOS'!E379&amp;"")&lt;&gt;"Por confirmar",TRIM('DATOS'!E379&amp;"")&lt;&gt;"No consta",TRIM('DATOS'!E379&amp;"")&lt;&gt;"Desconocido",TRIM('DATOS'!E379&amp;"")&lt;&gt;"Sin confirmar",TRIM('DATOS'!E379&amp;"")&lt;&gt;"Por decidir",TRIM('DATOS'!E379&amp;"")&lt;&gt;"Por comprobar")),NOT(AND(LEN(TRIM('DATOS'!F379&amp;""))&gt;0,TRIM('DATOS'!F379&amp;"")&lt;&gt;"Pendiente",TRIM('DATOS'!F379&amp;"")&lt;&gt;"Por confirmar",TRIM('DATOS'!F379&amp;"")&lt;&gt;"No consta",TRIM('DATOS'!F379&amp;"")&lt;&gt;"Desconocido",TRIM('DATOS'!F379&amp;"")&lt;&gt;"Sin confirmar",TRIM('DATOS'!F379&amp;"")&lt;&gt;"Por decidir",TRIM('DATOS'!F379&amp;"")&lt;&gt;"Por comprobar")),NOT(AND(LEN(TRIM('DATOS'!N379&amp;""))&gt;0,TRIM('DATOS'!N379&amp;"")&lt;&gt;"Pendiente",TRIM('DATOS'!N379&amp;"")&lt;&gt;"Por confirmar",TRIM('DATOS'!N379&amp;"")&lt;&gt;"No consta",TRIM('DATOS'!N379&amp;"")&lt;&gt;"Desconocido",TRIM('DATOS'!N379&amp;"")&lt;&gt;"Sin confirmar",TRIM('DATOS'!N379&amp;"")&lt;&gt;"Por decidir",TRIM('DATOS'!N379&amp;"")&lt;&gt;"Por comprobar")),NOT(Y379=1),W379&lt;&gt;1,X379&gt;1,NOT(OR(LEN(TRIM('DATOS'!K379&amp;""))=0,'DATOS'!K379="Sin valorar",'DATOS'!K379="Sin coste documentado",'DATOS'!K379="Incluido en otra partida",'DATOS'!K379="Por confirmar")),NOT(OR(LEN(TRIM('DATOS'!M379&amp;""))=0,'DATOS'!M379="Sí",'DATOS'!M379="No",'DATOS'!M379="Por confirmar")),NOT(OR(LEN(TRIM('DATOS'!O379&amp;""))=0,'DATOS'!O379="Comparamos",'DATOS'!O379="No existe",'DATOS'!O379="Por confirmar"))),2,IF(AND(OR('DATOS'!G379&lt;0,'DATOS'!H379&lt;0,'DATOS'!J379&lt;0),NOT(AND(LEN(TRIM('DATOS'!L379&amp;""))&gt;0,TRIM('DATOS'!L379&amp;"")&lt;&gt;"Pendiente",TRIM('DATOS'!L379&amp;"")&lt;&gt;"Por confirmar",TRIM('DATOS'!L379&amp;"")&lt;&gt;"No consta",TRIM('DATOS'!L379&amp;"")&lt;&gt;"Desconocido",TRIM('DATOS'!L379&amp;"")&lt;&gt;"Sin confirmar",TRIM('DATOS'!L379&amp;"")&lt;&gt;"Por decidir",TRIM('DATOS'!L379&amp;"")&lt;&gt;"Por comprobar"))),1,0))),2)</f>
      </c>
      <c r="P379" s="29">
        <f>IFERROR(IF(N379=0,"",IF(NOT(Y379=1),1,IF('REFERENCIAS'!$Q$8&lt;&gt;1,2,IF(ABS('DATOS'!J379-ROUND('DATOS'!G379*'DATOS'!H379,'REFERENCIAS'!$K$8))&gt;0.00000001,2,IF('DATOS'!O379="No existe",IF(LEN(TRIM('DATOS'!I379&amp;""))=0,0,2),IF('DATOS'!O379="Comparamos",IF(LEN(TRIM('DATOS'!I379&amp;""))=0,1,IF(ISNUMBER('DATOS'!I379),IF(ABS('DATOS'!H379-'DATOS'!I379)&gt;0.00000001,2,0),2)),1)))))),2)</f>
      </c>
      <c r="Q379" s="29">
        <f>IFERROR(IF(N379=0,"",IF(NOT(Y379=1),1,IF('DATOS'!K379="Sin valorar",2,IF('DATOS'!G379=0,1,IF(OR('DATOS'!H379=0,'DATOS'!J379=0),IF(AND(OR('DATOS'!K379="Sin coste documentado",'DATOS'!K379="Incluido en otra partida"),AND(LEN(TRIM('DATOS'!L379&amp;""))&gt;0,TRIM('DATOS'!L379&amp;"")&lt;&gt;"Pendiente",TRIM('DATOS'!L379&amp;"")&lt;&gt;"Por confirmar",TRIM('DATOS'!L379&amp;"")&lt;&gt;"No consta",TRIM('DATOS'!L379&amp;"")&lt;&gt;"Desconocido",TRIM('DATOS'!L379&amp;"")&lt;&gt;"Sin confirmar",TRIM('DATOS'!L379&amp;"")&lt;&gt;"Por decidir",TRIM('DATOS'!L379&amp;"")&lt;&gt;"Por comprobar")),0,1),0))))),2)</f>
      </c>
      <c r="R379" s="29">
        <f>IFERROR(IF(N379=0,"",IF(OR(NOT(AND(LEN(TRIM('DATOS'!D379&amp;""))&gt;0,TRIM('DATOS'!D379&amp;"")&lt;&gt;"Pendiente",TRIM('DATOS'!D379&amp;"")&lt;&gt;"Por confirmar",TRIM('DATOS'!D379&amp;"")&lt;&gt;"No consta",TRIM('DATOS'!D379&amp;"")&lt;&gt;"Desconocido",TRIM('DATOS'!D379&amp;"")&lt;&gt;"Sin confirmar",TRIM('DATOS'!D379&amp;"")&lt;&gt;"Por decidir",TRIM('DATOS'!D379&amp;"")&lt;&gt;"Por comprobar")),NOT(AND(LEN(TRIM('DATOS'!E379&amp;""))&gt;0,TRIM('DATOS'!E379&amp;"")&lt;&gt;"Pendiente",TRIM('DATOS'!E379&amp;"")&lt;&gt;"Por confirmar",TRIM('DATOS'!E379&amp;"")&lt;&gt;"No consta",TRIM('DATOS'!E379&amp;"")&lt;&gt;"Desconocido",TRIM('DATOS'!E379&amp;"")&lt;&gt;"Sin confirmar",TRIM('DATOS'!E379&amp;"")&lt;&gt;"Por decidir",TRIM('DATOS'!E379&amp;"")&lt;&gt;"Por comprobar"))),2,IF('DATOS'!M379="No",2,IF('DATOS'!M379="Sí",0,IF(OR('DATOS'!D379&lt;&gt;'DATOS'!E379,LEN('DATOS'!E379)&gt;300,RIGHT(TRIM('DATOS'!E379),3)="...",RIGHT(TRIM('DATOS'!E379),1)="…"),1,0))))),2)</f>
      </c>
      <c r="S379" s="29">
        <f>IFERROR(IF(N379=0,"",IF('REFERENCIAS'!$Q$8&lt;&gt;1,2,IF(NOT(Y379=1),1,IF(OR(ABS('DATOS'!G379-ROUND('DATOS'!G379,'REFERENCIAS'!$E$8))&gt;0.00000001,ABS('DATOS'!H379-ROUND('DATOS'!H379,'REFERENCIAS'!$H$8))&gt;0.00000001,ABS('DATOS'!J379-ROUND('DATOS'!J379,'REFERENCIAS'!$K$8))&gt;0.00000001,IF(ISNUMBER('DATOS'!I379),ABS('DATOS'!I379-ROUND('DATOS'!I379,'REFERENCIAS'!$H$8))&gt;0.00000001,FALSE)),1,0)))),2)</f>
      </c>
      <c r="T379" s="29">
        <f>IFERROR(IF(N379=0,"",IF(NOT(AND(LEN(TRIM('DATOS'!F379&amp;""))&gt;0,TRIM('DATOS'!F379&amp;"")&lt;&gt;"Pendiente",TRIM('DATOS'!F379&amp;"")&lt;&gt;"Por confirmar",TRIM('DATOS'!F379&amp;"")&lt;&gt;"No consta",TRIM('DATOS'!F379&amp;"")&lt;&gt;"Desconocido",TRIM('DATOS'!F379&amp;"")&lt;&gt;"Sin confirmar",TRIM('DATOS'!F379&amp;"")&lt;&gt;"Por decidir",TRIM('DATOS'!F379&amp;"")&lt;&gt;"Por comprobar")),2,IF(COUNTIFS('REFERENCIAS'!$T$15:$T$34,"ID:"&amp;SUBSTITUTE(SUBSTITUTE(SUBSTITUTE(SUBSTITUTE(UPPER(TRIM('DATOS'!F379&amp;"")),"!","!E"),"*","!A"),"?","!B"),"~","!C"),'REFERENCIAS'!$H$15:$H$34,"&lt;&gt;")&gt;0,0,1))),2)</f>
      </c>
      <c r="U379" s="29" t="str">
        <f>'DATOS'!R379</f>
        <v>ID:</v>
      </c>
      <c r="V379" s="29" t="str">
        <f>'DATOS'!S379</f>
        <v>ID:</v>
      </c>
      <c r="W379" s="29" t="n">
        <f>IF(N379=0,0,COUNTIFS('REFERENCIAS'!$R$15:$R$64,U379))</f>
        <v>0</v>
      </c>
      <c r="X379" s="29" t="n">
        <f>IF(N379=0,0,COUNTIFS('DATOS'!$R$10:$R$509,U379,'DATOS'!$S$10:$S$509,V379))</f>
        <v>0</v>
      </c>
      <c r="Y379" s="29" t="n">
        <f>IF(AND(ISNUMBER('DATOS'!G379),ISNUMBER('DATOS'!H379),ISNUMBER('DATOS'!J379)),1,0)</f>
        <v>0</v>
      </c>
    </row>
    <row r="380" ht="64" customHeight="1">
      <c r="B380" s="26">
        <f>IF(N380=1,371,"")</f>
      </c>
      <c r="C380" s="26">
        <f>IF(AND(N380=1,LEN(TRIM('DATOS'!B380&amp;""))&gt;0),'DATOS'!B380,"")</f>
      </c>
      <c r="D380" s="26">
        <f>IF(AND(N380=1,LEN(TRIM('DATOS'!C380&amp;""))&gt;0),'DATOS'!C380,"")</f>
      </c>
      <c r="E380" s="26">
        <f>IF(NOT(ISNUMBER(P380)),"",IF(P380=2,"ROJO",IF(P380=1,"ÁMBAR","VERDE")))</f>
      </c>
      <c r="F380" s="26">
        <f>IF(NOT(ISNUMBER(Q380)),"",IF(Q380=2,"ROJO",IF(Q380=1,"ÁMBAR","VERDE")))</f>
      </c>
      <c r="G380" s="26">
        <f>IF(NOT(ISNUMBER(R380)),"",IF(R380=2,"ROJO",IF(R380=1,"ÁMBAR","VERDE")))</f>
      </c>
      <c r="H380" s="26">
        <f>IF(NOT(ISNUMBER(S380)),"",IF(S380=2,"ROJO",IF(S380=1,"ÁMBAR","VERDE")))</f>
      </c>
      <c r="I380" s="26">
        <f>IF(NOT(ISNUMBER(T380)),"",IF(T380=2,"ROJO",IF(T380=1,"ÁMBAR","VERDE")))</f>
      </c>
      <c r="J380" s="26">
        <f>IF(NOT(ISNUMBER(O380)),"",IF(O380=2,"ROJO",IF(O380=1,"ÁMBAR","VERDE")))</f>
      </c>
      <c r="K380" s="26">
        <f>IFERROR(IF(AND(N380=1,LEN(TRIM('DATOS'!N380&amp;""))&gt;0),'DATOS'!N380,""),"Hay una entrada con error. Corregimos el dato antes de cerrar la comprobación.")</f>
      </c>
      <c r="L380" s="26">
        <f>IFERROR(IF(N380=0,"",IF(O380&gt;0,"Completamos datos, claves o motivo. ","")&amp;IF(P380&gt;0,"Cotejamos precios e importe. ","")&amp;IF(Q380&gt;0,"Aclaramos el cero. ","")&amp;IF(R380&gt;0,"Comprobamos el texto. ","")&amp;IF(S380&gt;0,"Revisamos decimales visibles. ","")&amp;IF(T380&gt;0,"Confirmamos la unidad.","")),"Hay una entrada con error. Corregimos el dato antes de cerrar la comprobación.")</f>
      </c>
      <c r="N380" s="29" t="n">
        <f>IF(COUNTA('DATOS'!B380:O380)&gt;0,1,0)</f>
        <v>0</v>
      </c>
      <c r="O380" s="29">
        <f>IFERROR(IF(N380=0,"",IF(OR(NOT(AND(LEN(TRIM('DATOS'!B380&amp;""))&gt;0,TRIM('DATOS'!B380&amp;"")&lt;&gt;"Pendiente",TRIM('DATOS'!B380&amp;"")&lt;&gt;"Por confirmar",TRIM('DATOS'!B380&amp;"")&lt;&gt;"No consta",TRIM('DATOS'!B380&amp;"")&lt;&gt;"Desconocido",TRIM('DATOS'!B380&amp;"")&lt;&gt;"Sin confirmar",TRIM('DATOS'!B380&amp;"")&lt;&gt;"Por decidir",TRIM('DATOS'!B380&amp;"")&lt;&gt;"Por comprobar")),NOT(AND(LEN(TRIM('DATOS'!C380&amp;""))&gt;0,TRIM('DATOS'!C380&amp;"")&lt;&gt;"Pendiente",TRIM('DATOS'!C380&amp;"")&lt;&gt;"Por confirmar",TRIM('DATOS'!C380&amp;"")&lt;&gt;"No consta",TRIM('DATOS'!C380&amp;"")&lt;&gt;"Desconocido",TRIM('DATOS'!C380&amp;"")&lt;&gt;"Sin confirmar",TRIM('DATOS'!C380&amp;"")&lt;&gt;"Por decidir",TRIM('DATOS'!C380&amp;"")&lt;&gt;"Por comprobar")),NOT(AND(LEN(TRIM('DATOS'!D380&amp;""))&gt;0,TRIM('DATOS'!D380&amp;"")&lt;&gt;"Pendiente",TRIM('DATOS'!D380&amp;"")&lt;&gt;"Por confirmar",TRIM('DATOS'!D380&amp;"")&lt;&gt;"No consta",TRIM('DATOS'!D380&amp;"")&lt;&gt;"Desconocido",TRIM('DATOS'!D380&amp;"")&lt;&gt;"Sin confirmar",TRIM('DATOS'!D380&amp;"")&lt;&gt;"Por decidir",TRIM('DATOS'!D380&amp;"")&lt;&gt;"Por comprobar")),NOT(AND(LEN(TRIM('DATOS'!E380&amp;""))&gt;0,TRIM('DATOS'!E380&amp;"")&lt;&gt;"Pendiente",TRIM('DATOS'!E380&amp;"")&lt;&gt;"Por confirmar",TRIM('DATOS'!E380&amp;"")&lt;&gt;"No consta",TRIM('DATOS'!E380&amp;"")&lt;&gt;"Desconocido",TRIM('DATOS'!E380&amp;"")&lt;&gt;"Sin confirmar",TRIM('DATOS'!E380&amp;"")&lt;&gt;"Por decidir",TRIM('DATOS'!E380&amp;"")&lt;&gt;"Por comprobar")),NOT(AND(LEN(TRIM('DATOS'!F380&amp;""))&gt;0,TRIM('DATOS'!F380&amp;"")&lt;&gt;"Pendiente",TRIM('DATOS'!F380&amp;"")&lt;&gt;"Por confirmar",TRIM('DATOS'!F380&amp;"")&lt;&gt;"No consta",TRIM('DATOS'!F380&amp;"")&lt;&gt;"Desconocido",TRIM('DATOS'!F380&amp;"")&lt;&gt;"Sin confirmar",TRIM('DATOS'!F380&amp;"")&lt;&gt;"Por decidir",TRIM('DATOS'!F380&amp;"")&lt;&gt;"Por comprobar")),NOT(AND(LEN(TRIM('DATOS'!N380&amp;""))&gt;0,TRIM('DATOS'!N380&amp;"")&lt;&gt;"Pendiente",TRIM('DATOS'!N380&amp;"")&lt;&gt;"Por confirmar",TRIM('DATOS'!N380&amp;"")&lt;&gt;"No consta",TRIM('DATOS'!N380&amp;"")&lt;&gt;"Desconocido",TRIM('DATOS'!N380&amp;"")&lt;&gt;"Sin confirmar",TRIM('DATOS'!N380&amp;"")&lt;&gt;"Por decidir",TRIM('DATOS'!N380&amp;"")&lt;&gt;"Por comprobar")),NOT(Y380=1),W380&lt;&gt;1,X380&gt;1,NOT(OR(LEN(TRIM('DATOS'!K380&amp;""))=0,'DATOS'!K380="Sin valorar",'DATOS'!K380="Sin coste documentado",'DATOS'!K380="Incluido en otra partida",'DATOS'!K380="Por confirmar")),NOT(OR(LEN(TRIM('DATOS'!M380&amp;""))=0,'DATOS'!M380="Sí",'DATOS'!M380="No",'DATOS'!M380="Por confirmar")),NOT(OR(LEN(TRIM('DATOS'!O380&amp;""))=0,'DATOS'!O380="Comparamos",'DATOS'!O380="No existe",'DATOS'!O380="Por confirmar"))),2,IF(AND(OR('DATOS'!G380&lt;0,'DATOS'!H380&lt;0,'DATOS'!J380&lt;0),NOT(AND(LEN(TRIM('DATOS'!L380&amp;""))&gt;0,TRIM('DATOS'!L380&amp;"")&lt;&gt;"Pendiente",TRIM('DATOS'!L380&amp;"")&lt;&gt;"Por confirmar",TRIM('DATOS'!L380&amp;"")&lt;&gt;"No consta",TRIM('DATOS'!L380&amp;"")&lt;&gt;"Desconocido",TRIM('DATOS'!L380&amp;"")&lt;&gt;"Sin confirmar",TRIM('DATOS'!L380&amp;"")&lt;&gt;"Por decidir",TRIM('DATOS'!L380&amp;"")&lt;&gt;"Por comprobar"))),1,0))),2)</f>
      </c>
      <c r="P380" s="29">
        <f>IFERROR(IF(N380=0,"",IF(NOT(Y380=1),1,IF('REFERENCIAS'!$Q$8&lt;&gt;1,2,IF(ABS('DATOS'!J380-ROUND('DATOS'!G380*'DATOS'!H380,'REFERENCIAS'!$K$8))&gt;0.00000001,2,IF('DATOS'!O380="No existe",IF(LEN(TRIM('DATOS'!I380&amp;""))=0,0,2),IF('DATOS'!O380="Comparamos",IF(LEN(TRIM('DATOS'!I380&amp;""))=0,1,IF(ISNUMBER('DATOS'!I380),IF(ABS('DATOS'!H380-'DATOS'!I380)&gt;0.00000001,2,0),2)),1)))))),2)</f>
      </c>
      <c r="Q380" s="29">
        <f>IFERROR(IF(N380=0,"",IF(NOT(Y380=1),1,IF('DATOS'!K380="Sin valorar",2,IF('DATOS'!G380=0,1,IF(OR('DATOS'!H380=0,'DATOS'!J380=0),IF(AND(OR('DATOS'!K380="Sin coste documentado",'DATOS'!K380="Incluido en otra partida"),AND(LEN(TRIM('DATOS'!L380&amp;""))&gt;0,TRIM('DATOS'!L380&amp;"")&lt;&gt;"Pendiente",TRIM('DATOS'!L380&amp;"")&lt;&gt;"Por confirmar",TRIM('DATOS'!L380&amp;"")&lt;&gt;"No consta",TRIM('DATOS'!L380&amp;"")&lt;&gt;"Desconocido",TRIM('DATOS'!L380&amp;"")&lt;&gt;"Sin confirmar",TRIM('DATOS'!L380&amp;"")&lt;&gt;"Por decidir",TRIM('DATOS'!L380&amp;"")&lt;&gt;"Por comprobar")),0,1),0))))),2)</f>
      </c>
      <c r="R380" s="29">
        <f>IFERROR(IF(N380=0,"",IF(OR(NOT(AND(LEN(TRIM('DATOS'!D380&amp;""))&gt;0,TRIM('DATOS'!D380&amp;"")&lt;&gt;"Pendiente",TRIM('DATOS'!D380&amp;"")&lt;&gt;"Por confirmar",TRIM('DATOS'!D380&amp;"")&lt;&gt;"No consta",TRIM('DATOS'!D380&amp;"")&lt;&gt;"Desconocido",TRIM('DATOS'!D380&amp;"")&lt;&gt;"Sin confirmar",TRIM('DATOS'!D380&amp;"")&lt;&gt;"Por decidir",TRIM('DATOS'!D380&amp;"")&lt;&gt;"Por comprobar")),NOT(AND(LEN(TRIM('DATOS'!E380&amp;""))&gt;0,TRIM('DATOS'!E380&amp;"")&lt;&gt;"Pendiente",TRIM('DATOS'!E380&amp;"")&lt;&gt;"Por confirmar",TRIM('DATOS'!E380&amp;"")&lt;&gt;"No consta",TRIM('DATOS'!E380&amp;"")&lt;&gt;"Desconocido",TRIM('DATOS'!E380&amp;"")&lt;&gt;"Sin confirmar",TRIM('DATOS'!E380&amp;"")&lt;&gt;"Por decidir",TRIM('DATOS'!E380&amp;"")&lt;&gt;"Por comprobar"))),2,IF('DATOS'!M380="No",2,IF('DATOS'!M380="Sí",0,IF(OR('DATOS'!D380&lt;&gt;'DATOS'!E380,LEN('DATOS'!E380)&gt;300,RIGHT(TRIM('DATOS'!E380),3)="...",RIGHT(TRIM('DATOS'!E380),1)="…"),1,0))))),2)</f>
      </c>
      <c r="S380" s="29">
        <f>IFERROR(IF(N380=0,"",IF('REFERENCIAS'!$Q$8&lt;&gt;1,2,IF(NOT(Y380=1),1,IF(OR(ABS('DATOS'!G380-ROUND('DATOS'!G380,'REFERENCIAS'!$E$8))&gt;0.00000001,ABS('DATOS'!H380-ROUND('DATOS'!H380,'REFERENCIAS'!$H$8))&gt;0.00000001,ABS('DATOS'!J380-ROUND('DATOS'!J380,'REFERENCIAS'!$K$8))&gt;0.00000001,IF(ISNUMBER('DATOS'!I380),ABS('DATOS'!I380-ROUND('DATOS'!I380,'REFERENCIAS'!$H$8))&gt;0.00000001,FALSE)),1,0)))),2)</f>
      </c>
      <c r="T380" s="29">
        <f>IFERROR(IF(N380=0,"",IF(NOT(AND(LEN(TRIM('DATOS'!F380&amp;""))&gt;0,TRIM('DATOS'!F380&amp;"")&lt;&gt;"Pendiente",TRIM('DATOS'!F380&amp;"")&lt;&gt;"Por confirmar",TRIM('DATOS'!F380&amp;"")&lt;&gt;"No consta",TRIM('DATOS'!F380&amp;"")&lt;&gt;"Desconocido",TRIM('DATOS'!F380&amp;"")&lt;&gt;"Sin confirmar",TRIM('DATOS'!F380&amp;"")&lt;&gt;"Por decidir",TRIM('DATOS'!F380&amp;"")&lt;&gt;"Por comprobar")),2,IF(COUNTIFS('REFERENCIAS'!$T$15:$T$34,"ID:"&amp;SUBSTITUTE(SUBSTITUTE(SUBSTITUTE(SUBSTITUTE(UPPER(TRIM('DATOS'!F380&amp;"")),"!","!E"),"*","!A"),"?","!B"),"~","!C"),'REFERENCIAS'!$H$15:$H$34,"&lt;&gt;")&gt;0,0,1))),2)</f>
      </c>
      <c r="U380" s="29" t="str">
        <f>'DATOS'!R380</f>
        <v>ID:</v>
      </c>
      <c r="V380" s="29" t="str">
        <f>'DATOS'!S380</f>
        <v>ID:</v>
      </c>
      <c r="W380" s="29" t="n">
        <f>IF(N380=0,0,COUNTIFS('REFERENCIAS'!$R$15:$R$64,U380))</f>
        <v>0</v>
      </c>
      <c r="X380" s="29" t="n">
        <f>IF(N380=0,0,COUNTIFS('DATOS'!$R$10:$R$509,U380,'DATOS'!$S$10:$S$509,V380))</f>
        <v>0</v>
      </c>
      <c r="Y380" s="29" t="n">
        <f>IF(AND(ISNUMBER('DATOS'!G380),ISNUMBER('DATOS'!H380),ISNUMBER('DATOS'!J380)),1,0)</f>
        <v>0</v>
      </c>
    </row>
    <row r="381" ht="64" customHeight="1">
      <c r="B381" s="26">
        <f>IF(N381=1,372,"")</f>
      </c>
      <c r="C381" s="26">
        <f>IF(AND(N381=1,LEN(TRIM('DATOS'!B381&amp;""))&gt;0),'DATOS'!B381,"")</f>
      </c>
      <c r="D381" s="26">
        <f>IF(AND(N381=1,LEN(TRIM('DATOS'!C381&amp;""))&gt;0),'DATOS'!C381,"")</f>
      </c>
      <c r="E381" s="26">
        <f>IF(NOT(ISNUMBER(P381)),"",IF(P381=2,"ROJO",IF(P381=1,"ÁMBAR","VERDE")))</f>
      </c>
      <c r="F381" s="26">
        <f>IF(NOT(ISNUMBER(Q381)),"",IF(Q381=2,"ROJO",IF(Q381=1,"ÁMBAR","VERDE")))</f>
      </c>
      <c r="G381" s="26">
        <f>IF(NOT(ISNUMBER(R381)),"",IF(R381=2,"ROJO",IF(R381=1,"ÁMBAR","VERDE")))</f>
      </c>
      <c r="H381" s="26">
        <f>IF(NOT(ISNUMBER(S381)),"",IF(S381=2,"ROJO",IF(S381=1,"ÁMBAR","VERDE")))</f>
      </c>
      <c r="I381" s="26">
        <f>IF(NOT(ISNUMBER(T381)),"",IF(T381=2,"ROJO",IF(T381=1,"ÁMBAR","VERDE")))</f>
      </c>
      <c r="J381" s="26">
        <f>IF(NOT(ISNUMBER(O381)),"",IF(O381=2,"ROJO",IF(O381=1,"ÁMBAR","VERDE")))</f>
      </c>
      <c r="K381" s="26">
        <f>IFERROR(IF(AND(N381=1,LEN(TRIM('DATOS'!N381&amp;""))&gt;0),'DATOS'!N381,""),"Hay una entrada con error. Corregimos el dato antes de cerrar la comprobación.")</f>
      </c>
      <c r="L381" s="26">
        <f>IFERROR(IF(N381=0,"",IF(O381&gt;0,"Completamos datos, claves o motivo. ","")&amp;IF(P381&gt;0,"Cotejamos precios e importe. ","")&amp;IF(Q381&gt;0,"Aclaramos el cero. ","")&amp;IF(R381&gt;0,"Comprobamos el texto. ","")&amp;IF(S381&gt;0,"Revisamos decimales visibles. ","")&amp;IF(T381&gt;0,"Confirmamos la unidad.","")),"Hay una entrada con error. Corregimos el dato antes de cerrar la comprobación.")</f>
      </c>
      <c r="N381" s="29" t="n">
        <f>IF(COUNTA('DATOS'!B381:O381)&gt;0,1,0)</f>
        <v>0</v>
      </c>
      <c r="O381" s="29">
        <f>IFERROR(IF(N381=0,"",IF(OR(NOT(AND(LEN(TRIM('DATOS'!B381&amp;""))&gt;0,TRIM('DATOS'!B381&amp;"")&lt;&gt;"Pendiente",TRIM('DATOS'!B381&amp;"")&lt;&gt;"Por confirmar",TRIM('DATOS'!B381&amp;"")&lt;&gt;"No consta",TRIM('DATOS'!B381&amp;"")&lt;&gt;"Desconocido",TRIM('DATOS'!B381&amp;"")&lt;&gt;"Sin confirmar",TRIM('DATOS'!B381&amp;"")&lt;&gt;"Por decidir",TRIM('DATOS'!B381&amp;"")&lt;&gt;"Por comprobar")),NOT(AND(LEN(TRIM('DATOS'!C381&amp;""))&gt;0,TRIM('DATOS'!C381&amp;"")&lt;&gt;"Pendiente",TRIM('DATOS'!C381&amp;"")&lt;&gt;"Por confirmar",TRIM('DATOS'!C381&amp;"")&lt;&gt;"No consta",TRIM('DATOS'!C381&amp;"")&lt;&gt;"Desconocido",TRIM('DATOS'!C381&amp;"")&lt;&gt;"Sin confirmar",TRIM('DATOS'!C381&amp;"")&lt;&gt;"Por decidir",TRIM('DATOS'!C381&amp;"")&lt;&gt;"Por comprobar")),NOT(AND(LEN(TRIM('DATOS'!D381&amp;""))&gt;0,TRIM('DATOS'!D381&amp;"")&lt;&gt;"Pendiente",TRIM('DATOS'!D381&amp;"")&lt;&gt;"Por confirmar",TRIM('DATOS'!D381&amp;"")&lt;&gt;"No consta",TRIM('DATOS'!D381&amp;"")&lt;&gt;"Desconocido",TRIM('DATOS'!D381&amp;"")&lt;&gt;"Sin confirmar",TRIM('DATOS'!D381&amp;"")&lt;&gt;"Por decidir",TRIM('DATOS'!D381&amp;"")&lt;&gt;"Por comprobar")),NOT(AND(LEN(TRIM('DATOS'!E381&amp;""))&gt;0,TRIM('DATOS'!E381&amp;"")&lt;&gt;"Pendiente",TRIM('DATOS'!E381&amp;"")&lt;&gt;"Por confirmar",TRIM('DATOS'!E381&amp;"")&lt;&gt;"No consta",TRIM('DATOS'!E381&amp;"")&lt;&gt;"Desconocido",TRIM('DATOS'!E381&amp;"")&lt;&gt;"Sin confirmar",TRIM('DATOS'!E381&amp;"")&lt;&gt;"Por decidir",TRIM('DATOS'!E381&amp;"")&lt;&gt;"Por comprobar")),NOT(AND(LEN(TRIM('DATOS'!F381&amp;""))&gt;0,TRIM('DATOS'!F381&amp;"")&lt;&gt;"Pendiente",TRIM('DATOS'!F381&amp;"")&lt;&gt;"Por confirmar",TRIM('DATOS'!F381&amp;"")&lt;&gt;"No consta",TRIM('DATOS'!F381&amp;"")&lt;&gt;"Desconocido",TRIM('DATOS'!F381&amp;"")&lt;&gt;"Sin confirmar",TRIM('DATOS'!F381&amp;"")&lt;&gt;"Por decidir",TRIM('DATOS'!F381&amp;"")&lt;&gt;"Por comprobar")),NOT(AND(LEN(TRIM('DATOS'!N381&amp;""))&gt;0,TRIM('DATOS'!N381&amp;"")&lt;&gt;"Pendiente",TRIM('DATOS'!N381&amp;"")&lt;&gt;"Por confirmar",TRIM('DATOS'!N381&amp;"")&lt;&gt;"No consta",TRIM('DATOS'!N381&amp;"")&lt;&gt;"Desconocido",TRIM('DATOS'!N381&amp;"")&lt;&gt;"Sin confirmar",TRIM('DATOS'!N381&amp;"")&lt;&gt;"Por decidir",TRIM('DATOS'!N381&amp;"")&lt;&gt;"Por comprobar")),NOT(Y381=1),W381&lt;&gt;1,X381&gt;1,NOT(OR(LEN(TRIM('DATOS'!K381&amp;""))=0,'DATOS'!K381="Sin valorar",'DATOS'!K381="Sin coste documentado",'DATOS'!K381="Incluido en otra partida",'DATOS'!K381="Por confirmar")),NOT(OR(LEN(TRIM('DATOS'!M381&amp;""))=0,'DATOS'!M381="Sí",'DATOS'!M381="No",'DATOS'!M381="Por confirmar")),NOT(OR(LEN(TRIM('DATOS'!O381&amp;""))=0,'DATOS'!O381="Comparamos",'DATOS'!O381="No existe",'DATOS'!O381="Por confirmar"))),2,IF(AND(OR('DATOS'!G381&lt;0,'DATOS'!H381&lt;0,'DATOS'!J381&lt;0),NOT(AND(LEN(TRIM('DATOS'!L381&amp;""))&gt;0,TRIM('DATOS'!L381&amp;"")&lt;&gt;"Pendiente",TRIM('DATOS'!L381&amp;"")&lt;&gt;"Por confirmar",TRIM('DATOS'!L381&amp;"")&lt;&gt;"No consta",TRIM('DATOS'!L381&amp;"")&lt;&gt;"Desconocido",TRIM('DATOS'!L381&amp;"")&lt;&gt;"Sin confirmar",TRIM('DATOS'!L381&amp;"")&lt;&gt;"Por decidir",TRIM('DATOS'!L381&amp;"")&lt;&gt;"Por comprobar"))),1,0))),2)</f>
      </c>
      <c r="P381" s="29">
        <f>IFERROR(IF(N381=0,"",IF(NOT(Y381=1),1,IF('REFERENCIAS'!$Q$8&lt;&gt;1,2,IF(ABS('DATOS'!J381-ROUND('DATOS'!G381*'DATOS'!H381,'REFERENCIAS'!$K$8))&gt;0.00000001,2,IF('DATOS'!O381="No existe",IF(LEN(TRIM('DATOS'!I381&amp;""))=0,0,2),IF('DATOS'!O381="Comparamos",IF(LEN(TRIM('DATOS'!I381&amp;""))=0,1,IF(ISNUMBER('DATOS'!I381),IF(ABS('DATOS'!H381-'DATOS'!I381)&gt;0.00000001,2,0),2)),1)))))),2)</f>
      </c>
      <c r="Q381" s="29">
        <f>IFERROR(IF(N381=0,"",IF(NOT(Y381=1),1,IF('DATOS'!K381="Sin valorar",2,IF('DATOS'!G381=0,1,IF(OR('DATOS'!H381=0,'DATOS'!J381=0),IF(AND(OR('DATOS'!K381="Sin coste documentado",'DATOS'!K381="Incluido en otra partida"),AND(LEN(TRIM('DATOS'!L381&amp;""))&gt;0,TRIM('DATOS'!L381&amp;"")&lt;&gt;"Pendiente",TRIM('DATOS'!L381&amp;"")&lt;&gt;"Por confirmar",TRIM('DATOS'!L381&amp;"")&lt;&gt;"No consta",TRIM('DATOS'!L381&amp;"")&lt;&gt;"Desconocido",TRIM('DATOS'!L381&amp;"")&lt;&gt;"Sin confirmar",TRIM('DATOS'!L381&amp;"")&lt;&gt;"Por decidir",TRIM('DATOS'!L381&amp;"")&lt;&gt;"Por comprobar")),0,1),0))))),2)</f>
      </c>
      <c r="R381" s="29">
        <f>IFERROR(IF(N381=0,"",IF(OR(NOT(AND(LEN(TRIM('DATOS'!D381&amp;""))&gt;0,TRIM('DATOS'!D381&amp;"")&lt;&gt;"Pendiente",TRIM('DATOS'!D381&amp;"")&lt;&gt;"Por confirmar",TRIM('DATOS'!D381&amp;"")&lt;&gt;"No consta",TRIM('DATOS'!D381&amp;"")&lt;&gt;"Desconocido",TRIM('DATOS'!D381&amp;"")&lt;&gt;"Sin confirmar",TRIM('DATOS'!D381&amp;"")&lt;&gt;"Por decidir",TRIM('DATOS'!D381&amp;"")&lt;&gt;"Por comprobar")),NOT(AND(LEN(TRIM('DATOS'!E381&amp;""))&gt;0,TRIM('DATOS'!E381&amp;"")&lt;&gt;"Pendiente",TRIM('DATOS'!E381&amp;"")&lt;&gt;"Por confirmar",TRIM('DATOS'!E381&amp;"")&lt;&gt;"No consta",TRIM('DATOS'!E381&amp;"")&lt;&gt;"Desconocido",TRIM('DATOS'!E381&amp;"")&lt;&gt;"Sin confirmar",TRIM('DATOS'!E381&amp;"")&lt;&gt;"Por decidir",TRIM('DATOS'!E381&amp;"")&lt;&gt;"Por comprobar"))),2,IF('DATOS'!M381="No",2,IF('DATOS'!M381="Sí",0,IF(OR('DATOS'!D381&lt;&gt;'DATOS'!E381,LEN('DATOS'!E381)&gt;300,RIGHT(TRIM('DATOS'!E381),3)="...",RIGHT(TRIM('DATOS'!E381),1)="…"),1,0))))),2)</f>
      </c>
      <c r="S381" s="29">
        <f>IFERROR(IF(N381=0,"",IF('REFERENCIAS'!$Q$8&lt;&gt;1,2,IF(NOT(Y381=1),1,IF(OR(ABS('DATOS'!G381-ROUND('DATOS'!G381,'REFERENCIAS'!$E$8))&gt;0.00000001,ABS('DATOS'!H381-ROUND('DATOS'!H381,'REFERENCIAS'!$H$8))&gt;0.00000001,ABS('DATOS'!J381-ROUND('DATOS'!J381,'REFERENCIAS'!$K$8))&gt;0.00000001,IF(ISNUMBER('DATOS'!I381),ABS('DATOS'!I381-ROUND('DATOS'!I381,'REFERENCIAS'!$H$8))&gt;0.00000001,FALSE)),1,0)))),2)</f>
      </c>
      <c r="T381" s="29">
        <f>IFERROR(IF(N381=0,"",IF(NOT(AND(LEN(TRIM('DATOS'!F381&amp;""))&gt;0,TRIM('DATOS'!F381&amp;"")&lt;&gt;"Pendiente",TRIM('DATOS'!F381&amp;"")&lt;&gt;"Por confirmar",TRIM('DATOS'!F381&amp;"")&lt;&gt;"No consta",TRIM('DATOS'!F381&amp;"")&lt;&gt;"Desconocido",TRIM('DATOS'!F381&amp;"")&lt;&gt;"Sin confirmar",TRIM('DATOS'!F381&amp;"")&lt;&gt;"Por decidir",TRIM('DATOS'!F381&amp;"")&lt;&gt;"Por comprobar")),2,IF(COUNTIFS('REFERENCIAS'!$T$15:$T$34,"ID:"&amp;SUBSTITUTE(SUBSTITUTE(SUBSTITUTE(SUBSTITUTE(UPPER(TRIM('DATOS'!F381&amp;"")),"!","!E"),"*","!A"),"?","!B"),"~","!C"),'REFERENCIAS'!$H$15:$H$34,"&lt;&gt;")&gt;0,0,1))),2)</f>
      </c>
      <c r="U381" s="29" t="str">
        <f>'DATOS'!R381</f>
        <v>ID:</v>
      </c>
      <c r="V381" s="29" t="str">
        <f>'DATOS'!S381</f>
        <v>ID:</v>
      </c>
      <c r="W381" s="29" t="n">
        <f>IF(N381=0,0,COUNTIFS('REFERENCIAS'!$R$15:$R$64,U381))</f>
        <v>0</v>
      </c>
      <c r="X381" s="29" t="n">
        <f>IF(N381=0,0,COUNTIFS('DATOS'!$R$10:$R$509,U381,'DATOS'!$S$10:$S$509,V381))</f>
        <v>0</v>
      </c>
      <c r="Y381" s="29" t="n">
        <f>IF(AND(ISNUMBER('DATOS'!G381),ISNUMBER('DATOS'!H381),ISNUMBER('DATOS'!J381)),1,0)</f>
        <v>0</v>
      </c>
    </row>
    <row r="382" ht="64" customHeight="1">
      <c r="B382" s="26">
        <f>IF(N382=1,373,"")</f>
      </c>
      <c r="C382" s="26">
        <f>IF(AND(N382=1,LEN(TRIM('DATOS'!B382&amp;""))&gt;0),'DATOS'!B382,"")</f>
      </c>
      <c r="D382" s="26">
        <f>IF(AND(N382=1,LEN(TRIM('DATOS'!C382&amp;""))&gt;0),'DATOS'!C382,"")</f>
      </c>
      <c r="E382" s="26">
        <f>IF(NOT(ISNUMBER(P382)),"",IF(P382=2,"ROJO",IF(P382=1,"ÁMBAR","VERDE")))</f>
      </c>
      <c r="F382" s="26">
        <f>IF(NOT(ISNUMBER(Q382)),"",IF(Q382=2,"ROJO",IF(Q382=1,"ÁMBAR","VERDE")))</f>
      </c>
      <c r="G382" s="26">
        <f>IF(NOT(ISNUMBER(R382)),"",IF(R382=2,"ROJO",IF(R382=1,"ÁMBAR","VERDE")))</f>
      </c>
      <c r="H382" s="26">
        <f>IF(NOT(ISNUMBER(S382)),"",IF(S382=2,"ROJO",IF(S382=1,"ÁMBAR","VERDE")))</f>
      </c>
      <c r="I382" s="26">
        <f>IF(NOT(ISNUMBER(T382)),"",IF(T382=2,"ROJO",IF(T382=1,"ÁMBAR","VERDE")))</f>
      </c>
      <c r="J382" s="26">
        <f>IF(NOT(ISNUMBER(O382)),"",IF(O382=2,"ROJO",IF(O382=1,"ÁMBAR","VERDE")))</f>
      </c>
      <c r="K382" s="26">
        <f>IFERROR(IF(AND(N382=1,LEN(TRIM('DATOS'!N382&amp;""))&gt;0),'DATOS'!N382,""),"Hay una entrada con error. Corregimos el dato antes de cerrar la comprobación.")</f>
      </c>
      <c r="L382" s="26">
        <f>IFERROR(IF(N382=0,"",IF(O382&gt;0,"Completamos datos, claves o motivo. ","")&amp;IF(P382&gt;0,"Cotejamos precios e importe. ","")&amp;IF(Q382&gt;0,"Aclaramos el cero. ","")&amp;IF(R382&gt;0,"Comprobamos el texto. ","")&amp;IF(S382&gt;0,"Revisamos decimales visibles. ","")&amp;IF(T382&gt;0,"Confirmamos la unidad.","")),"Hay una entrada con error. Corregimos el dato antes de cerrar la comprobación.")</f>
      </c>
      <c r="N382" s="29" t="n">
        <f>IF(COUNTA('DATOS'!B382:O382)&gt;0,1,0)</f>
        <v>0</v>
      </c>
      <c r="O382" s="29">
        <f>IFERROR(IF(N382=0,"",IF(OR(NOT(AND(LEN(TRIM('DATOS'!B382&amp;""))&gt;0,TRIM('DATOS'!B382&amp;"")&lt;&gt;"Pendiente",TRIM('DATOS'!B382&amp;"")&lt;&gt;"Por confirmar",TRIM('DATOS'!B382&amp;"")&lt;&gt;"No consta",TRIM('DATOS'!B382&amp;"")&lt;&gt;"Desconocido",TRIM('DATOS'!B382&amp;"")&lt;&gt;"Sin confirmar",TRIM('DATOS'!B382&amp;"")&lt;&gt;"Por decidir",TRIM('DATOS'!B382&amp;"")&lt;&gt;"Por comprobar")),NOT(AND(LEN(TRIM('DATOS'!C382&amp;""))&gt;0,TRIM('DATOS'!C382&amp;"")&lt;&gt;"Pendiente",TRIM('DATOS'!C382&amp;"")&lt;&gt;"Por confirmar",TRIM('DATOS'!C382&amp;"")&lt;&gt;"No consta",TRIM('DATOS'!C382&amp;"")&lt;&gt;"Desconocido",TRIM('DATOS'!C382&amp;"")&lt;&gt;"Sin confirmar",TRIM('DATOS'!C382&amp;"")&lt;&gt;"Por decidir",TRIM('DATOS'!C382&amp;"")&lt;&gt;"Por comprobar")),NOT(AND(LEN(TRIM('DATOS'!D382&amp;""))&gt;0,TRIM('DATOS'!D382&amp;"")&lt;&gt;"Pendiente",TRIM('DATOS'!D382&amp;"")&lt;&gt;"Por confirmar",TRIM('DATOS'!D382&amp;"")&lt;&gt;"No consta",TRIM('DATOS'!D382&amp;"")&lt;&gt;"Desconocido",TRIM('DATOS'!D382&amp;"")&lt;&gt;"Sin confirmar",TRIM('DATOS'!D382&amp;"")&lt;&gt;"Por decidir",TRIM('DATOS'!D382&amp;"")&lt;&gt;"Por comprobar")),NOT(AND(LEN(TRIM('DATOS'!E382&amp;""))&gt;0,TRIM('DATOS'!E382&amp;"")&lt;&gt;"Pendiente",TRIM('DATOS'!E382&amp;"")&lt;&gt;"Por confirmar",TRIM('DATOS'!E382&amp;"")&lt;&gt;"No consta",TRIM('DATOS'!E382&amp;"")&lt;&gt;"Desconocido",TRIM('DATOS'!E382&amp;"")&lt;&gt;"Sin confirmar",TRIM('DATOS'!E382&amp;"")&lt;&gt;"Por decidir",TRIM('DATOS'!E382&amp;"")&lt;&gt;"Por comprobar")),NOT(AND(LEN(TRIM('DATOS'!F382&amp;""))&gt;0,TRIM('DATOS'!F382&amp;"")&lt;&gt;"Pendiente",TRIM('DATOS'!F382&amp;"")&lt;&gt;"Por confirmar",TRIM('DATOS'!F382&amp;"")&lt;&gt;"No consta",TRIM('DATOS'!F382&amp;"")&lt;&gt;"Desconocido",TRIM('DATOS'!F382&amp;"")&lt;&gt;"Sin confirmar",TRIM('DATOS'!F382&amp;"")&lt;&gt;"Por decidir",TRIM('DATOS'!F382&amp;"")&lt;&gt;"Por comprobar")),NOT(AND(LEN(TRIM('DATOS'!N382&amp;""))&gt;0,TRIM('DATOS'!N382&amp;"")&lt;&gt;"Pendiente",TRIM('DATOS'!N382&amp;"")&lt;&gt;"Por confirmar",TRIM('DATOS'!N382&amp;"")&lt;&gt;"No consta",TRIM('DATOS'!N382&amp;"")&lt;&gt;"Desconocido",TRIM('DATOS'!N382&amp;"")&lt;&gt;"Sin confirmar",TRIM('DATOS'!N382&amp;"")&lt;&gt;"Por decidir",TRIM('DATOS'!N382&amp;"")&lt;&gt;"Por comprobar")),NOT(Y382=1),W382&lt;&gt;1,X382&gt;1,NOT(OR(LEN(TRIM('DATOS'!K382&amp;""))=0,'DATOS'!K382="Sin valorar",'DATOS'!K382="Sin coste documentado",'DATOS'!K382="Incluido en otra partida",'DATOS'!K382="Por confirmar")),NOT(OR(LEN(TRIM('DATOS'!M382&amp;""))=0,'DATOS'!M382="Sí",'DATOS'!M382="No",'DATOS'!M382="Por confirmar")),NOT(OR(LEN(TRIM('DATOS'!O382&amp;""))=0,'DATOS'!O382="Comparamos",'DATOS'!O382="No existe",'DATOS'!O382="Por confirmar"))),2,IF(AND(OR('DATOS'!G382&lt;0,'DATOS'!H382&lt;0,'DATOS'!J382&lt;0),NOT(AND(LEN(TRIM('DATOS'!L382&amp;""))&gt;0,TRIM('DATOS'!L382&amp;"")&lt;&gt;"Pendiente",TRIM('DATOS'!L382&amp;"")&lt;&gt;"Por confirmar",TRIM('DATOS'!L382&amp;"")&lt;&gt;"No consta",TRIM('DATOS'!L382&amp;"")&lt;&gt;"Desconocido",TRIM('DATOS'!L382&amp;"")&lt;&gt;"Sin confirmar",TRIM('DATOS'!L382&amp;"")&lt;&gt;"Por decidir",TRIM('DATOS'!L382&amp;"")&lt;&gt;"Por comprobar"))),1,0))),2)</f>
      </c>
      <c r="P382" s="29">
        <f>IFERROR(IF(N382=0,"",IF(NOT(Y382=1),1,IF('REFERENCIAS'!$Q$8&lt;&gt;1,2,IF(ABS('DATOS'!J382-ROUND('DATOS'!G382*'DATOS'!H382,'REFERENCIAS'!$K$8))&gt;0.00000001,2,IF('DATOS'!O382="No existe",IF(LEN(TRIM('DATOS'!I382&amp;""))=0,0,2),IF('DATOS'!O382="Comparamos",IF(LEN(TRIM('DATOS'!I382&amp;""))=0,1,IF(ISNUMBER('DATOS'!I382),IF(ABS('DATOS'!H382-'DATOS'!I382)&gt;0.00000001,2,0),2)),1)))))),2)</f>
      </c>
      <c r="Q382" s="29">
        <f>IFERROR(IF(N382=0,"",IF(NOT(Y382=1),1,IF('DATOS'!K382="Sin valorar",2,IF('DATOS'!G382=0,1,IF(OR('DATOS'!H382=0,'DATOS'!J382=0),IF(AND(OR('DATOS'!K382="Sin coste documentado",'DATOS'!K382="Incluido en otra partida"),AND(LEN(TRIM('DATOS'!L382&amp;""))&gt;0,TRIM('DATOS'!L382&amp;"")&lt;&gt;"Pendiente",TRIM('DATOS'!L382&amp;"")&lt;&gt;"Por confirmar",TRIM('DATOS'!L382&amp;"")&lt;&gt;"No consta",TRIM('DATOS'!L382&amp;"")&lt;&gt;"Desconocido",TRIM('DATOS'!L382&amp;"")&lt;&gt;"Sin confirmar",TRIM('DATOS'!L382&amp;"")&lt;&gt;"Por decidir",TRIM('DATOS'!L382&amp;"")&lt;&gt;"Por comprobar")),0,1),0))))),2)</f>
      </c>
      <c r="R382" s="29">
        <f>IFERROR(IF(N382=0,"",IF(OR(NOT(AND(LEN(TRIM('DATOS'!D382&amp;""))&gt;0,TRIM('DATOS'!D382&amp;"")&lt;&gt;"Pendiente",TRIM('DATOS'!D382&amp;"")&lt;&gt;"Por confirmar",TRIM('DATOS'!D382&amp;"")&lt;&gt;"No consta",TRIM('DATOS'!D382&amp;"")&lt;&gt;"Desconocido",TRIM('DATOS'!D382&amp;"")&lt;&gt;"Sin confirmar",TRIM('DATOS'!D382&amp;"")&lt;&gt;"Por decidir",TRIM('DATOS'!D382&amp;"")&lt;&gt;"Por comprobar")),NOT(AND(LEN(TRIM('DATOS'!E382&amp;""))&gt;0,TRIM('DATOS'!E382&amp;"")&lt;&gt;"Pendiente",TRIM('DATOS'!E382&amp;"")&lt;&gt;"Por confirmar",TRIM('DATOS'!E382&amp;"")&lt;&gt;"No consta",TRIM('DATOS'!E382&amp;"")&lt;&gt;"Desconocido",TRIM('DATOS'!E382&amp;"")&lt;&gt;"Sin confirmar",TRIM('DATOS'!E382&amp;"")&lt;&gt;"Por decidir",TRIM('DATOS'!E382&amp;"")&lt;&gt;"Por comprobar"))),2,IF('DATOS'!M382="No",2,IF('DATOS'!M382="Sí",0,IF(OR('DATOS'!D382&lt;&gt;'DATOS'!E382,LEN('DATOS'!E382)&gt;300,RIGHT(TRIM('DATOS'!E382),3)="...",RIGHT(TRIM('DATOS'!E382),1)="…"),1,0))))),2)</f>
      </c>
      <c r="S382" s="29">
        <f>IFERROR(IF(N382=0,"",IF('REFERENCIAS'!$Q$8&lt;&gt;1,2,IF(NOT(Y382=1),1,IF(OR(ABS('DATOS'!G382-ROUND('DATOS'!G382,'REFERENCIAS'!$E$8))&gt;0.00000001,ABS('DATOS'!H382-ROUND('DATOS'!H382,'REFERENCIAS'!$H$8))&gt;0.00000001,ABS('DATOS'!J382-ROUND('DATOS'!J382,'REFERENCIAS'!$K$8))&gt;0.00000001,IF(ISNUMBER('DATOS'!I382),ABS('DATOS'!I382-ROUND('DATOS'!I382,'REFERENCIAS'!$H$8))&gt;0.00000001,FALSE)),1,0)))),2)</f>
      </c>
      <c r="T382" s="29">
        <f>IFERROR(IF(N382=0,"",IF(NOT(AND(LEN(TRIM('DATOS'!F382&amp;""))&gt;0,TRIM('DATOS'!F382&amp;"")&lt;&gt;"Pendiente",TRIM('DATOS'!F382&amp;"")&lt;&gt;"Por confirmar",TRIM('DATOS'!F382&amp;"")&lt;&gt;"No consta",TRIM('DATOS'!F382&amp;"")&lt;&gt;"Desconocido",TRIM('DATOS'!F382&amp;"")&lt;&gt;"Sin confirmar",TRIM('DATOS'!F382&amp;"")&lt;&gt;"Por decidir",TRIM('DATOS'!F382&amp;"")&lt;&gt;"Por comprobar")),2,IF(COUNTIFS('REFERENCIAS'!$T$15:$T$34,"ID:"&amp;SUBSTITUTE(SUBSTITUTE(SUBSTITUTE(SUBSTITUTE(UPPER(TRIM('DATOS'!F382&amp;"")),"!","!E"),"*","!A"),"?","!B"),"~","!C"),'REFERENCIAS'!$H$15:$H$34,"&lt;&gt;")&gt;0,0,1))),2)</f>
      </c>
      <c r="U382" s="29" t="str">
        <f>'DATOS'!R382</f>
        <v>ID:</v>
      </c>
      <c r="V382" s="29" t="str">
        <f>'DATOS'!S382</f>
        <v>ID:</v>
      </c>
      <c r="W382" s="29" t="n">
        <f>IF(N382=0,0,COUNTIFS('REFERENCIAS'!$R$15:$R$64,U382))</f>
        <v>0</v>
      </c>
      <c r="X382" s="29" t="n">
        <f>IF(N382=0,0,COUNTIFS('DATOS'!$R$10:$R$509,U382,'DATOS'!$S$10:$S$509,V382))</f>
        <v>0</v>
      </c>
      <c r="Y382" s="29" t="n">
        <f>IF(AND(ISNUMBER('DATOS'!G382),ISNUMBER('DATOS'!H382),ISNUMBER('DATOS'!J382)),1,0)</f>
        <v>0</v>
      </c>
    </row>
    <row r="383" ht="64" customHeight="1">
      <c r="B383" s="26">
        <f>IF(N383=1,374,"")</f>
      </c>
      <c r="C383" s="26">
        <f>IF(AND(N383=1,LEN(TRIM('DATOS'!B383&amp;""))&gt;0),'DATOS'!B383,"")</f>
      </c>
      <c r="D383" s="26">
        <f>IF(AND(N383=1,LEN(TRIM('DATOS'!C383&amp;""))&gt;0),'DATOS'!C383,"")</f>
      </c>
      <c r="E383" s="26">
        <f>IF(NOT(ISNUMBER(P383)),"",IF(P383=2,"ROJO",IF(P383=1,"ÁMBAR","VERDE")))</f>
      </c>
      <c r="F383" s="26">
        <f>IF(NOT(ISNUMBER(Q383)),"",IF(Q383=2,"ROJO",IF(Q383=1,"ÁMBAR","VERDE")))</f>
      </c>
      <c r="G383" s="26">
        <f>IF(NOT(ISNUMBER(R383)),"",IF(R383=2,"ROJO",IF(R383=1,"ÁMBAR","VERDE")))</f>
      </c>
      <c r="H383" s="26">
        <f>IF(NOT(ISNUMBER(S383)),"",IF(S383=2,"ROJO",IF(S383=1,"ÁMBAR","VERDE")))</f>
      </c>
      <c r="I383" s="26">
        <f>IF(NOT(ISNUMBER(T383)),"",IF(T383=2,"ROJO",IF(T383=1,"ÁMBAR","VERDE")))</f>
      </c>
      <c r="J383" s="26">
        <f>IF(NOT(ISNUMBER(O383)),"",IF(O383=2,"ROJO",IF(O383=1,"ÁMBAR","VERDE")))</f>
      </c>
      <c r="K383" s="26">
        <f>IFERROR(IF(AND(N383=1,LEN(TRIM('DATOS'!N383&amp;""))&gt;0),'DATOS'!N383,""),"Hay una entrada con error. Corregimos el dato antes de cerrar la comprobación.")</f>
      </c>
      <c r="L383" s="26">
        <f>IFERROR(IF(N383=0,"",IF(O383&gt;0,"Completamos datos, claves o motivo. ","")&amp;IF(P383&gt;0,"Cotejamos precios e importe. ","")&amp;IF(Q383&gt;0,"Aclaramos el cero. ","")&amp;IF(R383&gt;0,"Comprobamos el texto. ","")&amp;IF(S383&gt;0,"Revisamos decimales visibles. ","")&amp;IF(T383&gt;0,"Confirmamos la unidad.","")),"Hay una entrada con error. Corregimos el dato antes de cerrar la comprobación.")</f>
      </c>
      <c r="N383" s="29" t="n">
        <f>IF(COUNTA('DATOS'!B383:O383)&gt;0,1,0)</f>
        <v>0</v>
      </c>
      <c r="O383" s="29">
        <f>IFERROR(IF(N383=0,"",IF(OR(NOT(AND(LEN(TRIM('DATOS'!B383&amp;""))&gt;0,TRIM('DATOS'!B383&amp;"")&lt;&gt;"Pendiente",TRIM('DATOS'!B383&amp;"")&lt;&gt;"Por confirmar",TRIM('DATOS'!B383&amp;"")&lt;&gt;"No consta",TRIM('DATOS'!B383&amp;"")&lt;&gt;"Desconocido",TRIM('DATOS'!B383&amp;"")&lt;&gt;"Sin confirmar",TRIM('DATOS'!B383&amp;"")&lt;&gt;"Por decidir",TRIM('DATOS'!B383&amp;"")&lt;&gt;"Por comprobar")),NOT(AND(LEN(TRIM('DATOS'!C383&amp;""))&gt;0,TRIM('DATOS'!C383&amp;"")&lt;&gt;"Pendiente",TRIM('DATOS'!C383&amp;"")&lt;&gt;"Por confirmar",TRIM('DATOS'!C383&amp;"")&lt;&gt;"No consta",TRIM('DATOS'!C383&amp;"")&lt;&gt;"Desconocido",TRIM('DATOS'!C383&amp;"")&lt;&gt;"Sin confirmar",TRIM('DATOS'!C383&amp;"")&lt;&gt;"Por decidir",TRIM('DATOS'!C383&amp;"")&lt;&gt;"Por comprobar")),NOT(AND(LEN(TRIM('DATOS'!D383&amp;""))&gt;0,TRIM('DATOS'!D383&amp;"")&lt;&gt;"Pendiente",TRIM('DATOS'!D383&amp;"")&lt;&gt;"Por confirmar",TRIM('DATOS'!D383&amp;"")&lt;&gt;"No consta",TRIM('DATOS'!D383&amp;"")&lt;&gt;"Desconocido",TRIM('DATOS'!D383&amp;"")&lt;&gt;"Sin confirmar",TRIM('DATOS'!D383&amp;"")&lt;&gt;"Por decidir",TRIM('DATOS'!D383&amp;"")&lt;&gt;"Por comprobar")),NOT(AND(LEN(TRIM('DATOS'!E383&amp;""))&gt;0,TRIM('DATOS'!E383&amp;"")&lt;&gt;"Pendiente",TRIM('DATOS'!E383&amp;"")&lt;&gt;"Por confirmar",TRIM('DATOS'!E383&amp;"")&lt;&gt;"No consta",TRIM('DATOS'!E383&amp;"")&lt;&gt;"Desconocido",TRIM('DATOS'!E383&amp;"")&lt;&gt;"Sin confirmar",TRIM('DATOS'!E383&amp;"")&lt;&gt;"Por decidir",TRIM('DATOS'!E383&amp;"")&lt;&gt;"Por comprobar")),NOT(AND(LEN(TRIM('DATOS'!F383&amp;""))&gt;0,TRIM('DATOS'!F383&amp;"")&lt;&gt;"Pendiente",TRIM('DATOS'!F383&amp;"")&lt;&gt;"Por confirmar",TRIM('DATOS'!F383&amp;"")&lt;&gt;"No consta",TRIM('DATOS'!F383&amp;"")&lt;&gt;"Desconocido",TRIM('DATOS'!F383&amp;"")&lt;&gt;"Sin confirmar",TRIM('DATOS'!F383&amp;"")&lt;&gt;"Por decidir",TRIM('DATOS'!F383&amp;"")&lt;&gt;"Por comprobar")),NOT(AND(LEN(TRIM('DATOS'!N383&amp;""))&gt;0,TRIM('DATOS'!N383&amp;"")&lt;&gt;"Pendiente",TRIM('DATOS'!N383&amp;"")&lt;&gt;"Por confirmar",TRIM('DATOS'!N383&amp;"")&lt;&gt;"No consta",TRIM('DATOS'!N383&amp;"")&lt;&gt;"Desconocido",TRIM('DATOS'!N383&amp;"")&lt;&gt;"Sin confirmar",TRIM('DATOS'!N383&amp;"")&lt;&gt;"Por decidir",TRIM('DATOS'!N383&amp;"")&lt;&gt;"Por comprobar")),NOT(Y383=1),W383&lt;&gt;1,X383&gt;1,NOT(OR(LEN(TRIM('DATOS'!K383&amp;""))=0,'DATOS'!K383="Sin valorar",'DATOS'!K383="Sin coste documentado",'DATOS'!K383="Incluido en otra partida",'DATOS'!K383="Por confirmar")),NOT(OR(LEN(TRIM('DATOS'!M383&amp;""))=0,'DATOS'!M383="Sí",'DATOS'!M383="No",'DATOS'!M383="Por confirmar")),NOT(OR(LEN(TRIM('DATOS'!O383&amp;""))=0,'DATOS'!O383="Comparamos",'DATOS'!O383="No existe",'DATOS'!O383="Por confirmar"))),2,IF(AND(OR('DATOS'!G383&lt;0,'DATOS'!H383&lt;0,'DATOS'!J383&lt;0),NOT(AND(LEN(TRIM('DATOS'!L383&amp;""))&gt;0,TRIM('DATOS'!L383&amp;"")&lt;&gt;"Pendiente",TRIM('DATOS'!L383&amp;"")&lt;&gt;"Por confirmar",TRIM('DATOS'!L383&amp;"")&lt;&gt;"No consta",TRIM('DATOS'!L383&amp;"")&lt;&gt;"Desconocido",TRIM('DATOS'!L383&amp;"")&lt;&gt;"Sin confirmar",TRIM('DATOS'!L383&amp;"")&lt;&gt;"Por decidir",TRIM('DATOS'!L383&amp;"")&lt;&gt;"Por comprobar"))),1,0))),2)</f>
      </c>
      <c r="P383" s="29">
        <f>IFERROR(IF(N383=0,"",IF(NOT(Y383=1),1,IF('REFERENCIAS'!$Q$8&lt;&gt;1,2,IF(ABS('DATOS'!J383-ROUND('DATOS'!G383*'DATOS'!H383,'REFERENCIAS'!$K$8))&gt;0.00000001,2,IF('DATOS'!O383="No existe",IF(LEN(TRIM('DATOS'!I383&amp;""))=0,0,2),IF('DATOS'!O383="Comparamos",IF(LEN(TRIM('DATOS'!I383&amp;""))=0,1,IF(ISNUMBER('DATOS'!I383),IF(ABS('DATOS'!H383-'DATOS'!I383)&gt;0.00000001,2,0),2)),1)))))),2)</f>
      </c>
      <c r="Q383" s="29">
        <f>IFERROR(IF(N383=0,"",IF(NOT(Y383=1),1,IF('DATOS'!K383="Sin valorar",2,IF('DATOS'!G383=0,1,IF(OR('DATOS'!H383=0,'DATOS'!J383=0),IF(AND(OR('DATOS'!K383="Sin coste documentado",'DATOS'!K383="Incluido en otra partida"),AND(LEN(TRIM('DATOS'!L383&amp;""))&gt;0,TRIM('DATOS'!L383&amp;"")&lt;&gt;"Pendiente",TRIM('DATOS'!L383&amp;"")&lt;&gt;"Por confirmar",TRIM('DATOS'!L383&amp;"")&lt;&gt;"No consta",TRIM('DATOS'!L383&amp;"")&lt;&gt;"Desconocido",TRIM('DATOS'!L383&amp;"")&lt;&gt;"Sin confirmar",TRIM('DATOS'!L383&amp;"")&lt;&gt;"Por decidir",TRIM('DATOS'!L383&amp;"")&lt;&gt;"Por comprobar")),0,1),0))))),2)</f>
      </c>
      <c r="R383" s="29">
        <f>IFERROR(IF(N383=0,"",IF(OR(NOT(AND(LEN(TRIM('DATOS'!D383&amp;""))&gt;0,TRIM('DATOS'!D383&amp;"")&lt;&gt;"Pendiente",TRIM('DATOS'!D383&amp;"")&lt;&gt;"Por confirmar",TRIM('DATOS'!D383&amp;"")&lt;&gt;"No consta",TRIM('DATOS'!D383&amp;"")&lt;&gt;"Desconocido",TRIM('DATOS'!D383&amp;"")&lt;&gt;"Sin confirmar",TRIM('DATOS'!D383&amp;"")&lt;&gt;"Por decidir",TRIM('DATOS'!D383&amp;"")&lt;&gt;"Por comprobar")),NOT(AND(LEN(TRIM('DATOS'!E383&amp;""))&gt;0,TRIM('DATOS'!E383&amp;"")&lt;&gt;"Pendiente",TRIM('DATOS'!E383&amp;"")&lt;&gt;"Por confirmar",TRIM('DATOS'!E383&amp;"")&lt;&gt;"No consta",TRIM('DATOS'!E383&amp;"")&lt;&gt;"Desconocido",TRIM('DATOS'!E383&amp;"")&lt;&gt;"Sin confirmar",TRIM('DATOS'!E383&amp;"")&lt;&gt;"Por decidir",TRIM('DATOS'!E383&amp;"")&lt;&gt;"Por comprobar"))),2,IF('DATOS'!M383="No",2,IF('DATOS'!M383="Sí",0,IF(OR('DATOS'!D383&lt;&gt;'DATOS'!E383,LEN('DATOS'!E383)&gt;300,RIGHT(TRIM('DATOS'!E383),3)="...",RIGHT(TRIM('DATOS'!E383),1)="…"),1,0))))),2)</f>
      </c>
      <c r="S383" s="29">
        <f>IFERROR(IF(N383=0,"",IF('REFERENCIAS'!$Q$8&lt;&gt;1,2,IF(NOT(Y383=1),1,IF(OR(ABS('DATOS'!G383-ROUND('DATOS'!G383,'REFERENCIAS'!$E$8))&gt;0.00000001,ABS('DATOS'!H383-ROUND('DATOS'!H383,'REFERENCIAS'!$H$8))&gt;0.00000001,ABS('DATOS'!J383-ROUND('DATOS'!J383,'REFERENCIAS'!$K$8))&gt;0.00000001,IF(ISNUMBER('DATOS'!I383),ABS('DATOS'!I383-ROUND('DATOS'!I383,'REFERENCIAS'!$H$8))&gt;0.00000001,FALSE)),1,0)))),2)</f>
      </c>
      <c r="T383" s="29">
        <f>IFERROR(IF(N383=0,"",IF(NOT(AND(LEN(TRIM('DATOS'!F383&amp;""))&gt;0,TRIM('DATOS'!F383&amp;"")&lt;&gt;"Pendiente",TRIM('DATOS'!F383&amp;"")&lt;&gt;"Por confirmar",TRIM('DATOS'!F383&amp;"")&lt;&gt;"No consta",TRIM('DATOS'!F383&amp;"")&lt;&gt;"Desconocido",TRIM('DATOS'!F383&amp;"")&lt;&gt;"Sin confirmar",TRIM('DATOS'!F383&amp;"")&lt;&gt;"Por decidir",TRIM('DATOS'!F383&amp;"")&lt;&gt;"Por comprobar")),2,IF(COUNTIFS('REFERENCIAS'!$T$15:$T$34,"ID:"&amp;SUBSTITUTE(SUBSTITUTE(SUBSTITUTE(SUBSTITUTE(UPPER(TRIM('DATOS'!F383&amp;"")),"!","!E"),"*","!A"),"?","!B"),"~","!C"),'REFERENCIAS'!$H$15:$H$34,"&lt;&gt;")&gt;0,0,1))),2)</f>
      </c>
      <c r="U383" s="29" t="str">
        <f>'DATOS'!R383</f>
        <v>ID:</v>
      </c>
      <c r="V383" s="29" t="str">
        <f>'DATOS'!S383</f>
        <v>ID:</v>
      </c>
      <c r="W383" s="29" t="n">
        <f>IF(N383=0,0,COUNTIFS('REFERENCIAS'!$R$15:$R$64,U383))</f>
        <v>0</v>
      </c>
      <c r="X383" s="29" t="n">
        <f>IF(N383=0,0,COUNTIFS('DATOS'!$R$10:$R$509,U383,'DATOS'!$S$10:$S$509,V383))</f>
        <v>0</v>
      </c>
      <c r="Y383" s="29" t="n">
        <f>IF(AND(ISNUMBER('DATOS'!G383),ISNUMBER('DATOS'!H383),ISNUMBER('DATOS'!J383)),1,0)</f>
        <v>0</v>
      </c>
    </row>
    <row r="384" ht="64" customHeight="1">
      <c r="B384" s="26">
        <f>IF(N384=1,375,"")</f>
      </c>
      <c r="C384" s="26">
        <f>IF(AND(N384=1,LEN(TRIM('DATOS'!B384&amp;""))&gt;0),'DATOS'!B384,"")</f>
      </c>
      <c r="D384" s="26">
        <f>IF(AND(N384=1,LEN(TRIM('DATOS'!C384&amp;""))&gt;0),'DATOS'!C384,"")</f>
      </c>
      <c r="E384" s="26">
        <f>IF(NOT(ISNUMBER(P384)),"",IF(P384=2,"ROJO",IF(P384=1,"ÁMBAR","VERDE")))</f>
      </c>
      <c r="F384" s="26">
        <f>IF(NOT(ISNUMBER(Q384)),"",IF(Q384=2,"ROJO",IF(Q384=1,"ÁMBAR","VERDE")))</f>
      </c>
      <c r="G384" s="26">
        <f>IF(NOT(ISNUMBER(R384)),"",IF(R384=2,"ROJO",IF(R384=1,"ÁMBAR","VERDE")))</f>
      </c>
      <c r="H384" s="26">
        <f>IF(NOT(ISNUMBER(S384)),"",IF(S384=2,"ROJO",IF(S384=1,"ÁMBAR","VERDE")))</f>
      </c>
      <c r="I384" s="26">
        <f>IF(NOT(ISNUMBER(T384)),"",IF(T384=2,"ROJO",IF(T384=1,"ÁMBAR","VERDE")))</f>
      </c>
      <c r="J384" s="26">
        <f>IF(NOT(ISNUMBER(O384)),"",IF(O384=2,"ROJO",IF(O384=1,"ÁMBAR","VERDE")))</f>
      </c>
      <c r="K384" s="26">
        <f>IFERROR(IF(AND(N384=1,LEN(TRIM('DATOS'!N384&amp;""))&gt;0),'DATOS'!N384,""),"Hay una entrada con error. Corregimos el dato antes de cerrar la comprobación.")</f>
      </c>
      <c r="L384" s="26">
        <f>IFERROR(IF(N384=0,"",IF(O384&gt;0,"Completamos datos, claves o motivo. ","")&amp;IF(P384&gt;0,"Cotejamos precios e importe. ","")&amp;IF(Q384&gt;0,"Aclaramos el cero. ","")&amp;IF(R384&gt;0,"Comprobamos el texto. ","")&amp;IF(S384&gt;0,"Revisamos decimales visibles. ","")&amp;IF(T384&gt;0,"Confirmamos la unidad.","")),"Hay una entrada con error. Corregimos el dato antes de cerrar la comprobación.")</f>
      </c>
      <c r="N384" s="29" t="n">
        <f>IF(COUNTA('DATOS'!B384:O384)&gt;0,1,0)</f>
        <v>0</v>
      </c>
      <c r="O384" s="29">
        <f>IFERROR(IF(N384=0,"",IF(OR(NOT(AND(LEN(TRIM('DATOS'!B384&amp;""))&gt;0,TRIM('DATOS'!B384&amp;"")&lt;&gt;"Pendiente",TRIM('DATOS'!B384&amp;"")&lt;&gt;"Por confirmar",TRIM('DATOS'!B384&amp;"")&lt;&gt;"No consta",TRIM('DATOS'!B384&amp;"")&lt;&gt;"Desconocido",TRIM('DATOS'!B384&amp;"")&lt;&gt;"Sin confirmar",TRIM('DATOS'!B384&amp;"")&lt;&gt;"Por decidir",TRIM('DATOS'!B384&amp;"")&lt;&gt;"Por comprobar")),NOT(AND(LEN(TRIM('DATOS'!C384&amp;""))&gt;0,TRIM('DATOS'!C384&amp;"")&lt;&gt;"Pendiente",TRIM('DATOS'!C384&amp;"")&lt;&gt;"Por confirmar",TRIM('DATOS'!C384&amp;"")&lt;&gt;"No consta",TRIM('DATOS'!C384&amp;"")&lt;&gt;"Desconocido",TRIM('DATOS'!C384&amp;"")&lt;&gt;"Sin confirmar",TRIM('DATOS'!C384&amp;"")&lt;&gt;"Por decidir",TRIM('DATOS'!C384&amp;"")&lt;&gt;"Por comprobar")),NOT(AND(LEN(TRIM('DATOS'!D384&amp;""))&gt;0,TRIM('DATOS'!D384&amp;"")&lt;&gt;"Pendiente",TRIM('DATOS'!D384&amp;"")&lt;&gt;"Por confirmar",TRIM('DATOS'!D384&amp;"")&lt;&gt;"No consta",TRIM('DATOS'!D384&amp;"")&lt;&gt;"Desconocido",TRIM('DATOS'!D384&amp;"")&lt;&gt;"Sin confirmar",TRIM('DATOS'!D384&amp;"")&lt;&gt;"Por decidir",TRIM('DATOS'!D384&amp;"")&lt;&gt;"Por comprobar")),NOT(AND(LEN(TRIM('DATOS'!E384&amp;""))&gt;0,TRIM('DATOS'!E384&amp;"")&lt;&gt;"Pendiente",TRIM('DATOS'!E384&amp;"")&lt;&gt;"Por confirmar",TRIM('DATOS'!E384&amp;"")&lt;&gt;"No consta",TRIM('DATOS'!E384&amp;"")&lt;&gt;"Desconocido",TRIM('DATOS'!E384&amp;"")&lt;&gt;"Sin confirmar",TRIM('DATOS'!E384&amp;"")&lt;&gt;"Por decidir",TRIM('DATOS'!E384&amp;"")&lt;&gt;"Por comprobar")),NOT(AND(LEN(TRIM('DATOS'!F384&amp;""))&gt;0,TRIM('DATOS'!F384&amp;"")&lt;&gt;"Pendiente",TRIM('DATOS'!F384&amp;"")&lt;&gt;"Por confirmar",TRIM('DATOS'!F384&amp;"")&lt;&gt;"No consta",TRIM('DATOS'!F384&amp;"")&lt;&gt;"Desconocido",TRIM('DATOS'!F384&amp;"")&lt;&gt;"Sin confirmar",TRIM('DATOS'!F384&amp;"")&lt;&gt;"Por decidir",TRIM('DATOS'!F384&amp;"")&lt;&gt;"Por comprobar")),NOT(AND(LEN(TRIM('DATOS'!N384&amp;""))&gt;0,TRIM('DATOS'!N384&amp;"")&lt;&gt;"Pendiente",TRIM('DATOS'!N384&amp;"")&lt;&gt;"Por confirmar",TRIM('DATOS'!N384&amp;"")&lt;&gt;"No consta",TRIM('DATOS'!N384&amp;"")&lt;&gt;"Desconocido",TRIM('DATOS'!N384&amp;"")&lt;&gt;"Sin confirmar",TRIM('DATOS'!N384&amp;"")&lt;&gt;"Por decidir",TRIM('DATOS'!N384&amp;"")&lt;&gt;"Por comprobar")),NOT(Y384=1),W384&lt;&gt;1,X384&gt;1,NOT(OR(LEN(TRIM('DATOS'!K384&amp;""))=0,'DATOS'!K384="Sin valorar",'DATOS'!K384="Sin coste documentado",'DATOS'!K384="Incluido en otra partida",'DATOS'!K384="Por confirmar")),NOT(OR(LEN(TRIM('DATOS'!M384&amp;""))=0,'DATOS'!M384="Sí",'DATOS'!M384="No",'DATOS'!M384="Por confirmar")),NOT(OR(LEN(TRIM('DATOS'!O384&amp;""))=0,'DATOS'!O384="Comparamos",'DATOS'!O384="No existe",'DATOS'!O384="Por confirmar"))),2,IF(AND(OR('DATOS'!G384&lt;0,'DATOS'!H384&lt;0,'DATOS'!J384&lt;0),NOT(AND(LEN(TRIM('DATOS'!L384&amp;""))&gt;0,TRIM('DATOS'!L384&amp;"")&lt;&gt;"Pendiente",TRIM('DATOS'!L384&amp;"")&lt;&gt;"Por confirmar",TRIM('DATOS'!L384&amp;"")&lt;&gt;"No consta",TRIM('DATOS'!L384&amp;"")&lt;&gt;"Desconocido",TRIM('DATOS'!L384&amp;"")&lt;&gt;"Sin confirmar",TRIM('DATOS'!L384&amp;"")&lt;&gt;"Por decidir",TRIM('DATOS'!L384&amp;"")&lt;&gt;"Por comprobar"))),1,0))),2)</f>
      </c>
      <c r="P384" s="29">
        <f>IFERROR(IF(N384=0,"",IF(NOT(Y384=1),1,IF('REFERENCIAS'!$Q$8&lt;&gt;1,2,IF(ABS('DATOS'!J384-ROUND('DATOS'!G384*'DATOS'!H384,'REFERENCIAS'!$K$8))&gt;0.00000001,2,IF('DATOS'!O384="No existe",IF(LEN(TRIM('DATOS'!I384&amp;""))=0,0,2),IF('DATOS'!O384="Comparamos",IF(LEN(TRIM('DATOS'!I384&amp;""))=0,1,IF(ISNUMBER('DATOS'!I384),IF(ABS('DATOS'!H384-'DATOS'!I384)&gt;0.00000001,2,0),2)),1)))))),2)</f>
      </c>
      <c r="Q384" s="29">
        <f>IFERROR(IF(N384=0,"",IF(NOT(Y384=1),1,IF('DATOS'!K384="Sin valorar",2,IF('DATOS'!G384=0,1,IF(OR('DATOS'!H384=0,'DATOS'!J384=0),IF(AND(OR('DATOS'!K384="Sin coste documentado",'DATOS'!K384="Incluido en otra partida"),AND(LEN(TRIM('DATOS'!L384&amp;""))&gt;0,TRIM('DATOS'!L384&amp;"")&lt;&gt;"Pendiente",TRIM('DATOS'!L384&amp;"")&lt;&gt;"Por confirmar",TRIM('DATOS'!L384&amp;"")&lt;&gt;"No consta",TRIM('DATOS'!L384&amp;"")&lt;&gt;"Desconocido",TRIM('DATOS'!L384&amp;"")&lt;&gt;"Sin confirmar",TRIM('DATOS'!L384&amp;"")&lt;&gt;"Por decidir",TRIM('DATOS'!L384&amp;"")&lt;&gt;"Por comprobar")),0,1),0))))),2)</f>
      </c>
      <c r="R384" s="29">
        <f>IFERROR(IF(N384=0,"",IF(OR(NOT(AND(LEN(TRIM('DATOS'!D384&amp;""))&gt;0,TRIM('DATOS'!D384&amp;"")&lt;&gt;"Pendiente",TRIM('DATOS'!D384&amp;"")&lt;&gt;"Por confirmar",TRIM('DATOS'!D384&amp;"")&lt;&gt;"No consta",TRIM('DATOS'!D384&amp;"")&lt;&gt;"Desconocido",TRIM('DATOS'!D384&amp;"")&lt;&gt;"Sin confirmar",TRIM('DATOS'!D384&amp;"")&lt;&gt;"Por decidir",TRIM('DATOS'!D384&amp;"")&lt;&gt;"Por comprobar")),NOT(AND(LEN(TRIM('DATOS'!E384&amp;""))&gt;0,TRIM('DATOS'!E384&amp;"")&lt;&gt;"Pendiente",TRIM('DATOS'!E384&amp;"")&lt;&gt;"Por confirmar",TRIM('DATOS'!E384&amp;"")&lt;&gt;"No consta",TRIM('DATOS'!E384&amp;"")&lt;&gt;"Desconocido",TRIM('DATOS'!E384&amp;"")&lt;&gt;"Sin confirmar",TRIM('DATOS'!E384&amp;"")&lt;&gt;"Por decidir",TRIM('DATOS'!E384&amp;"")&lt;&gt;"Por comprobar"))),2,IF('DATOS'!M384="No",2,IF('DATOS'!M384="Sí",0,IF(OR('DATOS'!D384&lt;&gt;'DATOS'!E384,LEN('DATOS'!E384)&gt;300,RIGHT(TRIM('DATOS'!E384),3)="...",RIGHT(TRIM('DATOS'!E384),1)="…"),1,0))))),2)</f>
      </c>
      <c r="S384" s="29">
        <f>IFERROR(IF(N384=0,"",IF('REFERENCIAS'!$Q$8&lt;&gt;1,2,IF(NOT(Y384=1),1,IF(OR(ABS('DATOS'!G384-ROUND('DATOS'!G384,'REFERENCIAS'!$E$8))&gt;0.00000001,ABS('DATOS'!H384-ROUND('DATOS'!H384,'REFERENCIAS'!$H$8))&gt;0.00000001,ABS('DATOS'!J384-ROUND('DATOS'!J384,'REFERENCIAS'!$K$8))&gt;0.00000001,IF(ISNUMBER('DATOS'!I384),ABS('DATOS'!I384-ROUND('DATOS'!I384,'REFERENCIAS'!$H$8))&gt;0.00000001,FALSE)),1,0)))),2)</f>
      </c>
      <c r="T384" s="29">
        <f>IFERROR(IF(N384=0,"",IF(NOT(AND(LEN(TRIM('DATOS'!F384&amp;""))&gt;0,TRIM('DATOS'!F384&amp;"")&lt;&gt;"Pendiente",TRIM('DATOS'!F384&amp;"")&lt;&gt;"Por confirmar",TRIM('DATOS'!F384&amp;"")&lt;&gt;"No consta",TRIM('DATOS'!F384&amp;"")&lt;&gt;"Desconocido",TRIM('DATOS'!F384&amp;"")&lt;&gt;"Sin confirmar",TRIM('DATOS'!F384&amp;"")&lt;&gt;"Por decidir",TRIM('DATOS'!F384&amp;"")&lt;&gt;"Por comprobar")),2,IF(COUNTIFS('REFERENCIAS'!$T$15:$T$34,"ID:"&amp;SUBSTITUTE(SUBSTITUTE(SUBSTITUTE(SUBSTITUTE(UPPER(TRIM('DATOS'!F384&amp;"")),"!","!E"),"*","!A"),"?","!B"),"~","!C"),'REFERENCIAS'!$H$15:$H$34,"&lt;&gt;")&gt;0,0,1))),2)</f>
      </c>
      <c r="U384" s="29" t="str">
        <f>'DATOS'!R384</f>
        <v>ID:</v>
      </c>
      <c r="V384" s="29" t="str">
        <f>'DATOS'!S384</f>
        <v>ID:</v>
      </c>
      <c r="W384" s="29" t="n">
        <f>IF(N384=0,0,COUNTIFS('REFERENCIAS'!$R$15:$R$64,U384))</f>
        <v>0</v>
      </c>
      <c r="X384" s="29" t="n">
        <f>IF(N384=0,0,COUNTIFS('DATOS'!$R$10:$R$509,U384,'DATOS'!$S$10:$S$509,V384))</f>
        <v>0</v>
      </c>
      <c r="Y384" s="29" t="n">
        <f>IF(AND(ISNUMBER('DATOS'!G384),ISNUMBER('DATOS'!H384),ISNUMBER('DATOS'!J384)),1,0)</f>
        <v>0</v>
      </c>
    </row>
    <row r="385" ht="64" customHeight="1">
      <c r="B385" s="26">
        <f>IF(N385=1,376,"")</f>
      </c>
      <c r="C385" s="26">
        <f>IF(AND(N385=1,LEN(TRIM('DATOS'!B385&amp;""))&gt;0),'DATOS'!B385,"")</f>
      </c>
      <c r="D385" s="26">
        <f>IF(AND(N385=1,LEN(TRIM('DATOS'!C385&amp;""))&gt;0),'DATOS'!C385,"")</f>
      </c>
      <c r="E385" s="26">
        <f>IF(NOT(ISNUMBER(P385)),"",IF(P385=2,"ROJO",IF(P385=1,"ÁMBAR","VERDE")))</f>
      </c>
      <c r="F385" s="26">
        <f>IF(NOT(ISNUMBER(Q385)),"",IF(Q385=2,"ROJO",IF(Q385=1,"ÁMBAR","VERDE")))</f>
      </c>
      <c r="G385" s="26">
        <f>IF(NOT(ISNUMBER(R385)),"",IF(R385=2,"ROJO",IF(R385=1,"ÁMBAR","VERDE")))</f>
      </c>
      <c r="H385" s="26">
        <f>IF(NOT(ISNUMBER(S385)),"",IF(S385=2,"ROJO",IF(S385=1,"ÁMBAR","VERDE")))</f>
      </c>
      <c r="I385" s="26">
        <f>IF(NOT(ISNUMBER(T385)),"",IF(T385=2,"ROJO",IF(T385=1,"ÁMBAR","VERDE")))</f>
      </c>
      <c r="J385" s="26">
        <f>IF(NOT(ISNUMBER(O385)),"",IF(O385=2,"ROJO",IF(O385=1,"ÁMBAR","VERDE")))</f>
      </c>
      <c r="K385" s="26">
        <f>IFERROR(IF(AND(N385=1,LEN(TRIM('DATOS'!N385&amp;""))&gt;0),'DATOS'!N385,""),"Hay una entrada con error. Corregimos el dato antes de cerrar la comprobación.")</f>
      </c>
      <c r="L385" s="26">
        <f>IFERROR(IF(N385=0,"",IF(O385&gt;0,"Completamos datos, claves o motivo. ","")&amp;IF(P385&gt;0,"Cotejamos precios e importe. ","")&amp;IF(Q385&gt;0,"Aclaramos el cero. ","")&amp;IF(R385&gt;0,"Comprobamos el texto. ","")&amp;IF(S385&gt;0,"Revisamos decimales visibles. ","")&amp;IF(T385&gt;0,"Confirmamos la unidad.","")),"Hay una entrada con error. Corregimos el dato antes de cerrar la comprobación.")</f>
      </c>
      <c r="N385" s="29" t="n">
        <f>IF(COUNTA('DATOS'!B385:O385)&gt;0,1,0)</f>
        <v>0</v>
      </c>
      <c r="O385" s="29">
        <f>IFERROR(IF(N385=0,"",IF(OR(NOT(AND(LEN(TRIM('DATOS'!B385&amp;""))&gt;0,TRIM('DATOS'!B385&amp;"")&lt;&gt;"Pendiente",TRIM('DATOS'!B385&amp;"")&lt;&gt;"Por confirmar",TRIM('DATOS'!B385&amp;"")&lt;&gt;"No consta",TRIM('DATOS'!B385&amp;"")&lt;&gt;"Desconocido",TRIM('DATOS'!B385&amp;"")&lt;&gt;"Sin confirmar",TRIM('DATOS'!B385&amp;"")&lt;&gt;"Por decidir",TRIM('DATOS'!B385&amp;"")&lt;&gt;"Por comprobar")),NOT(AND(LEN(TRIM('DATOS'!C385&amp;""))&gt;0,TRIM('DATOS'!C385&amp;"")&lt;&gt;"Pendiente",TRIM('DATOS'!C385&amp;"")&lt;&gt;"Por confirmar",TRIM('DATOS'!C385&amp;"")&lt;&gt;"No consta",TRIM('DATOS'!C385&amp;"")&lt;&gt;"Desconocido",TRIM('DATOS'!C385&amp;"")&lt;&gt;"Sin confirmar",TRIM('DATOS'!C385&amp;"")&lt;&gt;"Por decidir",TRIM('DATOS'!C385&amp;"")&lt;&gt;"Por comprobar")),NOT(AND(LEN(TRIM('DATOS'!D385&amp;""))&gt;0,TRIM('DATOS'!D385&amp;"")&lt;&gt;"Pendiente",TRIM('DATOS'!D385&amp;"")&lt;&gt;"Por confirmar",TRIM('DATOS'!D385&amp;"")&lt;&gt;"No consta",TRIM('DATOS'!D385&amp;"")&lt;&gt;"Desconocido",TRIM('DATOS'!D385&amp;"")&lt;&gt;"Sin confirmar",TRIM('DATOS'!D385&amp;"")&lt;&gt;"Por decidir",TRIM('DATOS'!D385&amp;"")&lt;&gt;"Por comprobar")),NOT(AND(LEN(TRIM('DATOS'!E385&amp;""))&gt;0,TRIM('DATOS'!E385&amp;"")&lt;&gt;"Pendiente",TRIM('DATOS'!E385&amp;"")&lt;&gt;"Por confirmar",TRIM('DATOS'!E385&amp;"")&lt;&gt;"No consta",TRIM('DATOS'!E385&amp;"")&lt;&gt;"Desconocido",TRIM('DATOS'!E385&amp;"")&lt;&gt;"Sin confirmar",TRIM('DATOS'!E385&amp;"")&lt;&gt;"Por decidir",TRIM('DATOS'!E385&amp;"")&lt;&gt;"Por comprobar")),NOT(AND(LEN(TRIM('DATOS'!F385&amp;""))&gt;0,TRIM('DATOS'!F385&amp;"")&lt;&gt;"Pendiente",TRIM('DATOS'!F385&amp;"")&lt;&gt;"Por confirmar",TRIM('DATOS'!F385&amp;"")&lt;&gt;"No consta",TRIM('DATOS'!F385&amp;"")&lt;&gt;"Desconocido",TRIM('DATOS'!F385&amp;"")&lt;&gt;"Sin confirmar",TRIM('DATOS'!F385&amp;"")&lt;&gt;"Por decidir",TRIM('DATOS'!F385&amp;"")&lt;&gt;"Por comprobar")),NOT(AND(LEN(TRIM('DATOS'!N385&amp;""))&gt;0,TRIM('DATOS'!N385&amp;"")&lt;&gt;"Pendiente",TRIM('DATOS'!N385&amp;"")&lt;&gt;"Por confirmar",TRIM('DATOS'!N385&amp;"")&lt;&gt;"No consta",TRIM('DATOS'!N385&amp;"")&lt;&gt;"Desconocido",TRIM('DATOS'!N385&amp;"")&lt;&gt;"Sin confirmar",TRIM('DATOS'!N385&amp;"")&lt;&gt;"Por decidir",TRIM('DATOS'!N385&amp;"")&lt;&gt;"Por comprobar")),NOT(Y385=1),W385&lt;&gt;1,X385&gt;1,NOT(OR(LEN(TRIM('DATOS'!K385&amp;""))=0,'DATOS'!K385="Sin valorar",'DATOS'!K385="Sin coste documentado",'DATOS'!K385="Incluido en otra partida",'DATOS'!K385="Por confirmar")),NOT(OR(LEN(TRIM('DATOS'!M385&amp;""))=0,'DATOS'!M385="Sí",'DATOS'!M385="No",'DATOS'!M385="Por confirmar")),NOT(OR(LEN(TRIM('DATOS'!O385&amp;""))=0,'DATOS'!O385="Comparamos",'DATOS'!O385="No existe",'DATOS'!O385="Por confirmar"))),2,IF(AND(OR('DATOS'!G385&lt;0,'DATOS'!H385&lt;0,'DATOS'!J385&lt;0),NOT(AND(LEN(TRIM('DATOS'!L385&amp;""))&gt;0,TRIM('DATOS'!L385&amp;"")&lt;&gt;"Pendiente",TRIM('DATOS'!L385&amp;"")&lt;&gt;"Por confirmar",TRIM('DATOS'!L385&amp;"")&lt;&gt;"No consta",TRIM('DATOS'!L385&amp;"")&lt;&gt;"Desconocido",TRIM('DATOS'!L385&amp;"")&lt;&gt;"Sin confirmar",TRIM('DATOS'!L385&amp;"")&lt;&gt;"Por decidir",TRIM('DATOS'!L385&amp;"")&lt;&gt;"Por comprobar"))),1,0))),2)</f>
      </c>
      <c r="P385" s="29">
        <f>IFERROR(IF(N385=0,"",IF(NOT(Y385=1),1,IF('REFERENCIAS'!$Q$8&lt;&gt;1,2,IF(ABS('DATOS'!J385-ROUND('DATOS'!G385*'DATOS'!H385,'REFERENCIAS'!$K$8))&gt;0.00000001,2,IF('DATOS'!O385="No existe",IF(LEN(TRIM('DATOS'!I385&amp;""))=0,0,2),IF('DATOS'!O385="Comparamos",IF(LEN(TRIM('DATOS'!I385&amp;""))=0,1,IF(ISNUMBER('DATOS'!I385),IF(ABS('DATOS'!H385-'DATOS'!I385)&gt;0.00000001,2,0),2)),1)))))),2)</f>
      </c>
      <c r="Q385" s="29">
        <f>IFERROR(IF(N385=0,"",IF(NOT(Y385=1),1,IF('DATOS'!K385="Sin valorar",2,IF('DATOS'!G385=0,1,IF(OR('DATOS'!H385=0,'DATOS'!J385=0),IF(AND(OR('DATOS'!K385="Sin coste documentado",'DATOS'!K385="Incluido en otra partida"),AND(LEN(TRIM('DATOS'!L385&amp;""))&gt;0,TRIM('DATOS'!L385&amp;"")&lt;&gt;"Pendiente",TRIM('DATOS'!L385&amp;"")&lt;&gt;"Por confirmar",TRIM('DATOS'!L385&amp;"")&lt;&gt;"No consta",TRIM('DATOS'!L385&amp;"")&lt;&gt;"Desconocido",TRIM('DATOS'!L385&amp;"")&lt;&gt;"Sin confirmar",TRIM('DATOS'!L385&amp;"")&lt;&gt;"Por decidir",TRIM('DATOS'!L385&amp;"")&lt;&gt;"Por comprobar")),0,1),0))))),2)</f>
      </c>
      <c r="R385" s="29">
        <f>IFERROR(IF(N385=0,"",IF(OR(NOT(AND(LEN(TRIM('DATOS'!D385&amp;""))&gt;0,TRIM('DATOS'!D385&amp;"")&lt;&gt;"Pendiente",TRIM('DATOS'!D385&amp;"")&lt;&gt;"Por confirmar",TRIM('DATOS'!D385&amp;"")&lt;&gt;"No consta",TRIM('DATOS'!D385&amp;"")&lt;&gt;"Desconocido",TRIM('DATOS'!D385&amp;"")&lt;&gt;"Sin confirmar",TRIM('DATOS'!D385&amp;"")&lt;&gt;"Por decidir",TRIM('DATOS'!D385&amp;"")&lt;&gt;"Por comprobar")),NOT(AND(LEN(TRIM('DATOS'!E385&amp;""))&gt;0,TRIM('DATOS'!E385&amp;"")&lt;&gt;"Pendiente",TRIM('DATOS'!E385&amp;"")&lt;&gt;"Por confirmar",TRIM('DATOS'!E385&amp;"")&lt;&gt;"No consta",TRIM('DATOS'!E385&amp;"")&lt;&gt;"Desconocido",TRIM('DATOS'!E385&amp;"")&lt;&gt;"Sin confirmar",TRIM('DATOS'!E385&amp;"")&lt;&gt;"Por decidir",TRIM('DATOS'!E385&amp;"")&lt;&gt;"Por comprobar"))),2,IF('DATOS'!M385="No",2,IF('DATOS'!M385="Sí",0,IF(OR('DATOS'!D385&lt;&gt;'DATOS'!E385,LEN('DATOS'!E385)&gt;300,RIGHT(TRIM('DATOS'!E385),3)="...",RIGHT(TRIM('DATOS'!E385),1)="…"),1,0))))),2)</f>
      </c>
      <c r="S385" s="29">
        <f>IFERROR(IF(N385=0,"",IF('REFERENCIAS'!$Q$8&lt;&gt;1,2,IF(NOT(Y385=1),1,IF(OR(ABS('DATOS'!G385-ROUND('DATOS'!G385,'REFERENCIAS'!$E$8))&gt;0.00000001,ABS('DATOS'!H385-ROUND('DATOS'!H385,'REFERENCIAS'!$H$8))&gt;0.00000001,ABS('DATOS'!J385-ROUND('DATOS'!J385,'REFERENCIAS'!$K$8))&gt;0.00000001,IF(ISNUMBER('DATOS'!I385),ABS('DATOS'!I385-ROUND('DATOS'!I385,'REFERENCIAS'!$H$8))&gt;0.00000001,FALSE)),1,0)))),2)</f>
      </c>
      <c r="T385" s="29">
        <f>IFERROR(IF(N385=0,"",IF(NOT(AND(LEN(TRIM('DATOS'!F385&amp;""))&gt;0,TRIM('DATOS'!F385&amp;"")&lt;&gt;"Pendiente",TRIM('DATOS'!F385&amp;"")&lt;&gt;"Por confirmar",TRIM('DATOS'!F385&amp;"")&lt;&gt;"No consta",TRIM('DATOS'!F385&amp;"")&lt;&gt;"Desconocido",TRIM('DATOS'!F385&amp;"")&lt;&gt;"Sin confirmar",TRIM('DATOS'!F385&amp;"")&lt;&gt;"Por decidir",TRIM('DATOS'!F385&amp;"")&lt;&gt;"Por comprobar")),2,IF(COUNTIFS('REFERENCIAS'!$T$15:$T$34,"ID:"&amp;SUBSTITUTE(SUBSTITUTE(SUBSTITUTE(SUBSTITUTE(UPPER(TRIM('DATOS'!F385&amp;"")),"!","!E"),"*","!A"),"?","!B"),"~","!C"),'REFERENCIAS'!$H$15:$H$34,"&lt;&gt;")&gt;0,0,1))),2)</f>
      </c>
      <c r="U385" s="29" t="str">
        <f>'DATOS'!R385</f>
        <v>ID:</v>
      </c>
      <c r="V385" s="29" t="str">
        <f>'DATOS'!S385</f>
        <v>ID:</v>
      </c>
      <c r="W385" s="29" t="n">
        <f>IF(N385=0,0,COUNTIFS('REFERENCIAS'!$R$15:$R$64,U385))</f>
        <v>0</v>
      </c>
      <c r="X385" s="29" t="n">
        <f>IF(N385=0,0,COUNTIFS('DATOS'!$R$10:$R$509,U385,'DATOS'!$S$10:$S$509,V385))</f>
        <v>0</v>
      </c>
      <c r="Y385" s="29" t="n">
        <f>IF(AND(ISNUMBER('DATOS'!G385),ISNUMBER('DATOS'!H385),ISNUMBER('DATOS'!J385)),1,0)</f>
        <v>0</v>
      </c>
    </row>
    <row r="386" ht="64" customHeight="1">
      <c r="B386" s="26">
        <f>IF(N386=1,377,"")</f>
      </c>
      <c r="C386" s="26">
        <f>IF(AND(N386=1,LEN(TRIM('DATOS'!B386&amp;""))&gt;0),'DATOS'!B386,"")</f>
      </c>
      <c r="D386" s="26">
        <f>IF(AND(N386=1,LEN(TRIM('DATOS'!C386&amp;""))&gt;0),'DATOS'!C386,"")</f>
      </c>
      <c r="E386" s="26">
        <f>IF(NOT(ISNUMBER(P386)),"",IF(P386=2,"ROJO",IF(P386=1,"ÁMBAR","VERDE")))</f>
      </c>
      <c r="F386" s="26">
        <f>IF(NOT(ISNUMBER(Q386)),"",IF(Q386=2,"ROJO",IF(Q386=1,"ÁMBAR","VERDE")))</f>
      </c>
      <c r="G386" s="26">
        <f>IF(NOT(ISNUMBER(R386)),"",IF(R386=2,"ROJO",IF(R386=1,"ÁMBAR","VERDE")))</f>
      </c>
      <c r="H386" s="26">
        <f>IF(NOT(ISNUMBER(S386)),"",IF(S386=2,"ROJO",IF(S386=1,"ÁMBAR","VERDE")))</f>
      </c>
      <c r="I386" s="26">
        <f>IF(NOT(ISNUMBER(T386)),"",IF(T386=2,"ROJO",IF(T386=1,"ÁMBAR","VERDE")))</f>
      </c>
      <c r="J386" s="26">
        <f>IF(NOT(ISNUMBER(O386)),"",IF(O386=2,"ROJO",IF(O386=1,"ÁMBAR","VERDE")))</f>
      </c>
      <c r="K386" s="26">
        <f>IFERROR(IF(AND(N386=1,LEN(TRIM('DATOS'!N386&amp;""))&gt;0),'DATOS'!N386,""),"Hay una entrada con error. Corregimos el dato antes de cerrar la comprobación.")</f>
      </c>
      <c r="L386" s="26">
        <f>IFERROR(IF(N386=0,"",IF(O386&gt;0,"Completamos datos, claves o motivo. ","")&amp;IF(P386&gt;0,"Cotejamos precios e importe. ","")&amp;IF(Q386&gt;0,"Aclaramos el cero. ","")&amp;IF(R386&gt;0,"Comprobamos el texto. ","")&amp;IF(S386&gt;0,"Revisamos decimales visibles. ","")&amp;IF(T386&gt;0,"Confirmamos la unidad.","")),"Hay una entrada con error. Corregimos el dato antes de cerrar la comprobación.")</f>
      </c>
      <c r="N386" s="29" t="n">
        <f>IF(COUNTA('DATOS'!B386:O386)&gt;0,1,0)</f>
        <v>0</v>
      </c>
      <c r="O386" s="29">
        <f>IFERROR(IF(N386=0,"",IF(OR(NOT(AND(LEN(TRIM('DATOS'!B386&amp;""))&gt;0,TRIM('DATOS'!B386&amp;"")&lt;&gt;"Pendiente",TRIM('DATOS'!B386&amp;"")&lt;&gt;"Por confirmar",TRIM('DATOS'!B386&amp;"")&lt;&gt;"No consta",TRIM('DATOS'!B386&amp;"")&lt;&gt;"Desconocido",TRIM('DATOS'!B386&amp;"")&lt;&gt;"Sin confirmar",TRIM('DATOS'!B386&amp;"")&lt;&gt;"Por decidir",TRIM('DATOS'!B386&amp;"")&lt;&gt;"Por comprobar")),NOT(AND(LEN(TRIM('DATOS'!C386&amp;""))&gt;0,TRIM('DATOS'!C386&amp;"")&lt;&gt;"Pendiente",TRIM('DATOS'!C386&amp;"")&lt;&gt;"Por confirmar",TRIM('DATOS'!C386&amp;"")&lt;&gt;"No consta",TRIM('DATOS'!C386&amp;"")&lt;&gt;"Desconocido",TRIM('DATOS'!C386&amp;"")&lt;&gt;"Sin confirmar",TRIM('DATOS'!C386&amp;"")&lt;&gt;"Por decidir",TRIM('DATOS'!C386&amp;"")&lt;&gt;"Por comprobar")),NOT(AND(LEN(TRIM('DATOS'!D386&amp;""))&gt;0,TRIM('DATOS'!D386&amp;"")&lt;&gt;"Pendiente",TRIM('DATOS'!D386&amp;"")&lt;&gt;"Por confirmar",TRIM('DATOS'!D386&amp;"")&lt;&gt;"No consta",TRIM('DATOS'!D386&amp;"")&lt;&gt;"Desconocido",TRIM('DATOS'!D386&amp;"")&lt;&gt;"Sin confirmar",TRIM('DATOS'!D386&amp;"")&lt;&gt;"Por decidir",TRIM('DATOS'!D386&amp;"")&lt;&gt;"Por comprobar")),NOT(AND(LEN(TRIM('DATOS'!E386&amp;""))&gt;0,TRIM('DATOS'!E386&amp;"")&lt;&gt;"Pendiente",TRIM('DATOS'!E386&amp;"")&lt;&gt;"Por confirmar",TRIM('DATOS'!E386&amp;"")&lt;&gt;"No consta",TRIM('DATOS'!E386&amp;"")&lt;&gt;"Desconocido",TRIM('DATOS'!E386&amp;"")&lt;&gt;"Sin confirmar",TRIM('DATOS'!E386&amp;"")&lt;&gt;"Por decidir",TRIM('DATOS'!E386&amp;"")&lt;&gt;"Por comprobar")),NOT(AND(LEN(TRIM('DATOS'!F386&amp;""))&gt;0,TRIM('DATOS'!F386&amp;"")&lt;&gt;"Pendiente",TRIM('DATOS'!F386&amp;"")&lt;&gt;"Por confirmar",TRIM('DATOS'!F386&amp;"")&lt;&gt;"No consta",TRIM('DATOS'!F386&amp;"")&lt;&gt;"Desconocido",TRIM('DATOS'!F386&amp;"")&lt;&gt;"Sin confirmar",TRIM('DATOS'!F386&amp;"")&lt;&gt;"Por decidir",TRIM('DATOS'!F386&amp;"")&lt;&gt;"Por comprobar")),NOT(AND(LEN(TRIM('DATOS'!N386&amp;""))&gt;0,TRIM('DATOS'!N386&amp;"")&lt;&gt;"Pendiente",TRIM('DATOS'!N386&amp;"")&lt;&gt;"Por confirmar",TRIM('DATOS'!N386&amp;"")&lt;&gt;"No consta",TRIM('DATOS'!N386&amp;"")&lt;&gt;"Desconocido",TRIM('DATOS'!N386&amp;"")&lt;&gt;"Sin confirmar",TRIM('DATOS'!N386&amp;"")&lt;&gt;"Por decidir",TRIM('DATOS'!N386&amp;"")&lt;&gt;"Por comprobar")),NOT(Y386=1),W386&lt;&gt;1,X386&gt;1,NOT(OR(LEN(TRIM('DATOS'!K386&amp;""))=0,'DATOS'!K386="Sin valorar",'DATOS'!K386="Sin coste documentado",'DATOS'!K386="Incluido en otra partida",'DATOS'!K386="Por confirmar")),NOT(OR(LEN(TRIM('DATOS'!M386&amp;""))=0,'DATOS'!M386="Sí",'DATOS'!M386="No",'DATOS'!M386="Por confirmar")),NOT(OR(LEN(TRIM('DATOS'!O386&amp;""))=0,'DATOS'!O386="Comparamos",'DATOS'!O386="No existe",'DATOS'!O386="Por confirmar"))),2,IF(AND(OR('DATOS'!G386&lt;0,'DATOS'!H386&lt;0,'DATOS'!J386&lt;0),NOT(AND(LEN(TRIM('DATOS'!L386&amp;""))&gt;0,TRIM('DATOS'!L386&amp;"")&lt;&gt;"Pendiente",TRIM('DATOS'!L386&amp;"")&lt;&gt;"Por confirmar",TRIM('DATOS'!L386&amp;"")&lt;&gt;"No consta",TRIM('DATOS'!L386&amp;"")&lt;&gt;"Desconocido",TRIM('DATOS'!L386&amp;"")&lt;&gt;"Sin confirmar",TRIM('DATOS'!L386&amp;"")&lt;&gt;"Por decidir",TRIM('DATOS'!L386&amp;"")&lt;&gt;"Por comprobar"))),1,0))),2)</f>
      </c>
      <c r="P386" s="29">
        <f>IFERROR(IF(N386=0,"",IF(NOT(Y386=1),1,IF('REFERENCIAS'!$Q$8&lt;&gt;1,2,IF(ABS('DATOS'!J386-ROUND('DATOS'!G386*'DATOS'!H386,'REFERENCIAS'!$K$8))&gt;0.00000001,2,IF('DATOS'!O386="No existe",IF(LEN(TRIM('DATOS'!I386&amp;""))=0,0,2),IF('DATOS'!O386="Comparamos",IF(LEN(TRIM('DATOS'!I386&amp;""))=0,1,IF(ISNUMBER('DATOS'!I386),IF(ABS('DATOS'!H386-'DATOS'!I386)&gt;0.00000001,2,0),2)),1)))))),2)</f>
      </c>
      <c r="Q386" s="29">
        <f>IFERROR(IF(N386=0,"",IF(NOT(Y386=1),1,IF('DATOS'!K386="Sin valorar",2,IF('DATOS'!G386=0,1,IF(OR('DATOS'!H386=0,'DATOS'!J386=0),IF(AND(OR('DATOS'!K386="Sin coste documentado",'DATOS'!K386="Incluido en otra partida"),AND(LEN(TRIM('DATOS'!L386&amp;""))&gt;0,TRIM('DATOS'!L386&amp;"")&lt;&gt;"Pendiente",TRIM('DATOS'!L386&amp;"")&lt;&gt;"Por confirmar",TRIM('DATOS'!L386&amp;"")&lt;&gt;"No consta",TRIM('DATOS'!L386&amp;"")&lt;&gt;"Desconocido",TRIM('DATOS'!L386&amp;"")&lt;&gt;"Sin confirmar",TRIM('DATOS'!L386&amp;"")&lt;&gt;"Por decidir",TRIM('DATOS'!L386&amp;"")&lt;&gt;"Por comprobar")),0,1),0))))),2)</f>
      </c>
      <c r="R386" s="29">
        <f>IFERROR(IF(N386=0,"",IF(OR(NOT(AND(LEN(TRIM('DATOS'!D386&amp;""))&gt;0,TRIM('DATOS'!D386&amp;"")&lt;&gt;"Pendiente",TRIM('DATOS'!D386&amp;"")&lt;&gt;"Por confirmar",TRIM('DATOS'!D386&amp;"")&lt;&gt;"No consta",TRIM('DATOS'!D386&amp;"")&lt;&gt;"Desconocido",TRIM('DATOS'!D386&amp;"")&lt;&gt;"Sin confirmar",TRIM('DATOS'!D386&amp;"")&lt;&gt;"Por decidir",TRIM('DATOS'!D386&amp;"")&lt;&gt;"Por comprobar")),NOT(AND(LEN(TRIM('DATOS'!E386&amp;""))&gt;0,TRIM('DATOS'!E386&amp;"")&lt;&gt;"Pendiente",TRIM('DATOS'!E386&amp;"")&lt;&gt;"Por confirmar",TRIM('DATOS'!E386&amp;"")&lt;&gt;"No consta",TRIM('DATOS'!E386&amp;"")&lt;&gt;"Desconocido",TRIM('DATOS'!E386&amp;"")&lt;&gt;"Sin confirmar",TRIM('DATOS'!E386&amp;"")&lt;&gt;"Por decidir",TRIM('DATOS'!E386&amp;"")&lt;&gt;"Por comprobar"))),2,IF('DATOS'!M386="No",2,IF('DATOS'!M386="Sí",0,IF(OR('DATOS'!D386&lt;&gt;'DATOS'!E386,LEN('DATOS'!E386)&gt;300,RIGHT(TRIM('DATOS'!E386),3)="...",RIGHT(TRIM('DATOS'!E386),1)="…"),1,0))))),2)</f>
      </c>
      <c r="S386" s="29">
        <f>IFERROR(IF(N386=0,"",IF('REFERENCIAS'!$Q$8&lt;&gt;1,2,IF(NOT(Y386=1),1,IF(OR(ABS('DATOS'!G386-ROUND('DATOS'!G386,'REFERENCIAS'!$E$8))&gt;0.00000001,ABS('DATOS'!H386-ROUND('DATOS'!H386,'REFERENCIAS'!$H$8))&gt;0.00000001,ABS('DATOS'!J386-ROUND('DATOS'!J386,'REFERENCIAS'!$K$8))&gt;0.00000001,IF(ISNUMBER('DATOS'!I386),ABS('DATOS'!I386-ROUND('DATOS'!I386,'REFERENCIAS'!$H$8))&gt;0.00000001,FALSE)),1,0)))),2)</f>
      </c>
      <c r="T386" s="29">
        <f>IFERROR(IF(N386=0,"",IF(NOT(AND(LEN(TRIM('DATOS'!F386&amp;""))&gt;0,TRIM('DATOS'!F386&amp;"")&lt;&gt;"Pendiente",TRIM('DATOS'!F386&amp;"")&lt;&gt;"Por confirmar",TRIM('DATOS'!F386&amp;"")&lt;&gt;"No consta",TRIM('DATOS'!F386&amp;"")&lt;&gt;"Desconocido",TRIM('DATOS'!F386&amp;"")&lt;&gt;"Sin confirmar",TRIM('DATOS'!F386&amp;"")&lt;&gt;"Por decidir",TRIM('DATOS'!F386&amp;"")&lt;&gt;"Por comprobar")),2,IF(COUNTIFS('REFERENCIAS'!$T$15:$T$34,"ID:"&amp;SUBSTITUTE(SUBSTITUTE(SUBSTITUTE(SUBSTITUTE(UPPER(TRIM('DATOS'!F386&amp;"")),"!","!E"),"*","!A"),"?","!B"),"~","!C"),'REFERENCIAS'!$H$15:$H$34,"&lt;&gt;")&gt;0,0,1))),2)</f>
      </c>
      <c r="U386" s="29" t="str">
        <f>'DATOS'!R386</f>
        <v>ID:</v>
      </c>
      <c r="V386" s="29" t="str">
        <f>'DATOS'!S386</f>
        <v>ID:</v>
      </c>
      <c r="W386" s="29" t="n">
        <f>IF(N386=0,0,COUNTIFS('REFERENCIAS'!$R$15:$R$64,U386))</f>
        <v>0</v>
      </c>
      <c r="X386" s="29" t="n">
        <f>IF(N386=0,0,COUNTIFS('DATOS'!$R$10:$R$509,U386,'DATOS'!$S$10:$S$509,V386))</f>
        <v>0</v>
      </c>
      <c r="Y386" s="29" t="n">
        <f>IF(AND(ISNUMBER('DATOS'!G386),ISNUMBER('DATOS'!H386),ISNUMBER('DATOS'!J386)),1,0)</f>
        <v>0</v>
      </c>
    </row>
    <row r="387" ht="64" customHeight="1">
      <c r="B387" s="26">
        <f>IF(N387=1,378,"")</f>
      </c>
      <c r="C387" s="26">
        <f>IF(AND(N387=1,LEN(TRIM('DATOS'!B387&amp;""))&gt;0),'DATOS'!B387,"")</f>
      </c>
      <c r="D387" s="26">
        <f>IF(AND(N387=1,LEN(TRIM('DATOS'!C387&amp;""))&gt;0),'DATOS'!C387,"")</f>
      </c>
      <c r="E387" s="26">
        <f>IF(NOT(ISNUMBER(P387)),"",IF(P387=2,"ROJO",IF(P387=1,"ÁMBAR","VERDE")))</f>
      </c>
      <c r="F387" s="26">
        <f>IF(NOT(ISNUMBER(Q387)),"",IF(Q387=2,"ROJO",IF(Q387=1,"ÁMBAR","VERDE")))</f>
      </c>
      <c r="G387" s="26">
        <f>IF(NOT(ISNUMBER(R387)),"",IF(R387=2,"ROJO",IF(R387=1,"ÁMBAR","VERDE")))</f>
      </c>
      <c r="H387" s="26">
        <f>IF(NOT(ISNUMBER(S387)),"",IF(S387=2,"ROJO",IF(S387=1,"ÁMBAR","VERDE")))</f>
      </c>
      <c r="I387" s="26">
        <f>IF(NOT(ISNUMBER(T387)),"",IF(T387=2,"ROJO",IF(T387=1,"ÁMBAR","VERDE")))</f>
      </c>
      <c r="J387" s="26">
        <f>IF(NOT(ISNUMBER(O387)),"",IF(O387=2,"ROJO",IF(O387=1,"ÁMBAR","VERDE")))</f>
      </c>
      <c r="K387" s="26">
        <f>IFERROR(IF(AND(N387=1,LEN(TRIM('DATOS'!N387&amp;""))&gt;0),'DATOS'!N387,""),"Hay una entrada con error. Corregimos el dato antes de cerrar la comprobación.")</f>
      </c>
      <c r="L387" s="26">
        <f>IFERROR(IF(N387=0,"",IF(O387&gt;0,"Completamos datos, claves o motivo. ","")&amp;IF(P387&gt;0,"Cotejamos precios e importe. ","")&amp;IF(Q387&gt;0,"Aclaramos el cero. ","")&amp;IF(R387&gt;0,"Comprobamos el texto. ","")&amp;IF(S387&gt;0,"Revisamos decimales visibles. ","")&amp;IF(T387&gt;0,"Confirmamos la unidad.","")),"Hay una entrada con error. Corregimos el dato antes de cerrar la comprobación.")</f>
      </c>
      <c r="N387" s="29" t="n">
        <f>IF(COUNTA('DATOS'!B387:O387)&gt;0,1,0)</f>
        <v>0</v>
      </c>
      <c r="O387" s="29">
        <f>IFERROR(IF(N387=0,"",IF(OR(NOT(AND(LEN(TRIM('DATOS'!B387&amp;""))&gt;0,TRIM('DATOS'!B387&amp;"")&lt;&gt;"Pendiente",TRIM('DATOS'!B387&amp;"")&lt;&gt;"Por confirmar",TRIM('DATOS'!B387&amp;"")&lt;&gt;"No consta",TRIM('DATOS'!B387&amp;"")&lt;&gt;"Desconocido",TRIM('DATOS'!B387&amp;"")&lt;&gt;"Sin confirmar",TRIM('DATOS'!B387&amp;"")&lt;&gt;"Por decidir",TRIM('DATOS'!B387&amp;"")&lt;&gt;"Por comprobar")),NOT(AND(LEN(TRIM('DATOS'!C387&amp;""))&gt;0,TRIM('DATOS'!C387&amp;"")&lt;&gt;"Pendiente",TRIM('DATOS'!C387&amp;"")&lt;&gt;"Por confirmar",TRIM('DATOS'!C387&amp;"")&lt;&gt;"No consta",TRIM('DATOS'!C387&amp;"")&lt;&gt;"Desconocido",TRIM('DATOS'!C387&amp;"")&lt;&gt;"Sin confirmar",TRIM('DATOS'!C387&amp;"")&lt;&gt;"Por decidir",TRIM('DATOS'!C387&amp;"")&lt;&gt;"Por comprobar")),NOT(AND(LEN(TRIM('DATOS'!D387&amp;""))&gt;0,TRIM('DATOS'!D387&amp;"")&lt;&gt;"Pendiente",TRIM('DATOS'!D387&amp;"")&lt;&gt;"Por confirmar",TRIM('DATOS'!D387&amp;"")&lt;&gt;"No consta",TRIM('DATOS'!D387&amp;"")&lt;&gt;"Desconocido",TRIM('DATOS'!D387&amp;"")&lt;&gt;"Sin confirmar",TRIM('DATOS'!D387&amp;"")&lt;&gt;"Por decidir",TRIM('DATOS'!D387&amp;"")&lt;&gt;"Por comprobar")),NOT(AND(LEN(TRIM('DATOS'!E387&amp;""))&gt;0,TRIM('DATOS'!E387&amp;"")&lt;&gt;"Pendiente",TRIM('DATOS'!E387&amp;"")&lt;&gt;"Por confirmar",TRIM('DATOS'!E387&amp;"")&lt;&gt;"No consta",TRIM('DATOS'!E387&amp;"")&lt;&gt;"Desconocido",TRIM('DATOS'!E387&amp;"")&lt;&gt;"Sin confirmar",TRIM('DATOS'!E387&amp;"")&lt;&gt;"Por decidir",TRIM('DATOS'!E387&amp;"")&lt;&gt;"Por comprobar")),NOT(AND(LEN(TRIM('DATOS'!F387&amp;""))&gt;0,TRIM('DATOS'!F387&amp;"")&lt;&gt;"Pendiente",TRIM('DATOS'!F387&amp;"")&lt;&gt;"Por confirmar",TRIM('DATOS'!F387&amp;"")&lt;&gt;"No consta",TRIM('DATOS'!F387&amp;"")&lt;&gt;"Desconocido",TRIM('DATOS'!F387&amp;"")&lt;&gt;"Sin confirmar",TRIM('DATOS'!F387&amp;"")&lt;&gt;"Por decidir",TRIM('DATOS'!F387&amp;"")&lt;&gt;"Por comprobar")),NOT(AND(LEN(TRIM('DATOS'!N387&amp;""))&gt;0,TRIM('DATOS'!N387&amp;"")&lt;&gt;"Pendiente",TRIM('DATOS'!N387&amp;"")&lt;&gt;"Por confirmar",TRIM('DATOS'!N387&amp;"")&lt;&gt;"No consta",TRIM('DATOS'!N387&amp;"")&lt;&gt;"Desconocido",TRIM('DATOS'!N387&amp;"")&lt;&gt;"Sin confirmar",TRIM('DATOS'!N387&amp;"")&lt;&gt;"Por decidir",TRIM('DATOS'!N387&amp;"")&lt;&gt;"Por comprobar")),NOT(Y387=1),W387&lt;&gt;1,X387&gt;1,NOT(OR(LEN(TRIM('DATOS'!K387&amp;""))=0,'DATOS'!K387="Sin valorar",'DATOS'!K387="Sin coste documentado",'DATOS'!K387="Incluido en otra partida",'DATOS'!K387="Por confirmar")),NOT(OR(LEN(TRIM('DATOS'!M387&amp;""))=0,'DATOS'!M387="Sí",'DATOS'!M387="No",'DATOS'!M387="Por confirmar")),NOT(OR(LEN(TRIM('DATOS'!O387&amp;""))=0,'DATOS'!O387="Comparamos",'DATOS'!O387="No existe",'DATOS'!O387="Por confirmar"))),2,IF(AND(OR('DATOS'!G387&lt;0,'DATOS'!H387&lt;0,'DATOS'!J387&lt;0),NOT(AND(LEN(TRIM('DATOS'!L387&amp;""))&gt;0,TRIM('DATOS'!L387&amp;"")&lt;&gt;"Pendiente",TRIM('DATOS'!L387&amp;"")&lt;&gt;"Por confirmar",TRIM('DATOS'!L387&amp;"")&lt;&gt;"No consta",TRIM('DATOS'!L387&amp;"")&lt;&gt;"Desconocido",TRIM('DATOS'!L387&amp;"")&lt;&gt;"Sin confirmar",TRIM('DATOS'!L387&amp;"")&lt;&gt;"Por decidir",TRIM('DATOS'!L387&amp;"")&lt;&gt;"Por comprobar"))),1,0))),2)</f>
      </c>
      <c r="P387" s="29">
        <f>IFERROR(IF(N387=0,"",IF(NOT(Y387=1),1,IF('REFERENCIAS'!$Q$8&lt;&gt;1,2,IF(ABS('DATOS'!J387-ROUND('DATOS'!G387*'DATOS'!H387,'REFERENCIAS'!$K$8))&gt;0.00000001,2,IF('DATOS'!O387="No existe",IF(LEN(TRIM('DATOS'!I387&amp;""))=0,0,2),IF('DATOS'!O387="Comparamos",IF(LEN(TRIM('DATOS'!I387&amp;""))=0,1,IF(ISNUMBER('DATOS'!I387),IF(ABS('DATOS'!H387-'DATOS'!I387)&gt;0.00000001,2,0),2)),1)))))),2)</f>
      </c>
      <c r="Q387" s="29">
        <f>IFERROR(IF(N387=0,"",IF(NOT(Y387=1),1,IF('DATOS'!K387="Sin valorar",2,IF('DATOS'!G387=0,1,IF(OR('DATOS'!H387=0,'DATOS'!J387=0),IF(AND(OR('DATOS'!K387="Sin coste documentado",'DATOS'!K387="Incluido en otra partida"),AND(LEN(TRIM('DATOS'!L387&amp;""))&gt;0,TRIM('DATOS'!L387&amp;"")&lt;&gt;"Pendiente",TRIM('DATOS'!L387&amp;"")&lt;&gt;"Por confirmar",TRIM('DATOS'!L387&amp;"")&lt;&gt;"No consta",TRIM('DATOS'!L387&amp;"")&lt;&gt;"Desconocido",TRIM('DATOS'!L387&amp;"")&lt;&gt;"Sin confirmar",TRIM('DATOS'!L387&amp;"")&lt;&gt;"Por decidir",TRIM('DATOS'!L387&amp;"")&lt;&gt;"Por comprobar")),0,1),0))))),2)</f>
      </c>
      <c r="R387" s="29">
        <f>IFERROR(IF(N387=0,"",IF(OR(NOT(AND(LEN(TRIM('DATOS'!D387&amp;""))&gt;0,TRIM('DATOS'!D387&amp;"")&lt;&gt;"Pendiente",TRIM('DATOS'!D387&amp;"")&lt;&gt;"Por confirmar",TRIM('DATOS'!D387&amp;"")&lt;&gt;"No consta",TRIM('DATOS'!D387&amp;"")&lt;&gt;"Desconocido",TRIM('DATOS'!D387&amp;"")&lt;&gt;"Sin confirmar",TRIM('DATOS'!D387&amp;"")&lt;&gt;"Por decidir",TRIM('DATOS'!D387&amp;"")&lt;&gt;"Por comprobar")),NOT(AND(LEN(TRIM('DATOS'!E387&amp;""))&gt;0,TRIM('DATOS'!E387&amp;"")&lt;&gt;"Pendiente",TRIM('DATOS'!E387&amp;"")&lt;&gt;"Por confirmar",TRIM('DATOS'!E387&amp;"")&lt;&gt;"No consta",TRIM('DATOS'!E387&amp;"")&lt;&gt;"Desconocido",TRIM('DATOS'!E387&amp;"")&lt;&gt;"Sin confirmar",TRIM('DATOS'!E387&amp;"")&lt;&gt;"Por decidir",TRIM('DATOS'!E387&amp;"")&lt;&gt;"Por comprobar"))),2,IF('DATOS'!M387="No",2,IF('DATOS'!M387="Sí",0,IF(OR('DATOS'!D387&lt;&gt;'DATOS'!E387,LEN('DATOS'!E387)&gt;300,RIGHT(TRIM('DATOS'!E387),3)="...",RIGHT(TRIM('DATOS'!E387),1)="…"),1,0))))),2)</f>
      </c>
      <c r="S387" s="29">
        <f>IFERROR(IF(N387=0,"",IF('REFERENCIAS'!$Q$8&lt;&gt;1,2,IF(NOT(Y387=1),1,IF(OR(ABS('DATOS'!G387-ROUND('DATOS'!G387,'REFERENCIAS'!$E$8))&gt;0.00000001,ABS('DATOS'!H387-ROUND('DATOS'!H387,'REFERENCIAS'!$H$8))&gt;0.00000001,ABS('DATOS'!J387-ROUND('DATOS'!J387,'REFERENCIAS'!$K$8))&gt;0.00000001,IF(ISNUMBER('DATOS'!I387),ABS('DATOS'!I387-ROUND('DATOS'!I387,'REFERENCIAS'!$H$8))&gt;0.00000001,FALSE)),1,0)))),2)</f>
      </c>
      <c r="T387" s="29">
        <f>IFERROR(IF(N387=0,"",IF(NOT(AND(LEN(TRIM('DATOS'!F387&amp;""))&gt;0,TRIM('DATOS'!F387&amp;"")&lt;&gt;"Pendiente",TRIM('DATOS'!F387&amp;"")&lt;&gt;"Por confirmar",TRIM('DATOS'!F387&amp;"")&lt;&gt;"No consta",TRIM('DATOS'!F387&amp;"")&lt;&gt;"Desconocido",TRIM('DATOS'!F387&amp;"")&lt;&gt;"Sin confirmar",TRIM('DATOS'!F387&amp;"")&lt;&gt;"Por decidir",TRIM('DATOS'!F387&amp;"")&lt;&gt;"Por comprobar")),2,IF(COUNTIFS('REFERENCIAS'!$T$15:$T$34,"ID:"&amp;SUBSTITUTE(SUBSTITUTE(SUBSTITUTE(SUBSTITUTE(UPPER(TRIM('DATOS'!F387&amp;"")),"!","!E"),"*","!A"),"?","!B"),"~","!C"),'REFERENCIAS'!$H$15:$H$34,"&lt;&gt;")&gt;0,0,1))),2)</f>
      </c>
      <c r="U387" s="29" t="str">
        <f>'DATOS'!R387</f>
        <v>ID:</v>
      </c>
      <c r="V387" s="29" t="str">
        <f>'DATOS'!S387</f>
        <v>ID:</v>
      </c>
      <c r="W387" s="29" t="n">
        <f>IF(N387=0,0,COUNTIFS('REFERENCIAS'!$R$15:$R$64,U387))</f>
        <v>0</v>
      </c>
      <c r="X387" s="29" t="n">
        <f>IF(N387=0,0,COUNTIFS('DATOS'!$R$10:$R$509,U387,'DATOS'!$S$10:$S$509,V387))</f>
        <v>0</v>
      </c>
      <c r="Y387" s="29" t="n">
        <f>IF(AND(ISNUMBER('DATOS'!G387),ISNUMBER('DATOS'!H387),ISNUMBER('DATOS'!J387)),1,0)</f>
        <v>0</v>
      </c>
    </row>
    <row r="388" ht="64" customHeight="1">
      <c r="B388" s="26">
        <f>IF(N388=1,379,"")</f>
      </c>
      <c r="C388" s="26">
        <f>IF(AND(N388=1,LEN(TRIM('DATOS'!B388&amp;""))&gt;0),'DATOS'!B388,"")</f>
      </c>
      <c r="D388" s="26">
        <f>IF(AND(N388=1,LEN(TRIM('DATOS'!C388&amp;""))&gt;0),'DATOS'!C388,"")</f>
      </c>
      <c r="E388" s="26">
        <f>IF(NOT(ISNUMBER(P388)),"",IF(P388=2,"ROJO",IF(P388=1,"ÁMBAR","VERDE")))</f>
      </c>
      <c r="F388" s="26">
        <f>IF(NOT(ISNUMBER(Q388)),"",IF(Q388=2,"ROJO",IF(Q388=1,"ÁMBAR","VERDE")))</f>
      </c>
      <c r="G388" s="26">
        <f>IF(NOT(ISNUMBER(R388)),"",IF(R388=2,"ROJO",IF(R388=1,"ÁMBAR","VERDE")))</f>
      </c>
      <c r="H388" s="26">
        <f>IF(NOT(ISNUMBER(S388)),"",IF(S388=2,"ROJO",IF(S388=1,"ÁMBAR","VERDE")))</f>
      </c>
      <c r="I388" s="26">
        <f>IF(NOT(ISNUMBER(T388)),"",IF(T388=2,"ROJO",IF(T388=1,"ÁMBAR","VERDE")))</f>
      </c>
      <c r="J388" s="26">
        <f>IF(NOT(ISNUMBER(O388)),"",IF(O388=2,"ROJO",IF(O388=1,"ÁMBAR","VERDE")))</f>
      </c>
      <c r="K388" s="26">
        <f>IFERROR(IF(AND(N388=1,LEN(TRIM('DATOS'!N388&amp;""))&gt;0),'DATOS'!N388,""),"Hay una entrada con error. Corregimos el dato antes de cerrar la comprobación.")</f>
      </c>
      <c r="L388" s="26">
        <f>IFERROR(IF(N388=0,"",IF(O388&gt;0,"Completamos datos, claves o motivo. ","")&amp;IF(P388&gt;0,"Cotejamos precios e importe. ","")&amp;IF(Q388&gt;0,"Aclaramos el cero. ","")&amp;IF(R388&gt;0,"Comprobamos el texto. ","")&amp;IF(S388&gt;0,"Revisamos decimales visibles. ","")&amp;IF(T388&gt;0,"Confirmamos la unidad.","")),"Hay una entrada con error. Corregimos el dato antes de cerrar la comprobación.")</f>
      </c>
      <c r="N388" s="29" t="n">
        <f>IF(COUNTA('DATOS'!B388:O388)&gt;0,1,0)</f>
        <v>0</v>
      </c>
      <c r="O388" s="29">
        <f>IFERROR(IF(N388=0,"",IF(OR(NOT(AND(LEN(TRIM('DATOS'!B388&amp;""))&gt;0,TRIM('DATOS'!B388&amp;"")&lt;&gt;"Pendiente",TRIM('DATOS'!B388&amp;"")&lt;&gt;"Por confirmar",TRIM('DATOS'!B388&amp;"")&lt;&gt;"No consta",TRIM('DATOS'!B388&amp;"")&lt;&gt;"Desconocido",TRIM('DATOS'!B388&amp;"")&lt;&gt;"Sin confirmar",TRIM('DATOS'!B388&amp;"")&lt;&gt;"Por decidir",TRIM('DATOS'!B388&amp;"")&lt;&gt;"Por comprobar")),NOT(AND(LEN(TRIM('DATOS'!C388&amp;""))&gt;0,TRIM('DATOS'!C388&amp;"")&lt;&gt;"Pendiente",TRIM('DATOS'!C388&amp;"")&lt;&gt;"Por confirmar",TRIM('DATOS'!C388&amp;"")&lt;&gt;"No consta",TRIM('DATOS'!C388&amp;"")&lt;&gt;"Desconocido",TRIM('DATOS'!C388&amp;"")&lt;&gt;"Sin confirmar",TRIM('DATOS'!C388&amp;"")&lt;&gt;"Por decidir",TRIM('DATOS'!C388&amp;"")&lt;&gt;"Por comprobar")),NOT(AND(LEN(TRIM('DATOS'!D388&amp;""))&gt;0,TRIM('DATOS'!D388&amp;"")&lt;&gt;"Pendiente",TRIM('DATOS'!D388&amp;"")&lt;&gt;"Por confirmar",TRIM('DATOS'!D388&amp;"")&lt;&gt;"No consta",TRIM('DATOS'!D388&amp;"")&lt;&gt;"Desconocido",TRIM('DATOS'!D388&amp;"")&lt;&gt;"Sin confirmar",TRIM('DATOS'!D388&amp;"")&lt;&gt;"Por decidir",TRIM('DATOS'!D388&amp;"")&lt;&gt;"Por comprobar")),NOT(AND(LEN(TRIM('DATOS'!E388&amp;""))&gt;0,TRIM('DATOS'!E388&amp;"")&lt;&gt;"Pendiente",TRIM('DATOS'!E388&amp;"")&lt;&gt;"Por confirmar",TRIM('DATOS'!E388&amp;"")&lt;&gt;"No consta",TRIM('DATOS'!E388&amp;"")&lt;&gt;"Desconocido",TRIM('DATOS'!E388&amp;"")&lt;&gt;"Sin confirmar",TRIM('DATOS'!E388&amp;"")&lt;&gt;"Por decidir",TRIM('DATOS'!E388&amp;"")&lt;&gt;"Por comprobar")),NOT(AND(LEN(TRIM('DATOS'!F388&amp;""))&gt;0,TRIM('DATOS'!F388&amp;"")&lt;&gt;"Pendiente",TRIM('DATOS'!F388&amp;"")&lt;&gt;"Por confirmar",TRIM('DATOS'!F388&amp;"")&lt;&gt;"No consta",TRIM('DATOS'!F388&amp;"")&lt;&gt;"Desconocido",TRIM('DATOS'!F388&amp;"")&lt;&gt;"Sin confirmar",TRIM('DATOS'!F388&amp;"")&lt;&gt;"Por decidir",TRIM('DATOS'!F388&amp;"")&lt;&gt;"Por comprobar")),NOT(AND(LEN(TRIM('DATOS'!N388&amp;""))&gt;0,TRIM('DATOS'!N388&amp;"")&lt;&gt;"Pendiente",TRIM('DATOS'!N388&amp;"")&lt;&gt;"Por confirmar",TRIM('DATOS'!N388&amp;"")&lt;&gt;"No consta",TRIM('DATOS'!N388&amp;"")&lt;&gt;"Desconocido",TRIM('DATOS'!N388&amp;"")&lt;&gt;"Sin confirmar",TRIM('DATOS'!N388&amp;"")&lt;&gt;"Por decidir",TRIM('DATOS'!N388&amp;"")&lt;&gt;"Por comprobar")),NOT(Y388=1),W388&lt;&gt;1,X388&gt;1,NOT(OR(LEN(TRIM('DATOS'!K388&amp;""))=0,'DATOS'!K388="Sin valorar",'DATOS'!K388="Sin coste documentado",'DATOS'!K388="Incluido en otra partida",'DATOS'!K388="Por confirmar")),NOT(OR(LEN(TRIM('DATOS'!M388&amp;""))=0,'DATOS'!M388="Sí",'DATOS'!M388="No",'DATOS'!M388="Por confirmar")),NOT(OR(LEN(TRIM('DATOS'!O388&amp;""))=0,'DATOS'!O388="Comparamos",'DATOS'!O388="No existe",'DATOS'!O388="Por confirmar"))),2,IF(AND(OR('DATOS'!G388&lt;0,'DATOS'!H388&lt;0,'DATOS'!J388&lt;0),NOT(AND(LEN(TRIM('DATOS'!L388&amp;""))&gt;0,TRIM('DATOS'!L388&amp;"")&lt;&gt;"Pendiente",TRIM('DATOS'!L388&amp;"")&lt;&gt;"Por confirmar",TRIM('DATOS'!L388&amp;"")&lt;&gt;"No consta",TRIM('DATOS'!L388&amp;"")&lt;&gt;"Desconocido",TRIM('DATOS'!L388&amp;"")&lt;&gt;"Sin confirmar",TRIM('DATOS'!L388&amp;"")&lt;&gt;"Por decidir",TRIM('DATOS'!L388&amp;"")&lt;&gt;"Por comprobar"))),1,0))),2)</f>
      </c>
      <c r="P388" s="29">
        <f>IFERROR(IF(N388=0,"",IF(NOT(Y388=1),1,IF('REFERENCIAS'!$Q$8&lt;&gt;1,2,IF(ABS('DATOS'!J388-ROUND('DATOS'!G388*'DATOS'!H388,'REFERENCIAS'!$K$8))&gt;0.00000001,2,IF('DATOS'!O388="No existe",IF(LEN(TRIM('DATOS'!I388&amp;""))=0,0,2),IF('DATOS'!O388="Comparamos",IF(LEN(TRIM('DATOS'!I388&amp;""))=0,1,IF(ISNUMBER('DATOS'!I388),IF(ABS('DATOS'!H388-'DATOS'!I388)&gt;0.00000001,2,0),2)),1)))))),2)</f>
      </c>
      <c r="Q388" s="29">
        <f>IFERROR(IF(N388=0,"",IF(NOT(Y388=1),1,IF('DATOS'!K388="Sin valorar",2,IF('DATOS'!G388=0,1,IF(OR('DATOS'!H388=0,'DATOS'!J388=0),IF(AND(OR('DATOS'!K388="Sin coste documentado",'DATOS'!K388="Incluido en otra partida"),AND(LEN(TRIM('DATOS'!L388&amp;""))&gt;0,TRIM('DATOS'!L388&amp;"")&lt;&gt;"Pendiente",TRIM('DATOS'!L388&amp;"")&lt;&gt;"Por confirmar",TRIM('DATOS'!L388&amp;"")&lt;&gt;"No consta",TRIM('DATOS'!L388&amp;"")&lt;&gt;"Desconocido",TRIM('DATOS'!L388&amp;"")&lt;&gt;"Sin confirmar",TRIM('DATOS'!L388&amp;"")&lt;&gt;"Por decidir",TRIM('DATOS'!L388&amp;"")&lt;&gt;"Por comprobar")),0,1),0))))),2)</f>
      </c>
      <c r="R388" s="29">
        <f>IFERROR(IF(N388=0,"",IF(OR(NOT(AND(LEN(TRIM('DATOS'!D388&amp;""))&gt;0,TRIM('DATOS'!D388&amp;"")&lt;&gt;"Pendiente",TRIM('DATOS'!D388&amp;"")&lt;&gt;"Por confirmar",TRIM('DATOS'!D388&amp;"")&lt;&gt;"No consta",TRIM('DATOS'!D388&amp;"")&lt;&gt;"Desconocido",TRIM('DATOS'!D388&amp;"")&lt;&gt;"Sin confirmar",TRIM('DATOS'!D388&amp;"")&lt;&gt;"Por decidir",TRIM('DATOS'!D388&amp;"")&lt;&gt;"Por comprobar")),NOT(AND(LEN(TRIM('DATOS'!E388&amp;""))&gt;0,TRIM('DATOS'!E388&amp;"")&lt;&gt;"Pendiente",TRIM('DATOS'!E388&amp;"")&lt;&gt;"Por confirmar",TRIM('DATOS'!E388&amp;"")&lt;&gt;"No consta",TRIM('DATOS'!E388&amp;"")&lt;&gt;"Desconocido",TRIM('DATOS'!E388&amp;"")&lt;&gt;"Sin confirmar",TRIM('DATOS'!E388&amp;"")&lt;&gt;"Por decidir",TRIM('DATOS'!E388&amp;"")&lt;&gt;"Por comprobar"))),2,IF('DATOS'!M388="No",2,IF('DATOS'!M388="Sí",0,IF(OR('DATOS'!D388&lt;&gt;'DATOS'!E388,LEN('DATOS'!E388)&gt;300,RIGHT(TRIM('DATOS'!E388),3)="...",RIGHT(TRIM('DATOS'!E388),1)="…"),1,0))))),2)</f>
      </c>
      <c r="S388" s="29">
        <f>IFERROR(IF(N388=0,"",IF('REFERENCIAS'!$Q$8&lt;&gt;1,2,IF(NOT(Y388=1),1,IF(OR(ABS('DATOS'!G388-ROUND('DATOS'!G388,'REFERENCIAS'!$E$8))&gt;0.00000001,ABS('DATOS'!H388-ROUND('DATOS'!H388,'REFERENCIAS'!$H$8))&gt;0.00000001,ABS('DATOS'!J388-ROUND('DATOS'!J388,'REFERENCIAS'!$K$8))&gt;0.00000001,IF(ISNUMBER('DATOS'!I388),ABS('DATOS'!I388-ROUND('DATOS'!I388,'REFERENCIAS'!$H$8))&gt;0.00000001,FALSE)),1,0)))),2)</f>
      </c>
      <c r="T388" s="29">
        <f>IFERROR(IF(N388=0,"",IF(NOT(AND(LEN(TRIM('DATOS'!F388&amp;""))&gt;0,TRIM('DATOS'!F388&amp;"")&lt;&gt;"Pendiente",TRIM('DATOS'!F388&amp;"")&lt;&gt;"Por confirmar",TRIM('DATOS'!F388&amp;"")&lt;&gt;"No consta",TRIM('DATOS'!F388&amp;"")&lt;&gt;"Desconocido",TRIM('DATOS'!F388&amp;"")&lt;&gt;"Sin confirmar",TRIM('DATOS'!F388&amp;"")&lt;&gt;"Por decidir",TRIM('DATOS'!F388&amp;"")&lt;&gt;"Por comprobar")),2,IF(COUNTIFS('REFERENCIAS'!$T$15:$T$34,"ID:"&amp;SUBSTITUTE(SUBSTITUTE(SUBSTITUTE(SUBSTITUTE(UPPER(TRIM('DATOS'!F388&amp;"")),"!","!E"),"*","!A"),"?","!B"),"~","!C"),'REFERENCIAS'!$H$15:$H$34,"&lt;&gt;")&gt;0,0,1))),2)</f>
      </c>
      <c r="U388" s="29" t="str">
        <f>'DATOS'!R388</f>
        <v>ID:</v>
      </c>
      <c r="V388" s="29" t="str">
        <f>'DATOS'!S388</f>
        <v>ID:</v>
      </c>
      <c r="W388" s="29" t="n">
        <f>IF(N388=0,0,COUNTIFS('REFERENCIAS'!$R$15:$R$64,U388))</f>
        <v>0</v>
      </c>
      <c r="X388" s="29" t="n">
        <f>IF(N388=0,0,COUNTIFS('DATOS'!$R$10:$R$509,U388,'DATOS'!$S$10:$S$509,V388))</f>
        <v>0</v>
      </c>
      <c r="Y388" s="29" t="n">
        <f>IF(AND(ISNUMBER('DATOS'!G388),ISNUMBER('DATOS'!H388),ISNUMBER('DATOS'!J388)),1,0)</f>
        <v>0</v>
      </c>
    </row>
    <row r="389" ht="64" customHeight="1">
      <c r="B389" s="26">
        <f>IF(N389=1,380,"")</f>
      </c>
      <c r="C389" s="26">
        <f>IF(AND(N389=1,LEN(TRIM('DATOS'!B389&amp;""))&gt;0),'DATOS'!B389,"")</f>
      </c>
      <c r="D389" s="26">
        <f>IF(AND(N389=1,LEN(TRIM('DATOS'!C389&amp;""))&gt;0),'DATOS'!C389,"")</f>
      </c>
      <c r="E389" s="26">
        <f>IF(NOT(ISNUMBER(P389)),"",IF(P389=2,"ROJO",IF(P389=1,"ÁMBAR","VERDE")))</f>
      </c>
      <c r="F389" s="26">
        <f>IF(NOT(ISNUMBER(Q389)),"",IF(Q389=2,"ROJO",IF(Q389=1,"ÁMBAR","VERDE")))</f>
      </c>
      <c r="G389" s="26">
        <f>IF(NOT(ISNUMBER(R389)),"",IF(R389=2,"ROJO",IF(R389=1,"ÁMBAR","VERDE")))</f>
      </c>
      <c r="H389" s="26">
        <f>IF(NOT(ISNUMBER(S389)),"",IF(S389=2,"ROJO",IF(S389=1,"ÁMBAR","VERDE")))</f>
      </c>
      <c r="I389" s="26">
        <f>IF(NOT(ISNUMBER(T389)),"",IF(T389=2,"ROJO",IF(T389=1,"ÁMBAR","VERDE")))</f>
      </c>
      <c r="J389" s="26">
        <f>IF(NOT(ISNUMBER(O389)),"",IF(O389=2,"ROJO",IF(O389=1,"ÁMBAR","VERDE")))</f>
      </c>
      <c r="K389" s="26">
        <f>IFERROR(IF(AND(N389=1,LEN(TRIM('DATOS'!N389&amp;""))&gt;0),'DATOS'!N389,""),"Hay una entrada con error. Corregimos el dato antes de cerrar la comprobación.")</f>
      </c>
      <c r="L389" s="26">
        <f>IFERROR(IF(N389=0,"",IF(O389&gt;0,"Completamos datos, claves o motivo. ","")&amp;IF(P389&gt;0,"Cotejamos precios e importe. ","")&amp;IF(Q389&gt;0,"Aclaramos el cero. ","")&amp;IF(R389&gt;0,"Comprobamos el texto. ","")&amp;IF(S389&gt;0,"Revisamos decimales visibles. ","")&amp;IF(T389&gt;0,"Confirmamos la unidad.","")),"Hay una entrada con error. Corregimos el dato antes de cerrar la comprobación.")</f>
      </c>
      <c r="N389" s="29" t="n">
        <f>IF(COUNTA('DATOS'!B389:O389)&gt;0,1,0)</f>
        <v>0</v>
      </c>
      <c r="O389" s="29">
        <f>IFERROR(IF(N389=0,"",IF(OR(NOT(AND(LEN(TRIM('DATOS'!B389&amp;""))&gt;0,TRIM('DATOS'!B389&amp;"")&lt;&gt;"Pendiente",TRIM('DATOS'!B389&amp;"")&lt;&gt;"Por confirmar",TRIM('DATOS'!B389&amp;"")&lt;&gt;"No consta",TRIM('DATOS'!B389&amp;"")&lt;&gt;"Desconocido",TRIM('DATOS'!B389&amp;"")&lt;&gt;"Sin confirmar",TRIM('DATOS'!B389&amp;"")&lt;&gt;"Por decidir",TRIM('DATOS'!B389&amp;"")&lt;&gt;"Por comprobar")),NOT(AND(LEN(TRIM('DATOS'!C389&amp;""))&gt;0,TRIM('DATOS'!C389&amp;"")&lt;&gt;"Pendiente",TRIM('DATOS'!C389&amp;"")&lt;&gt;"Por confirmar",TRIM('DATOS'!C389&amp;"")&lt;&gt;"No consta",TRIM('DATOS'!C389&amp;"")&lt;&gt;"Desconocido",TRIM('DATOS'!C389&amp;"")&lt;&gt;"Sin confirmar",TRIM('DATOS'!C389&amp;"")&lt;&gt;"Por decidir",TRIM('DATOS'!C389&amp;"")&lt;&gt;"Por comprobar")),NOT(AND(LEN(TRIM('DATOS'!D389&amp;""))&gt;0,TRIM('DATOS'!D389&amp;"")&lt;&gt;"Pendiente",TRIM('DATOS'!D389&amp;"")&lt;&gt;"Por confirmar",TRIM('DATOS'!D389&amp;"")&lt;&gt;"No consta",TRIM('DATOS'!D389&amp;"")&lt;&gt;"Desconocido",TRIM('DATOS'!D389&amp;"")&lt;&gt;"Sin confirmar",TRIM('DATOS'!D389&amp;"")&lt;&gt;"Por decidir",TRIM('DATOS'!D389&amp;"")&lt;&gt;"Por comprobar")),NOT(AND(LEN(TRIM('DATOS'!E389&amp;""))&gt;0,TRIM('DATOS'!E389&amp;"")&lt;&gt;"Pendiente",TRIM('DATOS'!E389&amp;"")&lt;&gt;"Por confirmar",TRIM('DATOS'!E389&amp;"")&lt;&gt;"No consta",TRIM('DATOS'!E389&amp;"")&lt;&gt;"Desconocido",TRIM('DATOS'!E389&amp;"")&lt;&gt;"Sin confirmar",TRIM('DATOS'!E389&amp;"")&lt;&gt;"Por decidir",TRIM('DATOS'!E389&amp;"")&lt;&gt;"Por comprobar")),NOT(AND(LEN(TRIM('DATOS'!F389&amp;""))&gt;0,TRIM('DATOS'!F389&amp;"")&lt;&gt;"Pendiente",TRIM('DATOS'!F389&amp;"")&lt;&gt;"Por confirmar",TRIM('DATOS'!F389&amp;"")&lt;&gt;"No consta",TRIM('DATOS'!F389&amp;"")&lt;&gt;"Desconocido",TRIM('DATOS'!F389&amp;"")&lt;&gt;"Sin confirmar",TRIM('DATOS'!F389&amp;"")&lt;&gt;"Por decidir",TRIM('DATOS'!F389&amp;"")&lt;&gt;"Por comprobar")),NOT(AND(LEN(TRIM('DATOS'!N389&amp;""))&gt;0,TRIM('DATOS'!N389&amp;"")&lt;&gt;"Pendiente",TRIM('DATOS'!N389&amp;"")&lt;&gt;"Por confirmar",TRIM('DATOS'!N389&amp;"")&lt;&gt;"No consta",TRIM('DATOS'!N389&amp;"")&lt;&gt;"Desconocido",TRIM('DATOS'!N389&amp;"")&lt;&gt;"Sin confirmar",TRIM('DATOS'!N389&amp;"")&lt;&gt;"Por decidir",TRIM('DATOS'!N389&amp;"")&lt;&gt;"Por comprobar")),NOT(Y389=1),W389&lt;&gt;1,X389&gt;1,NOT(OR(LEN(TRIM('DATOS'!K389&amp;""))=0,'DATOS'!K389="Sin valorar",'DATOS'!K389="Sin coste documentado",'DATOS'!K389="Incluido en otra partida",'DATOS'!K389="Por confirmar")),NOT(OR(LEN(TRIM('DATOS'!M389&amp;""))=0,'DATOS'!M389="Sí",'DATOS'!M389="No",'DATOS'!M389="Por confirmar")),NOT(OR(LEN(TRIM('DATOS'!O389&amp;""))=0,'DATOS'!O389="Comparamos",'DATOS'!O389="No existe",'DATOS'!O389="Por confirmar"))),2,IF(AND(OR('DATOS'!G389&lt;0,'DATOS'!H389&lt;0,'DATOS'!J389&lt;0),NOT(AND(LEN(TRIM('DATOS'!L389&amp;""))&gt;0,TRIM('DATOS'!L389&amp;"")&lt;&gt;"Pendiente",TRIM('DATOS'!L389&amp;"")&lt;&gt;"Por confirmar",TRIM('DATOS'!L389&amp;"")&lt;&gt;"No consta",TRIM('DATOS'!L389&amp;"")&lt;&gt;"Desconocido",TRIM('DATOS'!L389&amp;"")&lt;&gt;"Sin confirmar",TRIM('DATOS'!L389&amp;"")&lt;&gt;"Por decidir",TRIM('DATOS'!L389&amp;"")&lt;&gt;"Por comprobar"))),1,0))),2)</f>
      </c>
      <c r="P389" s="29">
        <f>IFERROR(IF(N389=0,"",IF(NOT(Y389=1),1,IF('REFERENCIAS'!$Q$8&lt;&gt;1,2,IF(ABS('DATOS'!J389-ROUND('DATOS'!G389*'DATOS'!H389,'REFERENCIAS'!$K$8))&gt;0.00000001,2,IF('DATOS'!O389="No existe",IF(LEN(TRIM('DATOS'!I389&amp;""))=0,0,2),IF('DATOS'!O389="Comparamos",IF(LEN(TRIM('DATOS'!I389&amp;""))=0,1,IF(ISNUMBER('DATOS'!I389),IF(ABS('DATOS'!H389-'DATOS'!I389)&gt;0.00000001,2,0),2)),1)))))),2)</f>
      </c>
      <c r="Q389" s="29">
        <f>IFERROR(IF(N389=0,"",IF(NOT(Y389=1),1,IF('DATOS'!K389="Sin valorar",2,IF('DATOS'!G389=0,1,IF(OR('DATOS'!H389=0,'DATOS'!J389=0),IF(AND(OR('DATOS'!K389="Sin coste documentado",'DATOS'!K389="Incluido en otra partida"),AND(LEN(TRIM('DATOS'!L389&amp;""))&gt;0,TRIM('DATOS'!L389&amp;"")&lt;&gt;"Pendiente",TRIM('DATOS'!L389&amp;"")&lt;&gt;"Por confirmar",TRIM('DATOS'!L389&amp;"")&lt;&gt;"No consta",TRIM('DATOS'!L389&amp;"")&lt;&gt;"Desconocido",TRIM('DATOS'!L389&amp;"")&lt;&gt;"Sin confirmar",TRIM('DATOS'!L389&amp;"")&lt;&gt;"Por decidir",TRIM('DATOS'!L389&amp;"")&lt;&gt;"Por comprobar")),0,1),0))))),2)</f>
      </c>
      <c r="R389" s="29">
        <f>IFERROR(IF(N389=0,"",IF(OR(NOT(AND(LEN(TRIM('DATOS'!D389&amp;""))&gt;0,TRIM('DATOS'!D389&amp;"")&lt;&gt;"Pendiente",TRIM('DATOS'!D389&amp;"")&lt;&gt;"Por confirmar",TRIM('DATOS'!D389&amp;"")&lt;&gt;"No consta",TRIM('DATOS'!D389&amp;"")&lt;&gt;"Desconocido",TRIM('DATOS'!D389&amp;"")&lt;&gt;"Sin confirmar",TRIM('DATOS'!D389&amp;"")&lt;&gt;"Por decidir",TRIM('DATOS'!D389&amp;"")&lt;&gt;"Por comprobar")),NOT(AND(LEN(TRIM('DATOS'!E389&amp;""))&gt;0,TRIM('DATOS'!E389&amp;"")&lt;&gt;"Pendiente",TRIM('DATOS'!E389&amp;"")&lt;&gt;"Por confirmar",TRIM('DATOS'!E389&amp;"")&lt;&gt;"No consta",TRIM('DATOS'!E389&amp;"")&lt;&gt;"Desconocido",TRIM('DATOS'!E389&amp;"")&lt;&gt;"Sin confirmar",TRIM('DATOS'!E389&amp;"")&lt;&gt;"Por decidir",TRIM('DATOS'!E389&amp;"")&lt;&gt;"Por comprobar"))),2,IF('DATOS'!M389="No",2,IF('DATOS'!M389="Sí",0,IF(OR('DATOS'!D389&lt;&gt;'DATOS'!E389,LEN('DATOS'!E389)&gt;300,RIGHT(TRIM('DATOS'!E389),3)="...",RIGHT(TRIM('DATOS'!E389),1)="…"),1,0))))),2)</f>
      </c>
      <c r="S389" s="29">
        <f>IFERROR(IF(N389=0,"",IF('REFERENCIAS'!$Q$8&lt;&gt;1,2,IF(NOT(Y389=1),1,IF(OR(ABS('DATOS'!G389-ROUND('DATOS'!G389,'REFERENCIAS'!$E$8))&gt;0.00000001,ABS('DATOS'!H389-ROUND('DATOS'!H389,'REFERENCIAS'!$H$8))&gt;0.00000001,ABS('DATOS'!J389-ROUND('DATOS'!J389,'REFERENCIAS'!$K$8))&gt;0.00000001,IF(ISNUMBER('DATOS'!I389),ABS('DATOS'!I389-ROUND('DATOS'!I389,'REFERENCIAS'!$H$8))&gt;0.00000001,FALSE)),1,0)))),2)</f>
      </c>
      <c r="T389" s="29">
        <f>IFERROR(IF(N389=0,"",IF(NOT(AND(LEN(TRIM('DATOS'!F389&amp;""))&gt;0,TRIM('DATOS'!F389&amp;"")&lt;&gt;"Pendiente",TRIM('DATOS'!F389&amp;"")&lt;&gt;"Por confirmar",TRIM('DATOS'!F389&amp;"")&lt;&gt;"No consta",TRIM('DATOS'!F389&amp;"")&lt;&gt;"Desconocido",TRIM('DATOS'!F389&amp;"")&lt;&gt;"Sin confirmar",TRIM('DATOS'!F389&amp;"")&lt;&gt;"Por decidir",TRIM('DATOS'!F389&amp;"")&lt;&gt;"Por comprobar")),2,IF(COUNTIFS('REFERENCIAS'!$T$15:$T$34,"ID:"&amp;SUBSTITUTE(SUBSTITUTE(SUBSTITUTE(SUBSTITUTE(UPPER(TRIM('DATOS'!F389&amp;"")),"!","!E"),"*","!A"),"?","!B"),"~","!C"),'REFERENCIAS'!$H$15:$H$34,"&lt;&gt;")&gt;0,0,1))),2)</f>
      </c>
      <c r="U389" s="29" t="str">
        <f>'DATOS'!R389</f>
        <v>ID:</v>
      </c>
      <c r="V389" s="29" t="str">
        <f>'DATOS'!S389</f>
        <v>ID:</v>
      </c>
      <c r="W389" s="29" t="n">
        <f>IF(N389=0,0,COUNTIFS('REFERENCIAS'!$R$15:$R$64,U389))</f>
        <v>0</v>
      </c>
      <c r="X389" s="29" t="n">
        <f>IF(N389=0,0,COUNTIFS('DATOS'!$R$10:$R$509,U389,'DATOS'!$S$10:$S$509,V389))</f>
        <v>0</v>
      </c>
      <c r="Y389" s="29" t="n">
        <f>IF(AND(ISNUMBER('DATOS'!G389),ISNUMBER('DATOS'!H389),ISNUMBER('DATOS'!J389)),1,0)</f>
        <v>0</v>
      </c>
    </row>
    <row r="390" ht="64" customHeight="1">
      <c r="B390" s="26">
        <f>IF(N390=1,381,"")</f>
      </c>
      <c r="C390" s="26">
        <f>IF(AND(N390=1,LEN(TRIM('DATOS'!B390&amp;""))&gt;0),'DATOS'!B390,"")</f>
      </c>
      <c r="D390" s="26">
        <f>IF(AND(N390=1,LEN(TRIM('DATOS'!C390&amp;""))&gt;0),'DATOS'!C390,"")</f>
      </c>
      <c r="E390" s="26">
        <f>IF(NOT(ISNUMBER(P390)),"",IF(P390=2,"ROJO",IF(P390=1,"ÁMBAR","VERDE")))</f>
      </c>
      <c r="F390" s="26">
        <f>IF(NOT(ISNUMBER(Q390)),"",IF(Q390=2,"ROJO",IF(Q390=1,"ÁMBAR","VERDE")))</f>
      </c>
      <c r="G390" s="26">
        <f>IF(NOT(ISNUMBER(R390)),"",IF(R390=2,"ROJO",IF(R390=1,"ÁMBAR","VERDE")))</f>
      </c>
      <c r="H390" s="26">
        <f>IF(NOT(ISNUMBER(S390)),"",IF(S390=2,"ROJO",IF(S390=1,"ÁMBAR","VERDE")))</f>
      </c>
      <c r="I390" s="26">
        <f>IF(NOT(ISNUMBER(T390)),"",IF(T390=2,"ROJO",IF(T390=1,"ÁMBAR","VERDE")))</f>
      </c>
      <c r="J390" s="26">
        <f>IF(NOT(ISNUMBER(O390)),"",IF(O390=2,"ROJO",IF(O390=1,"ÁMBAR","VERDE")))</f>
      </c>
      <c r="K390" s="26">
        <f>IFERROR(IF(AND(N390=1,LEN(TRIM('DATOS'!N390&amp;""))&gt;0),'DATOS'!N390,""),"Hay una entrada con error. Corregimos el dato antes de cerrar la comprobación.")</f>
      </c>
      <c r="L390" s="26">
        <f>IFERROR(IF(N390=0,"",IF(O390&gt;0,"Completamos datos, claves o motivo. ","")&amp;IF(P390&gt;0,"Cotejamos precios e importe. ","")&amp;IF(Q390&gt;0,"Aclaramos el cero. ","")&amp;IF(R390&gt;0,"Comprobamos el texto. ","")&amp;IF(S390&gt;0,"Revisamos decimales visibles. ","")&amp;IF(T390&gt;0,"Confirmamos la unidad.","")),"Hay una entrada con error. Corregimos el dato antes de cerrar la comprobación.")</f>
      </c>
      <c r="N390" s="29" t="n">
        <f>IF(COUNTA('DATOS'!B390:O390)&gt;0,1,0)</f>
        <v>0</v>
      </c>
      <c r="O390" s="29">
        <f>IFERROR(IF(N390=0,"",IF(OR(NOT(AND(LEN(TRIM('DATOS'!B390&amp;""))&gt;0,TRIM('DATOS'!B390&amp;"")&lt;&gt;"Pendiente",TRIM('DATOS'!B390&amp;"")&lt;&gt;"Por confirmar",TRIM('DATOS'!B390&amp;"")&lt;&gt;"No consta",TRIM('DATOS'!B390&amp;"")&lt;&gt;"Desconocido",TRIM('DATOS'!B390&amp;"")&lt;&gt;"Sin confirmar",TRIM('DATOS'!B390&amp;"")&lt;&gt;"Por decidir",TRIM('DATOS'!B390&amp;"")&lt;&gt;"Por comprobar")),NOT(AND(LEN(TRIM('DATOS'!C390&amp;""))&gt;0,TRIM('DATOS'!C390&amp;"")&lt;&gt;"Pendiente",TRIM('DATOS'!C390&amp;"")&lt;&gt;"Por confirmar",TRIM('DATOS'!C390&amp;"")&lt;&gt;"No consta",TRIM('DATOS'!C390&amp;"")&lt;&gt;"Desconocido",TRIM('DATOS'!C390&amp;"")&lt;&gt;"Sin confirmar",TRIM('DATOS'!C390&amp;"")&lt;&gt;"Por decidir",TRIM('DATOS'!C390&amp;"")&lt;&gt;"Por comprobar")),NOT(AND(LEN(TRIM('DATOS'!D390&amp;""))&gt;0,TRIM('DATOS'!D390&amp;"")&lt;&gt;"Pendiente",TRIM('DATOS'!D390&amp;"")&lt;&gt;"Por confirmar",TRIM('DATOS'!D390&amp;"")&lt;&gt;"No consta",TRIM('DATOS'!D390&amp;"")&lt;&gt;"Desconocido",TRIM('DATOS'!D390&amp;"")&lt;&gt;"Sin confirmar",TRIM('DATOS'!D390&amp;"")&lt;&gt;"Por decidir",TRIM('DATOS'!D390&amp;"")&lt;&gt;"Por comprobar")),NOT(AND(LEN(TRIM('DATOS'!E390&amp;""))&gt;0,TRIM('DATOS'!E390&amp;"")&lt;&gt;"Pendiente",TRIM('DATOS'!E390&amp;"")&lt;&gt;"Por confirmar",TRIM('DATOS'!E390&amp;"")&lt;&gt;"No consta",TRIM('DATOS'!E390&amp;"")&lt;&gt;"Desconocido",TRIM('DATOS'!E390&amp;"")&lt;&gt;"Sin confirmar",TRIM('DATOS'!E390&amp;"")&lt;&gt;"Por decidir",TRIM('DATOS'!E390&amp;"")&lt;&gt;"Por comprobar")),NOT(AND(LEN(TRIM('DATOS'!F390&amp;""))&gt;0,TRIM('DATOS'!F390&amp;"")&lt;&gt;"Pendiente",TRIM('DATOS'!F390&amp;"")&lt;&gt;"Por confirmar",TRIM('DATOS'!F390&amp;"")&lt;&gt;"No consta",TRIM('DATOS'!F390&amp;"")&lt;&gt;"Desconocido",TRIM('DATOS'!F390&amp;"")&lt;&gt;"Sin confirmar",TRIM('DATOS'!F390&amp;"")&lt;&gt;"Por decidir",TRIM('DATOS'!F390&amp;"")&lt;&gt;"Por comprobar")),NOT(AND(LEN(TRIM('DATOS'!N390&amp;""))&gt;0,TRIM('DATOS'!N390&amp;"")&lt;&gt;"Pendiente",TRIM('DATOS'!N390&amp;"")&lt;&gt;"Por confirmar",TRIM('DATOS'!N390&amp;"")&lt;&gt;"No consta",TRIM('DATOS'!N390&amp;"")&lt;&gt;"Desconocido",TRIM('DATOS'!N390&amp;"")&lt;&gt;"Sin confirmar",TRIM('DATOS'!N390&amp;"")&lt;&gt;"Por decidir",TRIM('DATOS'!N390&amp;"")&lt;&gt;"Por comprobar")),NOT(Y390=1),W390&lt;&gt;1,X390&gt;1,NOT(OR(LEN(TRIM('DATOS'!K390&amp;""))=0,'DATOS'!K390="Sin valorar",'DATOS'!K390="Sin coste documentado",'DATOS'!K390="Incluido en otra partida",'DATOS'!K390="Por confirmar")),NOT(OR(LEN(TRIM('DATOS'!M390&amp;""))=0,'DATOS'!M390="Sí",'DATOS'!M390="No",'DATOS'!M390="Por confirmar")),NOT(OR(LEN(TRIM('DATOS'!O390&amp;""))=0,'DATOS'!O390="Comparamos",'DATOS'!O390="No existe",'DATOS'!O390="Por confirmar"))),2,IF(AND(OR('DATOS'!G390&lt;0,'DATOS'!H390&lt;0,'DATOS'!J390&lt;0),NOT(AND(LEN(TRIM('DATOS'!L390&amp;""))&gt;0,TRIM('DATOS'!L390&amp;"")&lt;&gt;"Pendiente",TRIM('DATOS'!L390&amp;"")&lt;&gt;"Por confirmar",TRIM('DATOS'!L390&amp;"")&lt;&gt;"No consta",TRIM('DATOS'!L390&amp;"")&lt;&gt;"Desconocido",TRIM('DATOS'!L390&amp;"")&lt;&gt;"Sin confirmar",TRIM('DATOS'!L390&amp;"")&lt;&gt;"Por decidir",TRIM('DATOS'!L390&amp;"")&lt;&gt;"Por comprobar"))),1,0))),2)</f>
      </c>
      <c r="P390" s="29">
        <f>IFERROR(IF(N390=0,"",IF(NOT(Y390=1),1,IF('REFERENCIAS'!$Q$8&lt;&gt;1,2,IF(ABS('DATOS'!J390-ROUND('DATOS'!G390*'DATOS'!H390,'REFERENCIAS'!$K$8))&gt;0.00000001,2,IF('DATOS'!O390="No existe",IF(LEN(TRIM('DATOS'!I390&amp;""))=0,0,2),IF('DATOS'!O390="Comparamos",IF(LEN(TRIM('DATOS'!I390&amp;""))=0,1,IF(ISNUMBER('DATOS'!I390),IF(ABS('DATOS'!H390-'DATOS'!I390)&gt;0.00000001,2,0),2)),1)))))),2)</f>
      </c>
      <c r="Q390" s="29">
        <f>IFERROR(IF(N390=0,"",IF(NOT(Y390=1),1,IF('DATOS'!K390="Sin valorar",2,IF('DATOS'!G390=0,1,IF(OR('DATOS'!H390=0,'DATOS'!J390=0),IF(AND(OR('DATOS'!K390="Sin coste documentado",'DATOS'!K390="Incluido en otra partida"),AND(LEN(TRIM('DATOS'!L390&amp;""))&gt;0,TRIM('DATOS'!L390&amp;"")&lt;&gt;"Pendiente",TRIM('DATOS'!L390&amp;"")&lt;&gt;"Por confirmar",TRIM('DATOS'!L390&amp;"")&lt;&gt;"No consta",TRIM('DATOS'!L390&amp;"")&lt;&gt;"Desconocido",TRIM('DATOS'!L390&amp;"")&lt;&gt;"Sin confirmar",TRIM('DATOS'!L390&amp;"")&lt;&gt;"Por decidir",TRIM('DATOS'!L390&amp;"")&lt;&gt;"Por comprobar")),0,1),0))))),2)</f>
      </c>
      <c r="R390" s="29">
        <f>IFERROR(IF(N390=0,"",IF(OR(NOT(AND(LEN(TRIM('DATOS'!D390&amp;""))&gt;0,TRIM('DATOS'!D390&amp;"")&lt;&gt;"Pendiente",TRIM('DATOS'!D390&amp;"")&lt;&gt;"Por confirmar",TRIM('DATOS'!D390&amp;"")&lt;&gt;"No consta",TRIM('DATOS'!D390&amp;"")&lt;&gt;"Desconocido",TRIM('DATOS'!D390&amp;"")&lt;&gt;"Sin confirmar",TRIM('DATOS'!D390&amp;"")&lt;&gt;"Por decidir",TRIM('DATOS'!D390&amp;"")&lt;&gt;"Por comprobar")),NOT(AND(LEN(TRIM('DATOS'!E390&amp;""))&gt;0,TRIM('DATOS'!E390&amp;"")&lt;&gt;"Pendiente",TRIM('DATOS'!E390&amp;"")&lt;&gt;"Por confirmar",TRIM('DATOS'!E390&amp;"")&lt;&gt;"No consta",TRIM('DATOS'!E390&amp;"")&lt;&gt;"Desconocido",TRIM('DATOS'!E390&amp;"")&lt;&gt;"Sin confirmar",TRIM('DATOS'!E390&amp;"")&lt;&gt;"Por decidir",TRIM('DATOS'!E390&amp;"")&lt;&gt;"Por comprobar"))),2,IF('DATOS'!M390="No",2,IF('DATOS'!M390="Sí",0,IF(OR('DATOS'!D390&lt;&gt;'DATOS'!E390,LEN('DATOS'!E390)&gt;300,RIGHT(TRIM('DATOS'!E390),3)="...",RIGHT(TRIM('DATOS'!E390),1)="…"),1,0))))),2)</f>
      </c>
      <c r="S390" s="29">
        <f>IFERROR(IF(N390=0,"",IF('REFERENCIAS'!$Q$8&lt;&gt;1,2,IF(NOT(Y390=1),1,IF(OR(ABS('DATOS'!G390-ROUND('DATOS'!G390,'REFERENCIAS'!$E$8))&gt;0.00000001,ABS('DATOS'!H390-ROUND('DATOS'!H390,'REFERENCIAS'!$H$8))&gt;0.00000001,ABS('DATOS'!J390-ROUND('DATOS'!J390,'REFERENCIAS'!$K$8))&gt;0.00000001,IF(ISNUMBER('DATOS'!I390),ABS('DATOS'!I390-ROUND('DATOS'!I390,'REFERENCIAS'!$H$8))&gt;0.00000001,FALSE)),1,0)))),2)</f>
      </c>
      <c r="T390" s="29">
        <f>IFERROR(IF(N390=0,"",IF(NOT(AND(LEN(TRIM('DATOS'!F390&amp;""))&gt;0,TRIM('DATOS'!F390&amp;"")&lt;&gt;"Pendiente",TRIM('DATOS'!F390&amp;"")&lt;&gt;"Por confirmar",TRIM('DATOS'!F390&amp;"")&lt;&gt;"No consta",TRIM('DATOS'!F390&amp;"")&lt;&gt;"Desconocido",TRIM('DATOS'!F390&amp;"")&lt;&gt;"Sin confirmar",TRIM('DATOS'!F390&amp;"")&lt;&gt;"Por decidir",TRIM('DATOS'!F390&amp;"")&lt;&gt;"Por comprobar")),2,IF(COUNTIFS('REFERENCIAS'!$T$15:$T$34,"ID:"&amp;SUBSTITUTE(SUBSTITUTE(SUBSTITUTE(SUBSTITUTE(UPPER(TRIM('DATOS'!F390&amp;"")),"!","!E"),"*","!A"),"?","!B"),"~","!C"),'REFERENCIAS'!$H$15:$H$34,"&lt;&gt;")&gt;0,0,1))),2)</f>
      </c>
      <c r="U390" s="29" t="str">
        <f>'DATOS'!R390</f>
        <v>ID:</v>
      </c>
      <c r="V390" s="29" t="str">
        <f>'DATOS'!S390</f>
        <v>ID:</v>
      </c>
      <c r="W390" s="29" t="n">
        <f>IF(N390=0,0,COUNTIFS('REFERENCIAS'!$R$15:$R$64,U390))</f>
        <v>0</v>
      </c>
      <c r="X390" s="29" t="n">
        <f>IF(N390=0,0,COUNTIFS('DATOS'!$R$10:$R$509,U390,'DATOS'!$S$10:$S$509,V390))</f>
        <v>0</v>
      </c>
      <c r="Y390" s="29" t="n">
        <f>IF(AND(ISNUMBER('DATOS'!G390),ISNUMBER('DATOS'!H390),ISNUMBER('DATOS'!J390)),1,0)</f>
        <v>0</v>
      </c>
    </row>
    <row r="391" ht="64" customHeight="1">
      <c r="B391" s="26">
        <f>IF(N391=1,382,"")</f>
      </c>
      <c r="C391" s="26">
        <f>IF(AND(N391=1,LEN(TRIM('DATOS'!B391&amp;""))&gt;0),'DATOS'!B391,"")</f>
      </c>
      <c r="D391" s="26">
        <f>IF(AND(N391=1,LEN(TRIM('DATOS'!C391&amp;""))&gt;0),'DATOS'!C391,"")</f>
      </c>
      <c r="E391" s="26">
        <f>IF(NOT(ISNUMBER(P391)),"",IF(P391=2,"ROJO",IF(P391=1,"ÁMBAR","VERDE")))</f>
      </c>
      <c r="F391" s="26">
        <f>IF(NOT(ISNUMBER(Q391)),"",IF(Q391=2,"ROJO",IF(Q391=1,"ÁMBAR","VERDE")))</f>
      </c>
      <c r="G391" s="26">
        <f>IF(NOT(ISNUMBER(R391)),"",IF(R391=2,"ROJO",IF(R391=1,"ÁMBAR","VERDE")))</f>
      </c>
      <c r="H391" s="26">
        <f>IF(NOT(ISNUMBER(S391)),"",IF(S391=2,"ROJO",IF(S391=1,"ÁMBAR","VERDE")))</f>
      </c>
      <c r="I391" s="26">
        <f>IF(NOT(ISNUMBER(T391)),"",IF(T391=2,"ROJO",IF(T391=1,"ÁMBAR","VERDE")))</f>
      </c>
      <c r="J391" s="26">
        <f>IF(NOT(ISNUMBER(O391)),"",IF(O391=2,"ROJO",IF(O391=1,"ÁMBAR","VERDE")))</f>
      </c>
      <c r="K391" s="26">
        <f>IFERROR(IF(AND(N391=1,LEN(TRIM('DATOS'!N391&amp;""))&gt;0),'DATOS'!N391,""),"Hay una entrada con error. Corregimos el dato antes de cerrar la comprobación.")</f>
      </c>
      <c r="L391" s="26">
        <f>IFERROR(IF(N391=0,"",IF(O391&gt;0,"Completamos datos, claves o motivo. ","")&amp;IF(P391&gt;0,"Cotejamos precios e importe. ","")&amp;IF(Q391&gt;0,"Aclaramos el cero. ","")&amp;IF(R391&gt;0,"Comprobamos el texto. ","")&amp;IF(S391&gt;0,"Revisamos decimales visibles. ","")&amp;IF(T391&gt;0,"Confirmamos la unidad.","")),"Hay una entrada con error. Corregimos el dato antes de cerrar la comprobación.")</f>
      </c>
      <c r="N391" s="29" t="n">
        <f>IF(COUNTA('DATOS'!B391:O391)&gt;0,1,0)</f>
        <v>0</v>
      </c>
      <c r="O391" s="29">
        <f>IFERROR(IF(N391=0,"",IF(OR(NOT(AND(LEN(TRIM('DATOS'!B391&amp;""))&gt;0,TRIM('DATOS'!B391&amp;"")&lt;&gt;"Pendiente",TRIM('DATOS'!B391&amp;"")&lt;&gt;"Por confirmar",TRIM('DATOS'!B391&amp;"")&lt;&gt;"No consta",TRIM('DATOS'!B391&amp;"")&lt;&gt;"Desconocido",TRIM('DATOS'!B391&amp;"")&lt;&gt;"Sin confirmar",TRIM('DATOS'!B391&amp;"")&lt;&gt;"Por decidir",TRIM('DATOS'!B391&amp;"")&lt;&gt;"Por comprobar")),NOT(AND(LEN(TRIM('DATOS'!C391&amp;""))&gt;0,TRIM('DATOS'!C391&amp;"")&lt;&gt;"Pendiente",TRIM('DATOS'!C391&amp;"")&lt;&gt;"Por confirmar",TRIM('DATOS'!C391&amp;"")&lt;&gt;"No consta",TRIM('DATOS'!C391&amp;"")&lt;&gt;"Desconocido",TRIM('DATOS'!C391&amp;"")&lt;&gt;"Sin confirmar",TRIM('DATOS'!C391&amp;"")&lt;&gt;"Por decidir",TRIM('DATOS'!C391&amp;"")&lt;&gt;"Por comprobar")),NOT(AND(LEN(TRIM('DATOS'!D391&amp;""))&gt;0,TRIM('DATOS'!D391&amp;"")&lt;&gt;"Pendiente",TRIM('DATOS'!D391&amp;"")&lt;&gt;"Por confirmar",TRIM('DATOS'!D391&amp;"")&lt;&gt;"No consta",TRIM('DATOS'!D391&amp;"")&lt;&gt;"Desconocido",TRIM('DATOS'!D391&amp;"")&lt;&gt;"Sin confirmar",TRIM('DATOS'!D391&amp;"")&lt;&gt;"Por decidir",TRIM('DATOS'!D391&amp;"")&lt;&gt;"Por comprobar")),NOT(AND(LEN(TRIM('DATOS'!E391&amp;""))&gt;0,TRIM('DATOS'!E391&amp;"")&lt;&gt;"Pendiente",TRIM('DATOS'!E391&amp;"")&lt;&gt;"Por confirmar",TRIM('DATOS'!E391&amp;"")&lt;&gt;"No consta",TRIM('DATOS'!E391&amp;"")&lt;&gt;"Desconocido",TRIM('DATOS'!E391&amp;"")&lt;&gt;"Sin confirmar",TRIM('DATOS'!E391&amp;"")&lt;&gt;"Por decidir",TRIM('DATOS'!E391&amp;"")&lt;&gt;"Por comprobar")),NOT(AND(LEN(TRIM('DATOS'!F391&amp;""))&gt;0,TRIM('DATOS'!F391&amp;"")&lt;&gt;"Pendiente",TRIM('DATOS'!F391&amp;"")&lt;&gt;"Por confirmar",TRIM('DATOS'!F391&amp;"")&lt;&gt;"No consta",TRIM('DATOS'!F391&amp;"")&lt;&gt;"Desconocido",TRIM('DATOS'!F391&amp;"")&lt;&gt;"Sin confirmar",TRIM('DATOS'!F391&amp;"")&lt;&gt;"Por decidir",TRIM('DATOS'!F391&amp;"")&lt;&gt;"Por comprobar")),NOT(AND(LEN(TRIM('DATOS'!N391&amp;""))&gt;0,TRIM('DATOS'!N391&amp;"")&lt;&gt;"Pendiente",TRIM('DATOS'!N391&amp;"")&lt;&gt;"Por confirmar",TRIM('DATOS'!N391&amp;"")&lt;&gt;"No consta",TRIM('DATOS'!N391&amp;"")&lt;&gt;"Desconocido",TRIM('DATOS'!N391&amp;"")&lt;&gt;"Sin confirmar",TRIM('DATOS'!N391&amp;"")&lt;&gt;"Por decidir",TRIM('DATOS'!N391&amp;"")&lt;&gt;"Por comprobar")),NOT(Y391=1),W391&lt;&gt;1,X391&gt;1,NOT(OR(LEN(TRIM('DATOS'!K391&amp;""))=0,'DATOS'!K391="Sin valorar",'DATOS'!K391="Sin coste documentado",'DATOS'!K391="Incluido en otra partida",'DATOS'!K391="Por confirmar")),NOT(OR(LEN(TRIM('DATOS'!M391&amp;""))=0,'DATOS'!M391="Sí",'DATOS'!M391="No",'DATOS'!M391="Por confirmar")),NOT(OR(LEN(TRIM('DATOS'!O391&amp;""))=0,'DATOS'!O391="Comparamos",'DATOS'!O391="No existe",'DATOS'!O391="Por confirmar"))),2,IF(AND(OR('DATOS'!G391&lt;0,'DATOS'!H391&lt;0,'DATOS'!J391&lt;0),NOT(AND(LEN(TRIM('DATOS'!L391&amp;""))&gt;0,TRIM('DATOS'!L391&amp;"")&lt;&gt;"Pendiente",TRIM('DATOS'!L391&amp;"")&lt;&gt;"Por confirmar",TRIM('DATOS'!L391&amp;"")&lt;&gt;"No consta",TRIM('DATOS'!L391&amp;"")&lt;&gt;"Desconocido",TRIM('DATOS'!L391&amp;"")&lt;&gt;"Sin confirmar",TRIM('DATOS'!L391&amp;"")&lt;&gt;"Por decidir",TRIM('DATOS'!L391&amp;"")&lt;&gt;"Por comprobar"))),1,0))),2)</f>
      </c>
      <c r="P391" s="29">
        <f>IFERROR(IF(N391=0,"",IF(NOT(Y391=1),1,IF('REFERENCIAS'!$Q$8&lt;&gt;1,2,IF(ABS('DATOS'!J391-ROUND('DATOS'!G391*'DATOS'!H391,'REFERENCIAS'!$K$8))&gt;0.00000001,2,IF('DATOS'!O391="No existe",IF(LEN(TRIM('DATOS'!I391&amp;""))=0,0,2),IF('DATOS'!O391="Comparamos",IF(LEN(TRIM('DATOS'!I391&amp;""))=0,1,IF(ISNUMBER('DATOS'!I391),IF(ABS('DATOS'!H391-'DATOS'!I391)&gt;0.00000001,2,0),2)),1)))))),2)</f>
      </c>
      <c r="Q391" s="29">
        <f>IFERROR(IF(N391=0,"",IF(NOT(Y391=1),1,IF('DATOS'!K391="Sin valorar",2,IF('DATOS'!G391=0,1,IF(OR('DATOS'!H391=0,'DATOS'!J391=0),IF(AND(OR('DATOS'!K391="Sin coste documentado",'DATOS'!K391="Incluido en otra partida"),AND(LEN(TRIM('DATOS'!L391&amp;""))&gt;0,TRIM('DATOS'!L391&amp;"")&lt;&gt;"Pendiente",TRIM('DATOS'!L391&amp;"")&lt;&gt;"Por confirmar",TRIM('DATOS'!L391&amp;"")&lt;&gt;"No consta",TRIM('DATOS'!L391&amp;"")&lt;&gt;"Desconocido",TRIM('DATOS'!L391&amp;"")&lt;&gt;"Sin confirmar",TRIM('DATOS'!L391&amp;"")&lt;&gt;"Por decidir",TRIM('DATOS'!L391&amp;"")&lt;&gt;"Por comprobar")),0,1),0))))),2)</f>
      </c>
      <c r="R391" s="29">
        <f>IFERROR(IF(N391=0,"",IF(OR(NOT(AND(LEN(TRIM('DATOS'!D391&amp;""))&gt;0,TRIM('DATOS'!D391&amp;"")&lt;&gt;"Pendiente",TRIM('DATOS'!D391&amp;"")&lt;&gt;"Por confirmar",TRIM('DATOS'!D391&amp;"")&lt;&gt;"No consta",TRIM('DATOS'!D391&amp;"")&lt;&gt;"Desconocido",TRIM('DATOS'!D391&amp;"")&lt;&gt;"Sin confirmar",TRIM('DATOS'!D391&amp;"")&lt;&gt;"Por decidir",TRIM('DATOS'!D391&amp;"")&lt;&gt;"Por comprobar")),NOT(AND(LEN(TRIM('DATOS'!E391&amp;""))&gt;0,TRIM('DATOS'!E391&amp;"")&lt;&gt;"Pendiente",TRIM('DATOS'!E391&amp;"")&lt;&gt;"Por confirmar",TRIM('DATOS'!E391&amp;"")&lt;&gt;"No consta",TRIM('DATOS'!E391&amp;"")&lt;&gt;"Desconocido",TRIM('DATOS'!E391&amp;"")&lt;&gt;"Sin confirmar",TRIM('DATOS'!E391&amp;"")&lt;&gt;"Por decidir",TRIM('DATOS'!E391&amp;"")&lt;&gt;"Por comprobar"))),2,IF('DATOS'!M391="No",2,IF('DATOS'!M391="Sí",0,IF(OR('DATOS'!D391&lt;&gt;'DATOS'!E391,LEN('DATOS'!E391)&gt;300,RIGHT(TRIM('DATOS'!E391),3)="...",RIGHT(TRIM('DATOS'!E391),1)="…"),1,0))))),2)</f>
      </c>
      <c r="S391" s="29">
        <f>IFERROR(IF(N391=0,"",IF('REFERENCIAS'!$Q$8&lt;&gt;1,2,IF(NOT(Y391=1),1,IF(OR(ABS('DATOS'!G391-ROUND('DATOS'!G391,'REFERENCIAS'!$E$8))&gt;0.00000001,ABS('DATOS'!H391-ROUND('DATOS'!H391,'REFERENCIAS'!$H$8))&gt;0.00000001,ABS('DATOS'!J391-ROUND('DATOS'!J391,'REFERENCIAS'!$K$8))&gt;0.00000001,IF(ISNUMBER('DATOS'!I391),ABS('DATOS'!I391-ROUND('DATOS'!I391,'REFERENCIAS'!$H$8))&gt;0.00000001,FALSE)),1,0)))),2)</f>
      </c>
      <c r="T391" s="29">
        <f>IFERROR(IF(N391=0,"",IF(NOT(AND(LEN(TRIM('DATOS'!F391&amp;""))&gt;0,TRIM('DATOS'!F391&amp;"")&lt;&gt;"Pendiente",TRIM('DATOS'!F391&amp;"")&lt;&gt;"Por confirmar",TRIM('DATOS'!F391&amp;"")&lt;&gt;"No consta",TRIM('DATOS'!F391&amp;"")&lt;&gt;"Desconocido",TRIM('DATOS'!F391&amp;"")&lt;&gt;"Sin confirmar",TRIM('DATOS'!F391&amp;"")&lt;&gt;"Por decidir",TRIM('DATOS'!F391&amp;"")&lt;&gt;"Por comprobar")),2,IF(COUNTIFS('REFERENCIAS'!$T$15:$T$34,"ID:"&amp;SUBSTITUTE(SUBSTITUTE(SUBSTITUTE(SUBSTITUTE(UPPER(TRIM('DATOS'!F391&amp;"")),"!","!E"),"*","!A"),"?","!B"),"~","!C"),'REFERENCIAS'!$H$15:$H$34,"&lt;&gt;")&gt;0,0,1))),2)</f>
      </c>
      <c r="U391" s="29" t="str">
        <f>'DATOS'!R391</f>
        <v>ID:</v>
      </c>
      <c r="V391" s="29" t="str">
        <f>'DATOS'!S391</f>
        <v>ID:</v>
      </c>
      <c r="W391" s="29" t="n">
        <f>IF(N391=0,0,COUNTIFS('REFERENCIAS'!$R$15:$R$64,U391))</f>
        <v>0</v>
      </c>
      <c r="X391" s="29" t="n">
        <f>IF(N391=0,0,COUNTIFS('DATOS'!$R$10:$R$509,U391,'DATOS'!$S$10:$S$509,V391))</f>
        <v>0</v>
      </c>
      <c r="Y391" s="29" t="n">
        <f>IF(AND(ISNUMBER('DATOS'!G391),ISNUMBER('DATOS'!H391),ISNUMBER('DATOS'!J391)),1,0)</f>
        <v>0</v>
      </c>
    </row>
    <row r="392" ht="64" customHeight="1">
      <c r="B392" s="26">
        <f>IF(N392=1,383,"")</f>
      </c>
      <c r="C392" s="26">
        <f>IF(AND(N392=1,LEN(TRIM('DATOS'!B392&amp;""))&gt;0),'DATOS'!B392,"")</f>
      </c>
      <c r="D392" s="26">
        <f>IF(AND(N392=1,LEN(TRIM('DATOS'!C392&amp;""))&gt;0),'DATOS'!C392,"")</f>
      </c>
      <c r="E392" s="26">
        <f>IF(NOT(ISNUMBER(P392)),"",IF(P392=2,"ROJO",IF(P392=1,"ÁMBAR","VERDE")))</f>
      </c>
      <c r="F392" s="26">
        <f>IF(NOT(ISNUMBER(Q392)),"",IF(Q392=2,"ROJO",IF(Q392=1,"ÁMBAR","VERDE")))</f>
      </c>
      <c r="G392" s="26">
        <f>IF(NOT(ISNUMBER(R392)),"",IF(R392=2,"ROJO",IF(R392=1,"ÁMBAR","VERDE")))</f>
      </c>
      <c r="H392" s="26">
        <f>IF(NOT(ISNUMBER(S392)),"",IF(S392=2,"ROJO",IF(S392=1,"ÁMBAR","VERDE")))</f>
      </c>
      <c r="I392" s="26">
        <f>IF(NOT(ISNUMBER(T392)),"",IF(T392=2,"ROJO",IF(T392=1,"ÁMBAR","VERDE")))</f>
      </c>
      <c r="J392" s="26">
        <f>IF(NOT(ISNUMBER(O392)),"",IF(O392=2,"ROJO",IF(O392=1,"ÁMBAR","VERDE")))</f>
      </c>
      <c r="K392" s="26">
        <f>IFERROR(IF(AND(N392=1,LEN(TRIM('DATOS'!N392&amp;""))&gt;0),'DATOS'!N392,""),"Hay una entrada con error. Corregimos el dato antes de cerrar la comprobación.")</f>
      </c>
      <c r="L392" s="26">
        <f>IFERROR(IF(N392=0,"",IF(O392&gt;0,"Completamos datos, claves o motivo. ","")&amp;IF(P392&gt;0,"Cotejamos precios e importe. ","")&amp;IF(Q392&gt;0,"Aclaramos el cero. ","")&amp;IF(R392&gt;0,"Comprobamos el texto. ","")&amp;IF(S392&gt;0,"Revisamos decimales visibles. ","")&amp;IF(T392&gt;0,"Confirmamos la unidad.","")),"Hay una entrada con error. Corregimos el dato antes de cerrar la comprobación.")</f>
      </c>
      <c r="N392" s="29" t="n">
        <f>IF(COUNTA('DATOS'!B392:O392)&gt;0,1,0)</f>
        <v>0</v>
      </c>
      <c r="O392" s="29">
        <f>IFERROR(IF(N392=0,"",IF(OR(NOT(AND(LEN(TRIM('DATOS'!B392&amp;""))&gt;0,TRIM('DATOS'!B392&amp;"")&lt;&gt;"Pendiente",TRIM('DATOS'!B392&amp;"")&lt;&gt;"Por confirmar",TRIM('DATOS'!B392&amp;"")&lt;&gt;"No consta",TRIM('DATOS'!B392&amp;"")&lt;&gt;"Desconocido",TRIM('DATOS'!B392&amp;"")&lt;&gt;"Sin confirmar",TRIM('DATOS'!B392&amp;"")&lt;&gt;"Por decidir",TRIM('DATOS'!B392&amp;"")&lt;&gt;"Por comprobar")),NOT(AND(LEN(TRIM('DATOS'!C392&amp;""))&gt;0,TRIM('DATOS'!C392&amp;"")&lt;&gt;"Pendiente",TRIM('DATOS'!C392&amp;"")&lt;&gt;"Por confirmar",TRIM('DATOS'!C392&amp;"")&lt;&gt;"No consta",TRIM('DATOS'!C392&amp;"")&lt;&gt;"Desconocido",TRIM('DATOS'!C392&amp;"")&lt;&gt;"Sin confirmar",TRIM('DATOS'!C392&amp;"")&lt;&gt;"Por decidir",TRIM('DATOS'!C392&amp;"")&lt;&gt;"Por comprobar")),NOT(AND(LEN(TRIM('DATOS'!D392&amp;""))&gt;0,TRIM('DATOS'!D392&amp;"")&lt;&gt;"Pendiente",TRIM('DATOS'!D392&amp;"")&lt;&gt;"Por confirmar",TRIM('DATOS'!D392&amp;"")&lt;&gt;"No consta",TRIM('DATOS'!D392&amp;"")&lt;&gt;"Desconocido",TRIM('DATOS'!D392&amp;"")&lt;&gt;"Sin confirmar",TRIM('DATOS'!D392&amp;"")&lt;&gt;"Por decidir",TRIM('DATOS'!D392&amp;"")&lt;&gt;"Por comprobar")),NOT(AND(LEN(TRIM('DATOS'!E392&amp;""))&gt;0,TRIM('DATOS'!E392&amp;"")&lt;&gt;"Pendiente",TRIM('DATOS'!E392&amp;"")&lt;&gt;"Por confirmar",TRIM('DATOS'!E392&amp;"")&lt;&gt;"No consta",TRIM('DATOS'!E392&amp;"")&lt;&gt;"Desconocido",TRIM('DATOS'!E392&amp;"")&lt;&gt;"Sin confirmar",TRIM('DATOS'!E392&amp;"")&lt;&gt;"Por decidir",TRIM('DATOS'!E392&amp;"")&lt;&gt;"Por comprobar")),NOT(AND(LEN(TRIM('DATOS'!F392&amp;""))&gt;0,TRIM('DATOS'!F392&amp;"")&lt;&gt;"Pendiente",TRIM('DATOS'!F392&amp;"")&lt;&gt;"Por confirmar",TRIM('DATOS'!F392&amp;"")&lt;&gt;"No consta",TRIM('DATOS'!F392&amp;"")&lt;&gt;"Desconocido",TRIM('DATOS'!F392&amp;"")&lt;&gt;"Sin confirmar",TRIM('DATOS'!F392&amp;"")&lt;&gt;"Por decidir",TRIM('DATOS'!F392&amp;"")&lt;&gt;"Por comprobar")),NOT(AND(LEN(TRIM('DATOS'!N392&amp;""))&gt;0,TRIM('DATOS'!N392&amp;"")&lt;&gt;"Pendiente",TRIM('DATOS'!N392&amp;"")&lt;&gt;"Por confirmar",TRIM('DATOS'!N392&amp;"")&lt;&gt;"No consta",TRIM('DATOS'!N392&amp;"")&lt;&gt;"Desconocido",TRIM('DATOS'!N392&amp;"")&lt;&gt;"Sin confirmar",TRIM('DATOS'!N392&amp;"")&lt;&gt;"Por decidir",TRIM('DATOS'!N392&amp;"")&lt;&gt;"Por comprobar")),NOT(Y392=1),W392&lt;&gt;1,X392&gt;1,NOT(OR(LEN(TRIM('DATOS'!K392&amp;""))=0,'DATOS'!K392="Sin valorar",'DATOS'!K392="Sin coste documentado",'DATOS'!K392="Incluido en otra partida",'DATOS'!K392="Por confirmar")),NOT(OR(LEN(TRIM('DATOS'!M392&amp;""))=0,'DATOS'!M392="Sí",'DATOS'!M392="No",'DATOS'!M392="Por confirmar")),NOT(OR(LEN(TRIM('DATOS'!O392&amp;""))=0,'DATOS'!O392="Comparamos",'DATOS'!O392="No existe",'DATOS'!O392="Por confirmar"))),2,IF(AND(OR('DATOS'!G392&lt;0,'DATOS'!H392&lt;0,'DATOS'!J392&lt;0),NOT(AND(LEN(TRIM('DATOS'!L392&amp;""))&gt;0,TRIM('DATOS'!L392&amp;"")&lt;&gt;"Pendiente",TRIM('DATOS'!L392&amp;"")&lt;&gt;"Por confirmar",TRIM('DATOS'!L392&amp;"")&lt;&gt;"No consta",TRIM('DATOS'!L392&amp;"")&lt;&gt;"Desconocido",TRIM('DATOS'!L392&amp;"")&lt;&gt;"Sin confirmar",TRIM('DATOS'!L392&amp;"")&lt;&gt;"Por decidir",TRIM('DATOS'!L392&amp;"")&lt;&gt;"Por comprobar"))),1,0))),2)</f>
      </c>
      <c r="P392" s="29">
        <f>IFERROR(IF(N392=0,"",IF(NOT(Y392=1),1,IF('REFERENCIAS'!$Q$8&lt;&gt;1,2,IF(ABS('DATOS'!J392-ROUND('DATOS'!G392*'DATOS'!H392,'REFERENCIAS'!$K$8))&gt;0.00000001,2,IF('DATOS'!O392="No existe",IF(LEN(TRIM('DATOS'!I392&amp;""))=0,0,2),IF('DATOS'!O392="Comparamos",IF(LEN(TRIM('DATOS'!I392&amp;""))=0,1,IF(ISNUMBER('DATOS'!I392),IF(ABS('DATOS'!H392-'DATOS'!I392)&gt;0.00000001,2,0),2)),1)))))),2)</f>
      </c>
      <c r="Q392" s="29">
        <f>IFERROR(IF(N392=0,"",IF(NOT(Y392=1),1,IF('DATOS'!K392="Sin valorar",2,IF('DATOS'!G392=0,1,IF(OR('DATOS'!H392=0,'DATOS'!J392=0),IF(AND(OR('DATOS'!K392="Sin coste documentado",'DATOS'!K392="Incluido en otra partida"),AND(LEN(TRIM('DATOS'!L392&amp;""))&gt;0,TRIM('DATOS'!L392&amp;"")&lt;&gt;"Pendiente",TRIM('DATOS'!L392&amp;"")&lt;&gt;"Por confirmar",TRIM('DATOS'!L392&amp;"")&lt;&gt;"No consta",TRIM('DATOS'!L392&amp;"")&lt;&gt;"Desconocido",TRIM('DATOS'!L392&amp;"")&lt;&gt;"Sin confirmar",TRIM('DATOS'!L392&amp;"")&lt;&gt;"Por decidir",TRIM('DATOS'!L392&amp;"")&lt;&gt;"Por comprobar")),0,1),0))))),2)</f>
      </c>
      <c r="R392" s="29">
        <f>IFERROR(IF(N392=0,"",IF(OR(NOT(AND(LEN(TRIM('DATOS'!D392&amp;""))&gt;0,TRIM('DATOS'!D392&amp;"")&lt;&gt;"Pendiente",TRIM('DATOS'!D392&amp;"")&lt;&gt;"Por confirmar",TRIM('DATOS'!D392&amp;"")&lt;&gt;"No consta",TRIM('DATOS'!D392&amp;"")&lt;&gt;"Desconocido",TRIM('DATOS'!D392&amp;"")&lt;&gt;"Sin confirmar",TRIM('DATOS'!D392&amp;"")&lt;&gt;"Por decidir",TRIM('DATOS'!D392&amp;"")&lt;&gt;"Por comprobar")),NOT(AND(LEN(TRIM('DATOS'!E392&amp;""))&gt;0,TRIM('DATOS'!E392&amp;"")&lt;&gt;"Pendiente",TRIM('DATOS'!E392&amp;"")&lt;&gt;"Por confirmar",TRIM('DATOS'!E392&amp;"")&lt;&gt;"No consta",TRIM('DATOS'!E392&amp;"")&lt;&gt;"Desconocido",TRIM('DATOS'!E392&amp;"")&lt;&gt;"Sin confirmar",TRIM('DATOS'!E392&amp;"")&lt;&gt;"Por decidir",TRIM('DATOS'!E392&amp;"")&lt;&gt;"Por comprobar"))),2,IF('DATOS'!M392="No",2,IF('DATOS'!M392="Sí",0,IF(OR('DATOS'!D392&lt;&gt;'DATOS'!E392,LEN('DATOS'!E392)&gt;300,RIGHT(TRIM('DATOS'!E392),3)="...",RIGHT(TRIM('DATOS'!E392),1)="…"),1,0))))),2)</f>
      </c>
      <c r="S392" s="29">
        <f>IFERROR(IF(N392=0,"",IF('REFERENCIAS'!$Q$8&lt;&gt;1,2,IF(NOT(Y392=1),1,IF(OR(ABS('DATOS'!G392-ROUND('DATOS'!G392,'REFERENCIAS'!$E$8))&gt;0.00000001,ABS('DATOS'!H392-ROUND('DATOS'!H392,'REFERENCIAS'!$H$8))&gt;0.00000001,ABS('DATOS'!J392-ROUND('DATOS'!J392,'REFERENCIAS'!$K$8))&gt;0.00000001,IF(ISNUMBER('DATOS'!I392),ABS('DATOS'!I392-ROUND('DATOS'!I392,'REFERENCIAS'!$H$8))&gt;0.00000001,FALSE)),1,0)))),2)</f>
      </c>
      <c r="T392" s="29">
        <f>IFERROR(IF(N392=0,"",IF(NOT(AND(LEN(TRIM('DATOS'!F392&amp;""))&gt;0,TRIM('DATOS'!F392&amp;"")&lt;&gt;"Pendiente",TRIM('DATOS'!F392&amp;"")&lt;&gt;"Por confirmar",TRIM('DATOS'!F392&amp;"")&lt;&gt;"No consta",TRIM('DATOS'!F392&amp;"")&lt;&gt;"Desconocido",TRIM('DATOS'!F392&amp;"")&lt;&gt;"Sin confirmar",TRIM('DATOS'!F392&amp;"")&lt;&gt;"Por decidir",TRIM('DATOS'!F392&amp;"")&lt;&gt;"Por comprobar")),2,IF(COUNTIFS('REFERENCIAS'!$T$15:$T$34,"ID:"&amp;SUBSTITUTE(SUBSTITUTE(SUBSTITUTE(SUBSTITUTE(UPPER(TRIM('DATOS'!F392&amp;"")),"!","!E"),"*","!A"),"?","!B"),"~","!C"),'REFERENCIAS'!$H$15:$H$34,"&lt;&gt;")&gt;0,0,1))),2)</f>
      </c>
      <c r="U392" s="29" t="str">
        <f>'DATOS'!R392</f>
        <v>ID:</v>
      </c>
      <c r="V392" s="29" t="str">
        <f>'DATOS'!S392</f>
        <v>ID:</v>
      </c>
      <c r="W392" s="29" t="n">
        <f>IF(N392=0,0,COUNTIFS('REFERENCIAS'!$R$15:$R$64,U392))</f>
        <v>0</v>
      </c>
      <c r="X392" s="29" t="n">
        <f>IF(N392=0,0,COUNTIFS('DATOS'!$R$10:$R$509,U392,'DATOS'!$S$10:$S$509,V392))</f>
        <v>0</v>
      </c>
      <c r="Y392" s="29" t="n">
        <f>IF(AND(ISNUMBER('DATOS'!G392),ISNUMBER('DATOS'!H392),ISNUMBER('DATOS'!J392)),1,0)</f>
        <v>0</v>
      </c>
    </row>
    <row r="393" ht="64" customHeight="1">
      <c r="B393" s="26">
        <f>IF(N393=1,384,"")</f>
      </c>
      <c r="C393" s="26">
        <f>IF(AND(N393=1,LEN(TRIM('DATOS'!B393&amp;""))&gt;0),'DATOS'!B393,"")</f>
      </c>
      <c r="D393" s="26">
        <f>IF(AND(N393=1,LEN(TRIM('DATOS'!C393&amp;""))&gt;0),'DATOS'!C393,"")</f>
      </c>
      <c r="E393" s="26">
        <f>IF(NOT(ISNUMBER(P393)),"",IF(P393=2,"ROJO",IF(P393=1,"ÁMBAR","VERDE")))</f>
      </c>
      <c r="F393" s="26">
        <f>IF(NOT(ISNUMBER(Q393)),"",IF(Q393=2,"ROJO",IF(Q393=1,"ÁMBAR","VERDE")))</f>
      </c>
      <c r="G393" s="26">
        <f>IF(NOT(ISNUMBER(R393)),"",IF(R393=2,"ROJO",IF(R393=1,"ÁMBAR","VERDE")))</f>
      </c>
      <c r="H393" s="26">
        <f>IF(NOT(ISNUMBER(S393)),"",IF(S393=2,"ROJO",IF(S393=1,"ÁMBAR","VERDE")))</f>
      </c>
      <c r="I393" s="26">
        <f>IF(NOT(ISNUMBER(T393)),"",IF(T393=2,"ROJO",IF(T393=1,"ÁMBAR","VERDE")))</f>
      </c>
      <c r="J393" s="26">
        <f>IF(NOT(ISNUMBER(O393)),"",IF(O393=2,"ROJO",IF(O393=1,"ÁMBAR","VERDE")))</f>
      </c>
      <c r="K393" s="26">
        <f>IFERROR(IF(AND(N393=1,LEN(TRIM('DATOS'!N393&amp;""))&gt;0),'DATOS'!N393,""),"Hay una entrada con error. Corregimos el dato antes de cerrar la comprobación.")</f>
      </c>
      <c r="L393" s="26">
        <f>IFERROR(IF(N393=0,"",IF(O393&gt;0,"Completamos datos, claves o motivo. ","")&amp;IF(P393&gt;0,"Cotejamos precios e importe. ","")&amp;IF(Q393&gt;0,"Aclaramos el cero. ","")&amp;IF(R393&gt;0,"Comprobamos el texto. ","")&amp;IF(S393&gt;0,"Revisamos decimales visibles. ","")&amp;IF(T393&gt;0,"Confirmamos la unidad.","")),"Hay una entrada con error. Corregimos el dato antes de cerrar la comprobación.")</f>
      </c>
      <c r="N393" s="29" t="n">
        <f>IF(COUNTA('DATOS'!B393:O393)&gt;0,1,0)</f>
        <v>0</v>
      </c>
      <c r="O393" s="29">
        <f>IFERROR(IF(N393=0,"",IF(OR(NOT(AND(LEN(TRIM('DATOS'!B393&amp;""))&gt;0,TRIM('DATOS'!B393&amp;"")&lt;&gt;"Pendiente",TRIM('DATOS'!B393&amp;"")&lt;&gt;"Por confirmar",TRIM('DATOS'!B393&amp;"")&lt;&gt;"No consta",TRIM('DATOS'!B393&amp;"")&lt;&gt;"Desconocido",TRIM('DATOS'!B393&amp;"")&lt;&gt;"Sin confirmar",TRIM('DATOS'!B393&amp;"")&lt;&gt;"Por decidir",TRIM('DATOS'!B393&amp;"")&lt;&gt;"Por comprobar")),NOT(AND(LEN(TRIM('DATOS'!C393&amp;""))&gt;0,TRIM('DATOS'!C393&amp;"")&lt;&gt;"Pendiente",TRIM('DATOS'!C393&amp;"")&lt;&gt;"Por confirmar",TRIM('DATOS'!C393&amp;"")&lt;&gt;"No consta",TRIM('DATOS'!C393&amp;"")&lt;&gt;"Desconocido",TRIM('DATOS'!C393&amp;"")&lt;&gt;"Sin confirmar",TRIM('DATOS'!C393&amp;"")&lt;&gt;"Por decidir",TRIM('DATOS'!C393&amp;"")&lt;&gt;"Por comprobar")),NOT(AND(LEN(TRIM('DATOS'!D393&amp;""))&gt;0,TRIM('DATOS'!D393&amp;"")&lt;&gt;"Pendiente",TRIM('DATOS'!D393&amp;"")&lt;&gt;"Por confirmar",TRIM('DATOS'!D393&amp;"")&lt;&gt;"No consta",TRIM('DATOS'!D393&amp;"")&lt;&gt;"Desconocido",TRIM('DATOS'!D393&amp;"")&lt;&gt;"Sin confirmar",TRIM('DATOS'!D393&amp;"")&lt;&gt;"Por decidir",TRIM('DATOS'!D393&amp;"")&lt;&gt;"Por comprobar")),NOT(AND(LEN(TRIM('DATOS'!E393&amp;""))&gt;0,TRIM('DATOS'!E393&amp;"")&lt;&gt;"Pendiente",TRIM('DATOS'!E393&amp;"")&lt;&gt;"Por confirmar",TRIM('DATOS'!E393&amp;"")&lt;&gt;"No consta",TRIM('DATOS'!E393&amp;"")&lt;&gt;"Desconocido",TRIM('DATOS'!E393&amp;"")&lt;&gt;"Sin confirmar",TRIM('DATOS'!E393&amp;"")&lt;&gt;"Por decidir",TRIM('DATOS'!E393&amp;"")&lt;&gt;"Por comprobar")),NOT(AND(LEN(TRIM('DATOS'!F393&amp;""))&gt;0,TRIM('DATOS'!F393&amp;"")&lt;&gt;"Pendiente",TRIM('DATOS'!F393&amp;"")&lt;&gt;"Por confirmar",TRIM('DATOS'!F393&amp;"")&lt;&gt;"No consta",TRIM('DATOS'!F393&amp;"")&lt;&gt;"Desconocido",TRIM('DATOS'!F393&amp;"")&lt;&gt;"Sin confirmar",TRIM('DATOS'!F393&amp;"")&lt;&gt;"Por decidir",TRIM('DATOS'!F393&amp;"")&lt;&gt;"Por comprobar")),NOT(AND(LEN(TRIM('DATOS'!N393&amp;""))&gt;0,TRIM('DATOS'!N393&amp;"")&lt;&gt;"Pendiente",TRIM('DATOS'!N393&amp;"")&lt;&gt;"Por confirmar",TRIM('DATOS'!N393&amp;"")&lt;&gt;"No consta",TRIM('DATOS'!N393&amp;"")&lt;&gt;"Desconocido",TRIM('DATOS'!N393&amp;"")&lt;&gt;"Sin confirmar",TRIM('DATOS'!N393&amp;"")&lt;&gt;"Por decidir",TRIM('DATOS'!N393&amp;"")&lt;&gt;"Por comprobar")),NOT(Y393=1),W393&lt;&gt;1,X393&gt;1,NOT(OR(LEN(TRIM('DATOS'!K393&amp;""))=0,'DATOS'!K393="Sin valorar",'DATOS'!K393="Sin coste documentado",'DATOS'!K393="Incluido en otra partida",'DATOS'!K393="Por confirmar")),NOT(OR(LEN(TRIM('DATOS'!M393&amp;""))=0,'DATOS'!M393="Sí",'DATOS'!M393="No",'DATOS'!M393="Por confirmar")),NOT(OR(LEN(TRIM('DATOS'!O393&amp;""))=0,'DATOS'!O393="Comparamos",'DATOS'!O393="No existe",'DATOS'!O393="Por confirmar"))),2,IF(AND(OR('DATOS'!G393&lt;0,'DATOS'!H393&lt;0,'DATOS'!J393&lt;0),NOT(AND(LEN(TRIM('DATOS'!L393&amp;""))&gt;0,TRIM('DATOS'!L393&amp;"")&lt;&gt;"Pendiente",TRIM('DATOS'!L393&amp;"")&lt;&gt;"Por confirmar",TRIM('DATOS'!L393&amp;"")&lt;&gt;"No consta",TRIM('DATOS'!L393&amp;"")&lt;&gt;"Desconocido",TRIM('DATOS'!L393&amp;"")&lt;&gt;"Sin confirmar",TRIM('DATOS'!L393&amp;"")&lt;&gt;"Por decidir",TRIM('DATOS'!L393&amp;"")&lt;&gt;"Por comprobar"))),1,0))),2)</f>
      </c>
      <c r="P393" s="29">
        <f>IFERROR(IF(N393=0,"",IF(NOT(Y393=1),1,IF('REFERENCIAS'!$Q$8&lt;&gt;1,2,IF(ABS('DATOS'!J393-ROUND('DATOS'!G393*'DATOS'!H393,'REFERENCIAS'!$K$8))&gt;0.00000001,2,IF('DATOS'!O393="No existe",IF(LEN(TRIM('DATOS'!I393&amp;""))=0,0,2),IF('DATOS'!O393="Comparamos",IF(LEN(TRIM('DATOS'!I393&amp;""))=0,1,IF(ISNUMBER('DATOS'!I393),IF(ABS('DATOS'!H393-'DATOS'!I393)&gt;0.00000001,2,0),2)),1)))))),2)</f>
      </c>
      <c r="Q393" s="29">
        <f>IFERROR(IF(N393=0,"",IF(NOT(Y393=1),1,IF('DATOS'!K393="Sin valorar",2,IF('DATOS'!G393=0,1,IF(OR('DATOS'!H393=0,'DATOS'!J393=0),IF(AND(OR('DATOS'!K393="Sin coste documentado",'DATOS'!K393="Incluido en otra partida"),AND(LEN(TRIM('DATOS'!L393&amp;""))&gt;0,TRIM('DATOS'!L393&amp;"")&lt;&gt;"Pendiente",TRIM('DATOS'!L393&amp;"")&lt;&gt;"Por confirmar",TRIM('DATOS'!L393&amp;"")&lt;&gt;"No consta",TRIM('DATOS'!L393&amp;"")&lt;&gt;"Desconocido",TRIM('DATOS'!L393&amp;"")&lt;&gt;"Sin confirmar",TRIM('DATOS'!L393&amp;"")&lt;&gt;"Por decidir",TRIM('DATOS'!L393&amp;"")&lt;&gt;"Por comprobar")),0,1),0))))),2)</f>
      </c>
      <c r="R393" s="29">
        <f>IFERROR(IF(N393=0,"",IF(OR(NOT(AND(LEN(TRIM('DATOS'!D393&amp;""))&gt;0,TRIM('DATOS'!D393&amp;"")&lt;&gt;"Pendiente",TRIM('DATOS'!D393&amp;"")&lt;&gt;"Por confirmar",TRIM('DATOS'!D393&amp;"")&lt;&gt;"No consta",TRIM('DATOS'!D393&amp;"")&lt;&gt;"Desconocido",TRIM('DATOS'!D393&amp;"")&lt;&gt;"Sin confirmar",TRIM('DATOS'!D393&amp;"")&lt;&gt;"Por decidir",TRIM('DATOS'!D393&amp;"")&lt;&gt;"Por comprobar")),NOT(AND(LEN(TRIM('DATOS'!E393&amp;""))&gt;0,TRIM('DATOS'!E393&amp;"")&lt;&gt;"Pendiente",TRIM('DATOS'!E393&amp;"")&lt;&gt;"Por confirmar",TRIM('DATOS'!E393&amp;"")&lt;&gt;"No consta",TRIM('DATOS'!E393&amp;"")&lt;&gt;"Desconocido",TRIM('DATOS'!E393&amp;"")&lt;&gt;"Sin confirmar",TRIM('DATOS'!E393&amp;"")&lt;&gt;"Por decidir",TRIM('DATOS'!E393&amp;"")&lt;&gt;"Por comprobar"))),2,IF('DATOS'!M393="No",2,IF('DATOS'!M393="Sí",0,IF(OR('DATOS'!D393&lt;&gt;'DATOS'!E393,LEN('DATOS'!E393)&gt;300,RIGHT(TRIM('DATOS'!E393),3)="...",RIGHT(TRIM('DATOS'!E393),1)="…"),1,0))))),2)</f>
      </c>
      <c r="S393" s="29">
        <f>IFERROR(IF(N393=0,"",IF('REFERENCIAS'!$Q$8&lt;&gt;1,2,IF(NOT(Y393=1),1,IF(OR(ABS('DATOS'!G393-ROUND('DATOS'!G393,'REFERENCIAS'!$E$8))&gt;0.00000001,ABS('DATOS'!H393-ROUND('DATOS'!H393,'REFERENCIAS'!$H$8))&gt;0.00000001,ABS('DATOS'!J393-ROUND('DATOS'!J393,'REFERENCIAS'!$K$8))&gt;0.00000001,IF(ISNUMBER('DATOS'!I393),ABS('DATOS'!I393-ROUND('DATOS'!I393,'REFERENCIAS'!$H$8))&gt;0.00000001,FALSE)),1,0)))),2)</f>
      </c>
      <c r="T393" s="29">
        <f>IFERROR(IF(N393=0,"",IF(NOT(AND(LEN(TRIM('DATOS'!F393&amp;""))&gt;0,TRIM('DATOS'!F393&amp;"")&lt;&gt;"Pendiente",TRIM('DATOS'!F393&amp;"")&lt;&gt;"Por confirmar",TRIM('DATOS'!F393&amp;"")&lt;&gt;"No consta",TRIM('DATOS'!F393&amp;"")&lt;&gt;"Desconocido",TRIM('DATOS'!F393&amp;"")&lt;&gt;"Sin confirmar",TRIM('DATOS'!F393&amp;"")&lt;&gt;"Por decidir",TRIM('DATOS'!F393&amp;"")&lt;&gt;"Por comprobar")),2,IF(COUNTIFS('REFERENCIAS'!$T$15:$T$34,"ID:"&amp;SUBSTITUTE(SUBSTITUTE(SUBSTITUTE(SUBSTITUTE(UPPER(TRIM('DATOS'!F393&amp;"")),"!","!E"),"*","!A"),"?","!B"),"~","!C"),'REFERENCIAS'!$H$15:$H$34,"&lt;&gt;")&gt;0,0,1))),2)</f>
      </c>
      <c r="U393" s="29" t="str">
        <f>'DATOS'!R393</f>
        <v>ID:</v>
      </c>
      <c r="V393" s="29" t="str">
        <f>'DATOS'!S393</f>
        <v>ID:</v>
      </c>
      <c r="W393" s="29" t="n">
        <f>IF(N393=0,0,COUNTIFS('REFERENCIAS'!$R$15:$R$64,U393))</f>
        <v>0</v>
      </c>
      <c r="X393" s="29" t="n">
        <f>IF(N393=0,0,COUNTIFS('DATOS'!$R$10:$R$509,U393,'DATOS'!$S$10:$S$509,V393))</f>
        <v>0</v>
      </c>
      <c r="Y393" s="29" t="n">
        <f>IF(AND(ISNUMBER('DATOS'!G393),ISNUMBER('DATOS'!H393),ISNUMBER('DATOS'!J393)),1,0)</f>
        <v>0</v>
      </c>
    </row>
    <row r="394" ht="64" customHeight="1">
      <c r="B394" s="26">
        <f>IF(N394=1,385,"")</f>
      </c>
      <c r="C394" s="26">
        <f>IF(AND(N394=1,LEN(TRIM('DATOS'!B394&amp;""))&gt;0),'DATOS'!B394,"")</f>
      </c>
      <c r="D394" s="26">
        <f>IF(AND(N394=1,LEN(TRIM('DATOS'!C394&amp;""))&gt;0),'DATOS'!C394,"")</f>
      </c>
      <c r="E394" s="26">
        <f>IF(NOT(ISNUMBER(P394)),"",IF(P394=2,"ROJO",IF(P394=1,"ÁMBAR","VERDE")))</f>
      </c>
      <c r="F394" s="26">
        <f>IF(NOT(ISNUMBER(Q394)),"",IF(Q394=2,"ROJO",IF(Q394=1,"ÁMBAR","VERDE")))</f>
      </c>
      <c r="G394" s="26">
        <f>IF(NOT(ISNUMBER(R394)),"",IF(R394=2,"ROJO",IF(R394=1,"ÁMBAR","VERDE")))</f>
      </c>
      <c r="H394" s="26">
        <f>IF(NOT(ISNUMBER(S394)),"",IF(S394=2,"ROJO",IF(S394=1,"ÁMBAR","VERDE")))</f>
      </c>
      <c r="I394" s="26">
        <f>IF(NOT(ISNUMBER(T394)),"",IF(T394=2,"ROJO",IF(T394=1,"ÁMBAR","VERDE")))</f>
      </c>
      <c r="J394" s="26">
        <f>IF(NOT(ISNUMBER(O394)),"",IF(O394=2,"ROJO",IF(O394=1,"ÁMBAR","VERDE")))</f>
      </c>
      <c r="K394" s="26">
        <f>IFERROR(IF(AND(N394=1,LEN(TRIM('DATOS'!N394&amp;""))&gt;0),'DATOS'!N394,""),"Hay una entrada con error. Corregimos el dato antes de cerrar la comprobación.")</f>
      </c>
      <c r="L394" s="26">
        <f>IFERROR(IF(N394=0,"",IF(O394&gt;0,"Completamos datos, claves o motivo. ","")&amp;IF(P394&gt;0,"Cotejamos precios e importe. ","")&amp;IF(Q394&gt;0,"Aclaramos el cero. ","")&amp;IF(R394&gt;0,"Comprobamos el texto. ","")&amp;IF(S394&gt;0,"Revisamos decimales visibles. ","")&amp;IF(T394&gt;0,"Confirmamos la unidad.","")),"Hay una entrada con error. Corregimos el dato antes de cerrar la comprobación.")</f>
      </c>
      <c r="N394" s="29" t="n">
        <f>IF(COUNTA('DATOS'!B394:O394)&gt;0,1,0)</f>
        <v>0</v>
      </c>
      <c r="O394" s="29">
        <f>IFERROR(IF(N394=0,"",IF(OR(NOT(AND(LEN(TRIM('DATOS'!B394&amp;""))&gt;0,TRIM('DATOS'!B394&amp;"")&lt;&gt;"Pendiente",TRIM('DATOS'!B394&amp;"")&lt;&gt;"Por confirmar",TRIM('DATOS'!B394&amp;"")&lt;&gt;"No consta",TRIM('DATOS'!B394&amp;"")&lt;&gt;"Desconocido",TRIM('DATOS'!B394&amp;"")&lt;&gt;"Sin confirmar",TRIM('DATOS'!B394&amp;"")&lt;&gt;"Por decidir",TRIM('DATOS'!B394&amp;"")&lt;&gt;"Por comprobar")),NOT(AND(LEN(TRIM('DATOS'!C394&amp;""))&gt;0,TRIM('DATOS'!C394&amp;"")&lt;&gt;"Pendiente",TRIM('DATOS'!C394&amp;"")&lt;&gt;"Por confirmar",TRIM('DATOS'!C394&amp;"")&lt;&gt;"No consta",TRIM('DATOS'!C394&amp;"")&lt;&gt;"Desconocido",TRIM('DATOS'!C394&amp;"")&lt;&gt;"Sin confirmar",TRIM('DATOS'!C394&amp;"")&lt;&gt;"Por decidir",TRIM('DATOS'!C394&amp;"")&lt;&gt;"Por comprobar")),NOT(AND(LEN(TRIM('DATOS'!D394&amp;""))&gt;0,TRIM('DATOS'!D394&amp;"")&lt;&gt;"Pendiente",TRIM('DATOS'!D394&amp;"")&lt;&gt;"Por confirmar",TRIM('DATOS'!D394&amp;"")&lt;&gt;"No consta",TRIM('DATOS'!D394&amp;"")&lt;&gt;"Desconocido",TRIM('DATOS'!D394&amp;"")&lt;&gt;"Sin confirmar",TRIM('DATOS'!D394&amp;"")&lt;&gt;"Por decidir",TRIM('DATOS'!D394&amp;"")&lt;&gt;"Por comprobar")),NOT(AND(LEN(TRIM('DATOS'!E394&amp;""))&gt;0,TRIM('DATOS'!E394&amp;"")&lt;&gt;"Pendiente",TRIM('DATOS'!E394&amp;"")&lt;&gt;"Por confirmar",TRIM('DATOS'!E394&amp;"")&lt;&gt;"No consta",TRIM('DATOS'!E394&amp;"")&lt;&gt;"Desconocido",TRIM('DATOS'!E394&amp;"")&lt;&gt;"Sin confirmar",TRIM('DATOS'!E394&amp;"")&lt;&gt;"Por decidir",TRIM('DATOS'!E394&amp;"")&lt;&gt;"Por comprobar")),NOT(AND(LEN(TRIM('DATOS'!F394&amp;""))&gt;0,TRIM('DATOS'!F394&amp;"")&lt;&gt;"Pendiente",TRIM('DATOS'!F394&amp;"")&lt;&gt;"Por confirmar",TRIM('DATOS'!F394&amp;"")&lt;&gt;"No consta",TRIM('DATOS'!F394&amp;"")&lt;&gt;"Desconocido",TRIM('DATOS'!F394&amp;"")&lt;&gt;"Sin confirmar",TRIM('DATOS'!F394&amp;"")&lt;&gt;"Por decidir",TRIM('DATOS'!F394&amp;"")&lt;&gt;"Por comprobar")),NOT(AND(LEN(TRIM('DATOS'!N394&amp;""))&gt;0,TRIM('DATOS'!N394&amp;"")&lt;&gt;"Pendiente",TRIM('DATOS'!N394&amp;"")&lt;&gt;"Por confirmar",TRIM('DATOS'!N394&amp;"")&lt;&gt;"No consta",TRIM('DATOS'!N394&amp;"")&lt;&gt;"Desconocido",TRIM('DATOS'!N394&amp;"")&lt;&gt;"Sin confirmar",TRIM('DATOS'!N394&amp;"")&lt;&gt;"Por decidir",TRIM('DATOS'!N394&amp;"")&lt;&gt;"Por comprobar")),NOT(Y394=1),W394&lt;&gt;1,X394&gt;1,NOT(OR(LEN(TRIM('DATOS'!K394&amp;""))=0,'DATOS'!K394="Sin valorar",'DATOS'!K394="Sin coste documentado",'DATOS'!K394="Incluido en otra partida",'DATOS'!K394="Por confirmar")),NOT(OR(LEN(TRIM('DATOS'!M394&amp;""))=0,'DATOS'!M394="Sí",'DATOS'!M394="No",'DATOS'!M394="Por confirmar")),NOT(OR(LEN(TRIM('DATOS'!O394&amp;""))=0,'DATOS'!O394="Comparamos",'DATOS'!O394="No existe",'DATOS'!O394="Por confirmar"))),2,IF(AND(OR('DATOS'!G394&lt;0,'DATOS'!H394&lt;0,'DATOS'!J394&lt;0),NOT(AND(LEN(TRIM('DATOS'!L394&amp;""))&gt;0,TRIM('DATOS'!L394&amp;"")&lt;&gt;"Pendiente",TRIM('DATOS'!L394&amp;"")&lt;&gt;"Por confirmar",TRIM('DATOS'!L394&amp;"")&lt;&gt;"No consta",TRIM('DATOS'!L394&amp;"")&lt;&gt;"Desconocido",TRIM('DATOS'!L394&amp;"")&lt;&gt;"Sin confirmar",TRIM('DATOS'!L394&amp;"")&lt;&gt;"Por decidir",TRIM('DATOS'!L394&amp;"")&lt;&gt;"Por comprobar"))),1,0))),2)</f>
      </c>
      <c r="P394" s="29">
        <f>IFERROR(IF(N394=0,"",IF(NOT(Y394=1),1,IF('REFERENCIAS'!$Q$8&lt;&gt;1,2,IF(ABS('DATOS'!J394-ROUND('DATOS'!G394*'DATOS'!H394,'REFERENCIAS'!$K$8))&gt;0.00000001,2,IF('DATOS'!O394="No existe",IF(LEN(TRIM('DATOS'!I394&amp;""))=0,0,2),IF('DATOS'!O394="Comparamos",IF(LEN(TRIM('DATOS'!I394&amp;""))=0,1,IF(ISNUMBER('DATOS'!I394),IF(ABS('DATOS'!H394-'DATOS'!I394)&gt;0.00000001,2,0),2)),1)))))),2)</f>
      </c>
      <c r="Q394" s="29">
        <f>IFERROR(IF(N394=0,"",IF(NOT(Y394=1),1,IF('DATOS'!K394="Sin valorar",2,IF('DATOS'!G394=0,1,IF(OR('DATOS'!H394=0,'DATOS'!J394=0),IF(AND(OR('DATOS'!K394="Sin coste documentado",'DATOS'!K394="Incluido en otra partida"),AND(LEN(TRIM('DATOS'!L394&amp;""))&gt;0,TRIM('DATOS'!L394&amp;"")&lt;&gt;"Pendiente",TRIM('DATOS'!L394&amp;"")&lt;&gt;"Por confirmar",TRIM('DATOS'!L394&amp;"")&lt;&gt;"No consta",TRIM('DATOS'!L394&amp;"")&lt;&gt;"Desconocido",TRIM('DATOS'!L394&amp;"")&lt;&gt;"Sin confirmar",TRIM('DATOS'!L394&amp;"")&lt;&gt;"Por decidir",TRIM('DATOS'!L394&amp;"")&lt;&gt;"Por comprobar")),0,1),0))))),2)</f>
      </c>
      <c r="R394" s="29">
        <f>IFERROR(IF(N394=0,"",IF(OR(NOT(AND(LEN(TRIM('DATOS'!D394&amp;""))&gt;0,TRIM('DATOS'!D394&amp;"")&lt;&gt;"Pendiente",TRIM('DATOS'!D394&amp;"")&lt;&gt;"Por confirmar",TRIM('DATOS'!D394&amp;"")&lt;&gt;"No consta",TRIM('DATOS'!D394&amp;"")&lt;&gt;"Desconocido",TRIM('DATOS'!D394&amp;"")&lt;&gt;"Sin confirmar",TRIM('DATOS'!D394&amp;"")&lt;&gt;"Por decidir",TRIM('DATOS'!D394&amp;"")&lt;&gt;"Por comprobar")),NOT(AND(LEN(TRIM('DATOS'!E394&amp;""))&gt;0,TRIM('DATOS'!E394&amp;"")&lt;&gt;"Pendiente",TRIM('DATOS'!E394&amp;"")&lt;&gt;"Por confirmar",TRIM('DATOS'!E394&amp;"")&lt;&gt;"No consta",TRIM('DATOS'!E394&amp;"")&lt;&gt;"Desconocido",TRIM('DATOS'!E394&amp;"")&lt;&gt;"Sin confirmar",TRIM('DATOS'!E394&amp;"")&lt;&gt;"Por decidir",TRIM('DATOS'!E394&amp;"")&lt;&gt;"Por comprobar"))),2,IF('DATOS'!M394="No",2,IF('DATOS'!M394="Sí",0,IF(OR('DATOS'!D394&lt;&gt;'DATOS'!E394,LEN('DATOS'!E394)&gt;300,RIGHT(TRIM('DATOS'!E394),3)="...",RIGHT(TRIM('DATOS'!E394),1)="…"),1,0))))),2)</f>
      </c>
      <c r="S394" s="29">
        <f>IFERROR(IF(N394=0,"",IF('REFERENCIAS'!$Q$8&lt;&gt;1,2,IF(NOT(Y394=1),1,IF(OR(ABS('DATOS'!G394-ROUND('DATOS'!G394,'REFERENCIAS'!$E$8))&gt;0.00000001,ABS('DATOS'!H394-ROUND('DATOS'!H394,'REFERENCIAS'!$H$8))&gt;0.00000001,ABS('DATOS'!J394-ROUND('DATOS'!J394,'REFERENCIAS'!$K$8))&gt;0.00000001,IF(ISNUMBER('DATOS'!I394),ABS('DATOS'!I394-ROUND('DATOS'!I394,'REFERENCIAS'!$H$8))&gt;0.00000001,FALSE)),1,0)))),2)</f>
      </c>
      <c r="T394" s="29">
        <f>IFERROR(IF(N394=0,"",IF(NOT(AND(LEN(TRIM('DATOS'!F394&amp;""))&gt;0,TRIM('DATOS'!F394&amp;"")&lt;&gt;"Pendiente",TRIM('DATOS'!F394&amp;"")&lt;&gt;"Por confirmar",TRIM('DATOS'!F394&amp;"")&lt;&gt;"No consta",TRIM('DATOS'!F394&amp;"")&lt;&gt;"Desconocido",TRIM('DATOS'!F394&amp;"")&lt;&gt;"Sin confirmar",TRIM('DATOS'!F394&amp;"")&lt;&gt;"Por decidir",TRIM('DATOS'!F394&amp;"")&lt;&gt;"Por comprobar")),2,IF(COUNTIFS('REFERENCIAS'!$T$15:$T$34,"ID:"&amp;SUBSTITUTE(SUBSTITUTE(SUBSTITUTE(SUBSTITUTE(UPPER(TRIM('DATOS'!F394&amp;"")),"!","!E"),"*","!A"),"?","!B"),"~","!C"),'REFERENCIAS'!$H$15:$H$34,"&lt;&gt;")&gt;0,0,1))),2)</f>
      </c>
      <c r="U394" s="29" t="str">
        <f>'DATOS'!R394</f>
        <v>ID:</v>
      </c>
      <c r="V394" s="29" t="str">
        <f>'DATOS'!S394</f>
        <v>ID:</v>
      </c>
      <c r="W394" s="29" t="n">
        <f>IF(N394=0,0,COUNTIFS('REFERENCIAS'!$R$15:$R$64,U394))</f>
        <v>0</v>
      </c>
      <c r="X394" s="29" t="n">
        <f>IF(N394=0,0,COUNTIFS('DATOS'!$R$10:$R$509,U394,'DATOS'!$S$10:$S$509,V394))</f>
        <v>0</v>
      </c>
      <c r="Y394" s="29" t="n">
        <f>IF(AND(ISNUMBER('DATOS'!G394),ISNUMBER('DATOS'!H394),ISNUMBER('DATOS'!J394)),1,0)</f>
        <v>0</v>
      </c>
    </row>
    <row r="395" ht="64" customHeight="1">
      <c r="B395" s="26">
        <f>IF(N395=1,386,"")</f>
      </c>
      <c r="C395" s="26">
        <f>IF(AND(N395=1,LEN(TRIM('DATOS'!B395&amp;""))&gt;0),'DATOS'!B395,"")</f>
      </c>
      <c r="D395" s="26">
        <f>IF(AND(N395=1,LEN(TRIM('DATOS'!C395&amp;""))&gt;0),'DATOS'!C395,"")</f>
      </c>
      <c r="E395" s="26">
        <f>IF(NOT(ISNUMBER(P395)),"",IF(P395=2,"ROJO",IF(P395=1,"ÁMBAR","VERDE")))</f>
      </c>
      <c r="F395" s="26">
        <f>IF(NOT(ISNUMBER(Q395)),"",IF(Q395=2,"ROJO",IF(Q395=1,"ÁMBAR","VERDE")))</f>
      </c>
      <c r="G395" s="26">
        <f>IF(NOT(ISNUMBER(R395)),"",IF(R395=2,"ROJO",IF(R395=1,"ÁMBAR","VERDE")))</f>
      </c>
      <c r="H395" s="26">
        <f>IF(NOT(ISNUMBER(S395)),"",IF(S395=2,"ROJO",IF(S395=1,"ÁMBAR","VERDE")))</f>
      </c>
      <c r="I395" s="26">
        <f>IF(NOT(ISNUMBER(T395)),"",IF(T395=2,"ROJO",IF(T395=1,"ÁMBAR","VERDE")))</f>
      </c>
      <c r="J395" s="26">
        <f>IF(NOT(ISNUMBER(O395)),"",IF(O395=2,"ROJO",IF(O395=1,"ÁMBAR","VERDE")))</f>
      </c>
      <c r="K395" s="26">
        <f>IFERROR(IF(AND(N395=1,LEN(TRIM('DATOS'!N395&amp;""))&gt;0),'DATOS'!N395,""),"Hay una entrada con error. Corregimos el dato antes de cerrar la comprobación.")</f>
      </c>
      <c r="L395" s="26">
        <f>IFERROR(IF(N395=0,"",IF(O395&gt;0,"Completamos datos, claves o motivo. ","")&amp;IF(P395&gt;0,"Cotejamos precios e importe. ","")&amp;IF(Q395&gt;0,"Aclaramos el cero. ","")&amp;IF(R395&gt;0,"Comprobamos el texto. ","")&amp;IF(S395&gt;0,"Revisamos decimales visibles. ","")&amp;IF(T395&gt;0,"Confirmamos la unidad.","")),"Hay una entrada con error. Corregimos el dato antes de cerrar la comprobación.")</f>
      </c>
      <c r="N395" s="29" t="n">
        <f>IF(COUNTA('DATOS'!B395:O395)&gt;0,1,0)</f>
        <v>0</v>
      </c>
      <c r="O395" s="29">
        <f>IFERROR(IF(N395=0,"",IF(OR(NOT(AND(LEN(TRIM('DATOS'!B395&amp;""))&gt;0,TRIM('DATOS'!B395&amp;"")&lt;&gt;"Pendiente",TRIM('DATOS'!B395&amp;"")&lt;&gt;"Por confirmar",TRIM('DATOS'!B395&amp;"")&lt;&gt;"No consta",TRIM('DATOS'!B395&amp;"")&lt;&gt;"Desconocido",TRIM('DATOS'!B395&amp;"")&lt;&gt;"Sin confirmar",TRIM('DATOS'!B395&amp;"")&lt;&gt;"Por decidir",TRIM('DATOS'!B395&amp;"")&lt;&gt;"Por comprobar")),NOT(AND(LEN(TRIM('DATOS'!C395&amp;""))&gt;0,TRIM('DATOS'!C395&amp;"")&lt;&gt;"Pendiente",TRIM('DATOS'!C395&amp;"")&lt;&gt;"Por confirmar",TRIM('DATOS'!C395&amp;"")&lt;&gt;"No consta",TRIM('DATOS'!C395&amp;"")&lt;&gt;"Desconocido",TRIM('DATOS'!C395&amp;"")&lt;&gt;"Sin confirmar",TRIM('DATOS'!C395&amp;"")&lt;&gt;"Por decidir",TRIM('DATOS'!C395&amp;"")&lt;&gt;"Por comprobar")),NOT(AND(LEN(TRIM('DATOS'!D395&amp;""))&gt;0,TRIM('DATOS'!D395&amp;"")&lt;&gt;"Pendiente",TRIM('DATOS'!D395&amp;"")&lt;&gt;"Por confirmar",TRIM('DATOS'!D395&amp;"")&lt;&gt;"No consta",TRIM('DATOS'!D395&amp;"")&lt;&gt;"Desconocido",TRIM('DATOS'!D395&amp;"")&lt;&gt;"Sin confirmar",TRIM('DATOS'!D395&amp;"")&lt;&gt;"Por decidir",TRIM('DATOS'!D395&amp;"")&lt;&gt;"Por comprobar")),NOT(AND(LEN(TRIM('DATOS'!E395&amp;""))&gt;0,TRIM('DATOS'!E395&amp;"")&lt;&gt;"Pendiente",TRIM('DATOS'!E395&amp;"")&lt;&gt;"Por confirmar",TRIM('DATOS'!E395&amp;"")&lt;&gt;"No consta",TRIM('DATOS'!E395&amp;"")&lt;&gt;"Desconocido",TRIM('DATOS'!E395&amp;"")&lt;&gt;"Sin confirmar",TRIM('DATOS'!E395&amp;"")&lt;&gt;"Por decidir",TRIM('DATOS'!E395&amp;"")&lt;&gt;"Por comprobar")),NOT(AND(LEN(TRIM('DATOS'!F395&amp;""))&gt;0,TRIM('DATOS'!F395&amp;"")&lt;&gt;"Pendiente",TRIM('DATOS'!F395&amp;"")&lt;&gt;"Por confirmar",TRIM('DATOS'!F395&amp;"")&lt;&gt;"No consta",TRIM('DATOS'!F395&amp;"")&lt;&gt;"Desconocido",TRIM('DATOS'!F395&amp;"")&lt;&gt;"Sin confirmar",TRIM('DATOS'!F395&amp;"")&lt;&gt;"Por decidir",TRIM('DATOS'!F395&amp;"")&lt;&gt;"Por comprobar")),NOT(AND(LEN(TRIM('DATOS'!N395&amp;""))&gt;0,TRIM('DATOS'!N395&amp;"")&lt;&gt;"Pendiente",TRIM('DATOS'!N395&amp;"")&lt;&gt;"Por confirmar",TRIM('DATOS'!N395&amp;"")&lt;&gt;"No consta",TRIM('DATOS'!N395&amp;"")&lt;&gt;"Desconocido",TRIM('DATOS'!N395&amp;"")&lt;&gt;"Sin confirmar",TRIM('DATOS'!N395&amp;"")&lt;&gt;"Por decidir",TRIM('DATOS'!N395&amp;"")&lt;&gt;"Por comprobar")),NOT(Y395=1),W395&lt;&gt;1,X395&gt;1,NOT(OR(LEN(TRIM('DATOS'!K395&amp;""))=0,'DATOS'!K395="Sin valorar",'DATOS'!K395="Sin coste documentado",'DATOS'!K395="Incluido en otra partida",'DATOS'!K395="Por confirmar")),NOT(OR(LEN(TRIM('DATOS'!M395&amp;""))=0,'DATOS'!M395="Sí",'DATOS'!M395="No",'DATOS'!M395="Por confirmar")),NOT(OR(LEN(TRIM('DATOS'!O395&amp;""))=0,'DATOS'!O395="Comparamos",'DATOS'!O395="No existe",'DATOS'!O395="Por confirmar"))),2,IF(AND(OR('DATOS'!G395&lt;0,'DATOS'!H395&lt;0,'DATOS'!J395&lt;0),NOT(AND(LEN(TRIM('DATOS'!L395&amp;""))&gt;0,TRIM('DATOS'!L395&amp;"")&lt;&gt;"Pendiente",TRIM('DATOS'!L395&amp;"")&lt;&gt;"Por confirmar",TRIM('DATOS'!L395&amp;"")&lt;&gt;"No consta",TRIM('DATOS'!L395&amp;"")&lt;&gt;"Desconocido",TRIM('DATOS'!L395&amp;"")&lt;&gt;"Sin confirmar",TRIM('DATOS'!L395&amp;"")&lt;&gt;"Por decidir",TRIM('DATOS'!L395&amp;"")&lt;&gt;"Por comprobar"))),1,0))),2)</f>
      </c>
      <c r="P395" s="29">
        <f>IFERROR(IF(N395=0,"",IF(NOT(Y395=1),1,IF('REFERENCIAS'!$Q$8&lt;&gt;1,2,IF(ABS('DATOS'!J395-ROUND('DATOS'!G395*'DATOS'!H395,'REFERENCIAS'!$K$8))&gt;0.00000001,2,IF('DATOS'!O395="No existe",IF(LEN(TRIM('DATOS'!I395&amp;""))=0,0,2),IF('DATOS'!O395="Comparamos",IF(LEN(TRIM('DATOS'!I395&amp;""))=0,1,IF(ISNUMBER('DATOS'!I395),IF(ABS('DATOS'!H395-'DATOS'!I395)&gt;0.00000001,2,0),2)),1)))))),2)</f>
      </c>
      <c r="Q395" s="29">
        <f>IFERROR(IF(N395=0,"",IF(NOT(Y395=1),1,IF('DATOS'!K395="Sin valorar",2,IF('DATOS'!G395=0,1,IF(OR('DATOS'!H395=0,'DATOS'!J395=0),IF(AND(OR('DATOS'!K395="Sin coste documentado",'DATOS'!K395="Incluido en otra partida"),AND(LEN(TRIM('DATOS'!L395&amp;""))&gt;0,TRIM('DATOS'!L395&amp;"")&lt;&gt;"Pendiente",TRIM('DATOS'!L395&amp;"")&lt;&gt;"Por confirmar",TRIM('DATOS'!L395&amp;"")&lt;&gt;"No consta",TRIM('DATOS'!L395&amp;"")&lt;&gt;"Desconocido",TRIM('DATOS'!L395&amp;"")&lt;&gt;"Sin confirmar",TRIM('DATOS'!L395&amp;"")&lt;&gt;"Por decidir",TRIM('DATOS'!L395&amp;"")&lt;&gt;"Por comprobar")),0,1),0))))),2)</f>
      </c>
      <c r="R395" s="29">
        <f>IFERROR(IF(N395=0,"",IF(OR(NOT(AND(LEN(TRIM('DATOS'!D395&amp;""))&gt;0,TRIM('DATOS'!D395&amp;"")&lt;&gt;"Pendiente",TRIM('DATOS'!D395&amp;"")&lt;&gt;"Por confirmar",TRIM('DATOS'!D395&amp;"")&lt;&gt;"No consta",TRIM('DATOS'!D395&amp;"")&lt;&gt;"Desconocido",TRIM('DATOS'!D395&amp;"")&lt;&gt;"Sin confirmar",TRIM('DATOS'!D395&amp;"")&lt;&gt;"Por decidir",TRIM('DATOS'!D395&amp;"")&lt;&gt;"Por comprobar")),NOT(AND(LEN(TRIM('DATOS'!E395&amp;""))&gt;0,TRIM('DATOS'!E395&amp;"")&lt;&gt;"Pendiente",TRIM('DATOS'!E395&amp;"")&lt;&gt;"Por confirmar",TRIM('DATOS'!E395&amp;"")&lt;&gt;"No consta",TRIM('DATOS'!E395&amp;"")&lt;&gt;"Desconocido",TRIM('DATOS'!E395&amp;"")&lt;&gt;"Sin confirmar",TRIM('DATOS'!E395&amp;"")&lt;&gt;"Por decidir",TRIM('DATOS'!E395&amp;"")&lt;&gt;"Por comprobar"))),2,IF('DATOS'!M395="No",2,IF('DATOS'!M395="Sí",0,IF(OR('DATOS'!D395&lt;&gt;'DATOS'!E395,LEN('DATOS'!E395)&gt;300,RIGHT(TRIM('DATOS'!E395),3)="...",RIGHT(TRIM('DATOS'!E395),1)="…"),1,0))))),2)</f>
      </c>
      <c r="S395" s="29">
        <f>IFERROR(IF(N395=0,"",IF('REFERENCIAS'!$Q$8&lt;&gt;1,2,IF(NOT(Y395=1),1,IF(OR(ABS('DATOS'!G395-ROUND('DATOS'!G395,'REFERENCIAS'!$E$8))&gt;0.00000001,ABS('DATOS'!H395-ROUND('DATOS'!H395,'REFERENCIAS'!$H$8))&gt;0.00000001,ABS('DATOS'!J395-ROUND('DATOS'!J395,'REFERENCIAS'!$K$8))&gt;0.00000001,IF(ISNUMBER('DATOS'!I395),ABS('DATOS'!I395-ROUND('DATOS'!I395,'REFERENCIAS'!$H$8))&gt;0.00000001,FALSE)),1,0)))),2)</f>
      </c>
      <c r="T395" s="29">
        <f>IFERROR(IF(N395=0,"",IF(NOT(AND(LEN(TRIM('DATOS'!F395&amp;""))&gt;0,TRIM('DATOS'!F395&amp;"")&lt;&gt;"Pendiente",TRIM('DATOS'!F395&amp;"")&lt;&gt;"Por confirmar",TRIM('DATOS'!F395&amp;"")&lt;&gt;"No consta",TRIM('DATOS'!F395&amp;"")&lt;&gt;"Desconocido",TRIM('DATOS'!F395&amp;"")&lt;&gt;"Sin confirmar",TRIM('DATOS'!F395&amp;"")&lt;&gt;"Por decidir",TRIM('DATOS'!F395&amp;"")&lt;&gt;"Por comprobar")),2,IF(COUNTIFS('REFERENCIAS'!$T$15:$T$34,"ID:"&amp;SUBSTITUTE(SUBSTITUTE(SUBSTITUTE(SUBSTITUTE(UPPER(TRIM('DATOS'!F395&amp;"")),"!","!E"),"*","!A"),"?","!B"),"~","!C"),'REFERENCIAS'!$H$15:$H$34,"&lt;&gt;")&gt;0,0,1))),2)</f>
      </c>
      <c r="U395" s="29" t="str">
        <f>'DATOS'!R395</f>
        <v>ID:</v>
      </c>
      <c r="V395" s="29" t="str">
        <f>'DATOS'!S395</f>
        <v>ID:</v>
      </c>
      <c r="W395" s="29" t="n">
        <f>IF(N395=0,0,COUNTIFS('REFERENCIAS'!$R$15:$R$64,U395))</f>
        <v>0</v>
      </c>
      <c r="X395" s="29" t="n">
        <f>IF(N395=0,0,COUNTIFS('DATOS'!$R$10:$R$509,U395,'DATOS'!$S$10:$S$509,V395))</f>
        <v>0</v>
      </c>
      <c r="Y395" s="29" t="n">
        <f>IF(AND(ISNUMBER('DATOS'!G395),ISNUMBER('DATOS'!H395),ISNUMBER('DATOS'!J395)),1,0)</f>
        <v>0</v>
      </c>
    </row>
    <row r="396" ht="64" customHeight="1">
      <c r="B396" s="26">
        <f>IF(N396=1,387,"")</f>
      </c>
      <c r="C396" s="26">
        <f>IF(AND(N396=1,LEN(TRIM('DATOS'!B396&amp;""))&gt;0),'DATOS'!B396,"")</f>
      </c>
      <c r="D396" s="26">
        <f>IF(AND(N396=1,LEN(TRIM('DATOS'!C396&amp;""))&gt;0),'DATOS'!C396,"")</f>
      </c>
      <c r="E396" s="26">
        <f>IF(NOT(ISNUMBER(P396)),"",IF(P396=2,"ROJO",IF(P396=1,"ÁMBAR","VERDE")))</f>
      </c>
      <c r="F396" s="26">
        <f>IF(NOT(ISNUMBER(Q396)),"",IF(Q396=2,"ROJO",IF(Q396=1,"ÁMBAR","VERDE")))</f>
      </c>
      <c r="G396" s="26">
        <f>IF(NOT(ISNUMBER(R396)),"",IF(R396=2,"ROJO",IF(R396=1,"ÁMBAR","VERDE")))</f>
      </c>
      <c r="H396" s="26">
        <f>IF(NOT(ISNUMBER(S396)),"",IF(S396=2,"ROJO",IF(S396=1,"ÁMBAR","VERDE")))</f>
      </c>
      <c r="I396" s="26">
        <f>IF(NOT(ISNUMBER(T396)),"",IF(T396=2,"ROJO",IF(T396=1,"ÁMBAR","VERDE")))</f>
      </c>
      <c r="J396" s="26">
        <f>IF(NOT(ISNUMBER(O396)),"",IF(O396=2,"ROJO",IF(O396=1,"ÁMBAR","VERDE")))</f>
      </c>
      <c r="K396" s="26">
        <f>IFERROR(IF(AND(N396=1,LEN(TRIM('DATOS'!N396&amp;""))&gt;0),'DATOS'!N396,""),"Hay una entrada con error. Corregimos el dato antes de cerrar la comprobación.")</f>
      </c>
      <c r="L396" s="26">
        <f>IFERROR(IF(N396=0,"",IF(O396&gt;0,"Completamos datos, claves o motivo. ","")&amp;IF(P396&gt;0,"Cotejamos precios e importe. ","")&amp;IF(Q396&gt;0,"Aclaramos el cero. ","")&amp;IF(R396&gt;0,"Comprobamos el texto. ","")&amp;IF(S396&gt;0,"Revisamos decimales visibles. ","")&amp;IF(T396&gt;0,"Confirmamos la unidad.","")),"Hay una entrada con error. Corregimos el dato antes de cerrar la comprobación.")</f>
      </c>
      <c r="N396" s="29" t="n">
        <f>IF(COUNTA('DATOS'!B396:O396)&gt;0,1,0)</f>
        <v>0</v>
      </c>
      <c r="O396" s="29">
        <f>IFERROR(IF(N396=0,"",IF(OR(NOT(AND(LEN(TRIM('DATOS'!B396&amp;""))&gt;0,TRIM('DATOS'!B396&amp;"")&lt;&gt;"Pendiente",TRIM('DATOS'!B396&amp;"")&lt;&gt;"Por confirmar",TRIM('DATOS'!B396&amp;"")&lt;&gt;"No consta",TRIM('DATOS'!B396&amp;"")&lt;&gt;"Desconocido",TRIM('DATOS'!B396&amp;"")&lt;&gt;"Sin confirmar",TRIM('DATOS'!B396&amp;"")&lt;&gt;"Por decidir",TRIM('DATOS'!B396&amp;"")&lt;&gt;"Por comprobar")),NOT(AND(LEN(TRIM('DATOS'!C396&amp;""))&gt;0,TRIM('DATOS'!C396&amp;"")&lt;&gt;"Pendiente",TRIM('DATOS'!C396&amp;"")&lt;&gt;"Por confirmar",TRIM('DATOS'!C396&amp;"")&lt;&gt;"No consta",TRIM('DATOS'!C396&amp;"")&lt;&gt;"Desconocido",TRIM('DATOS'!C396&amp;"")&lt;&gt;"Sin confirmar",TRIM('DATOS'!C396&amp;"")&lt;&gt;"Por decidir",TRIM('DATOS'!C396&amp;"")&lt;&gt;"Por comprobar")),NOT(AND(LEN(TRIM('DATOS'!D396&amp;""))&gt;0,TRIM('DATOS'!D396&amp;"")&lt;&gt;"Pendiente",TRIM('DATOS'!D396&amp;"")&lt;&gt;"Por confirmar",TRIM('DATOS'!D396&amp;"")&lt;&gt;"No consta",TRIM('DATOS'!D396&amp;"")&lt;&gt;"Desconocido",TRIM('DATOS'!D396&amp;"")&lt;&gt;"Sin confirmar",TRIM('DATOS'!D396&amp;"")&lt;&gt;"Por decidir",TRIM('DATOS'!D396&amp;"")&lt;&gt;"Por comprobar")),NOT(AND(LEN(TRIM('DATOS'!E396&amp;""))&gt;0,TRIM('DATOS'!E396&amp;"")&lt;&gt;"Pendiente",TRIM('DATOS'!E396&amp;"")&lt;&gt;"Por confirmar",TRIM('DATOS'!E396&amp;"")&lt;&gt;"No consta",TRIM('DATOS'!E396&amp;"")&lt;&gt;"Desconocido",TRIM('DATOS'!E396&amp;"")&lt;&gt;"Sin confirmar",TRIM('DATOS'!E396&amp;"")&lt;&gt;"Por decidir",TRIM('DATOS'!E396&amp;"")&lt;&gt;"Por comprobar")),NOT(AND(LEN(TRIM('DATOS'!F396&amp;""))&gt;0,TRIM('DATOS'!F396&amp;"")&lt;&gt;"Pendiente",TRIM('DATOS'!F396&amp;"")&lt;&gt;"Por confirmar",TRIM('DATOS'!F396&amp;"")&lt;&gt;"No consta",TRIM('DATOS'!F396&amp;"")&lt;&gt;"Desconocido",TRIM('DATOS'!F396&amp;"")&lt;&gt;"Sin confirmar",TRIM('DATOS'!F396&amp;"")&lt;&gt;"Por decidir",TRIM('DATOS'!F396&amp;"")&lt;&gt;"Por comprobar")),NOT(AND(LEN(TRIM('DATOS'!N396&amp;""))&gt;0,TRIM('DATOS'!N396&amp;"")&lt;&gt;"Pendiente",TRIM('DATOS'!N396&amp;"")&lt;&gt;"Por confirmar",TRIM('DATOS'!N396&amp;"")&lt;&gt;"No consta",TRIM('DATOS'!N396&amp;"")&lt;&gt;"Desconocido",TRIM('DATOS'!N396&amp;"")&lt;&gt;"Sin confirmar",TRIM('DATOS'!N396&amp;"")&lt;&gt;"Por decidir",TRIM('DATOS'!N396&amp;"")&lt;&gt;"Por comprobar")),NOT(Y396=1),W396&lt;&gt;1,X396&gt;1,NOT(OR(LEN(TRIM('DATOS'!K396&amp;""))=0,'DATOS'!K396="Sin valorar",'DATOS'!K396="Sin coste documentado",'DATOS'!K396="Incluido en otra partida",'DATOS'!K396="Por confirmar")),NOT(OR(LEN(TRIM('DATOS'!M396&amp;""))=0,'DATOS'!M396="Sí",'DATOS'!M396="No",'DATOS'!M396="Por confirmar")),NOT(OR(LEN(TRIM('DATOS'!O396&amp;""))=0,'DATOS'!O396="Comparamos",'DATOS'!O396="No existe",'DATOS'!O396="Por confirmar"))),2,IF(AND(OR('DATOS'!G396&lt;0,'DATOS'!H396&lt;0,'DATOS'!J396&lt;0),NOT(AND(LEN(TRIM('DATOS'!L396&amp;""))&gt;0,TRIM('DATOS'!L396&amp;"")&lt;&gt;"Pendiente",TRIM('DATOS'!L396&amp;"")&lt;&gt;"Por confirmar",TRIM('DATOS'!L396&amp;"")&lt;&gt;"No consta",TRIM('DATOS'!L396&amp;"")&lt;&gt;"Desconocido",TRIM('DATOS'!L396&amp;"")&lt;&gt;"Sin confirmar",TRIM('DATOS'!L396&amp;"")&lt;&gt;"Por decidir",TRIM('DATOS'!L396&amp;"")&lt;&gt;"Por comprobar"))),1,0))),2)</f>
      </c>
      <c r="P396" s="29">
        <f>IFERROR(IF(N396=0,"",IF(NOT(Y396=1),1,IF('REFERENCIAS'!$Q$8&lt;&gt;1,2,IF(ABS('DATOS'!J396-ROUND('DATOS'!G396*'DATOS'!H396,'REFERENCIAS'!$K$8))&gt;0.00000001,2,IF('DATOS'!O396="No existe",IF(LEN(TRIM('DATOS'!I396&amp;""))=0,0,2),IF('DATOS'!O396="Comparamos",IF(LEN(TRIM('DATOS'!I396&amp;""))=0,1,IF(ISNUMBER('DATOS'!I396),IF(ABS('DATOS'!H396-'DATOS'!I396)&gt;0.00000001,2,0),2)),1)))))),2)</f>
      </c>
      <c r="Q396" s="29">
        <f>IFERROR(IF(N396=0,"",IF(NOT(Y396=1),1,IF('DATOS'!K396="Sin valorar",2,IF('DATOS'!G396=0,1,IF(OR('DATOS'!H396=0,'DATOS'!J396=0),IF(AND(OR('DATOS'!K396="Sin coste documentado",'DATOS'!K396="Incluido en otra partida"),AND(LEN(TRIM('DATOS'!L396&amp;""))&gt;0,TRIM('DATOS'!L396&amp;"")&lt;&gt;"Pendiente",TRIM('DATOS'!L396&amp;"")&lt;&gt;"Por confirmar",TRIM('DATOS'!L396&amp;"")&lt;&gt;"No consta",TRIM('DATOS'!L396&amp;"")&lt;&gt;"Desconocido",TRIM('DATOS'!L396&amp;"")&lt;&gt;"Sin confirmar",TRIM('DATOS'!L396&amp;"")&lt;&gt;"Por decidir",TRIM('DATOS'!L396&amp;"")&lt;&gt;"Por comprobar")),0,1),0))))),2)</f>
      </c>
      <c r="R396" s="29">
        <f>IFERROR(IF(N396=0,"",IF(OR(NOT(AND(LEN(TRIM('DATOS'!D396&amp;""))&gt;0,TRIM('DATOS'!D396&amp;"")&lt;&gt;"Pendiente",TRIM('DATOS'!D396&amp;"")&lt;&gt;"Por confirmar",TRIM('DATOS'!D396&amp;"")&lt;&gt;"No consta",TRIM('DATOS'!D396&amp;"")&lt;&gt;"Desconocido",TRIM('DATOS'!D396&amp;"")&lt;&gt;"Sin confirmar",TRIM('DATOS'!D396&amp;"")&lt;&gt;"Por decidir",TRIM('DATOS'!D396&amp;"")&lt;&gt;"Por comprobar")),NOT(AND(LEN(TRIM('DATOS'!E396&amp;""))&gt;0,TRIM('DATOS'!E396&amp;"")&lt;&gt;"Pendiente",TRIM('DATOS'!E396&amp;"")&lt;&gt;"Por confirmar",TRIM('DATOS'!E396&amp;"")&lt;&gt;"No consta",TRIM('DATOS'!E396&amp;"")&lt;&gt;"Desconocido",TRIM('DATOS'!E396&amp;"")&lt;&gt;"Sin confirmar",TRIM('DATOS'!E396&amp;"")&lt;&gt;"Por decidir",TRIM('DATOS'!E396&amp;"")&lt;&gt;"Por comprobar"))),2,IF('DATOS'!M396="No",2,IF('DATOS'!M396="Sí",0,IF(OR('DATOS'!D396&lt;&gt;'DATOS'!E396,LEN('DATOS'!E396)&gt;300,RIGHT(TRIM('DATOS'!E396),3)="...",RIGHT(TRIM('DATOS'!E396),1)="…"),1,0))))),2)</f>
      </c>
      <c r="S396" s="29">
        <f>IFERROR(IF(N396=0,"",IF('REFERENCIAS'!$Q$8&lt;&gt;1,2,IF(NOT(Y396=1),1,IF(OR(ABS('DATOS'!G396-ROUND('DATOS'!G396,'REFERENCIAS'!$E$8))&gt;0.00000001,ABS('DATOS'!H396-ROUND('DATOS'!H396,'REFERENCIAS'!$H$8))&gt;0.00000001,ABS('DATOS'!J396-ROUND('DATOS'!J396,'REFERENCIAS'!$K$8))&gt;0.00000001,IF(ISNUMBER('DATOS'!I396),ABS('DATOS'!I396-ROUND('DATOS'!I396,'REFERENCIAS'!$H$8))&gt;0.00000001,FALSE)),1,0)))),2)</f>
      </c>
      <c r="T396" s="29">
        <f>IFERROR(IF(N396=0,"",IF(NOT(AND(LEN(TRIM('DATOS'!F396&amp;""))&gt;0,TRIM('DATOS'!F396&amp;"")&lt;&gt;"Pendiente",TRIM('DATOS'!F396&amp;"")&lt;&gt;"Por confirmar",TRIM('DATOS'!F396&amp;"")&lt;&gt;"No consta",TRIM('DATOS'!F396&amp;"")&lt;&gt;"Desconocido",TRIM('DATOS'!F396&amp;"")&lt;&gt;"Sin confirmar",TRIM('DATOS'!F396&amp;"")&lt;&gt;"Por decidir",TRIM('DATOS'!F396&amp;"")&lt;&gt;"Por comprobar")),2,IF(COUNTIFS('REFERENCIAS'!$T$15:$T$34,"ID:"&amp;SUBSTITUTE(SUBSTITUTE(SUBSTITUTE(SUBSTITUTE(UPPER(TRIM('DATOS'!F396&amp;"")),"!","!E"),"*","!A"),"?","!B"),"~","!C"),'REFERENCIAS'!$H$15:$H$34,"&lt;&gt;")&gt;0,0,1))),2)</f>
      </c>
      <c r="U396" s="29" t="str">
        <f>'DATOS'!R396</f>
        <v>ID:</v>
      </c>
      <c r="V396" s="29" t="str">
        <f>'DATOS'!S396</f>
        <v>ID:</v>
      </c>
      <c r="W396" s="29" t="n">
        <f>IF(N396=0,0,COUNTIFS('REFERENCIAS'!$R$15:$R$64,U396))</f>
        <v>0</v>
      </c>
      <c r="X396" s="29" t="n">
        <f>IF(N396=0,0,COUNTIFS('DATOS'!$R$10:$R$509,U396,'DATOS'!$S$10:$S$509,V396))</f>
        <v>0</v>
      </c>
      <c r="Y396" s="29" t="n">
        <f>IF(AND(ISNUMBER('DATOS'!G396),ISNUMBER('DATOS'!H396),ISNUMBER('DATOS'!J396)),1,0)</f>
        <v>0</v>
      </c>
    </row>
    <row r="397" ht="64" customHeight="1">
      <c r="B397" s="26">
        <f>IF(N397=1,388,"")</f>
      </c>
      <c r="C397" s="26">
        <f>IF(AND(N397=1,LEN(TRIM('DATOS'!B397&amp;""))&gt;0),'DATOS'!B397,"")</f>
      </c>
      <c r="D397" s="26">
        <f>IF(AND(N397=1,LEN(TRIM('DATOS'!C397&amp;""))&gt;0),'DATOS'!C397,"")</f>
      </c>
      <c r="E397" s="26">
        <f>IF(NOT(ISNUMBER(P397)),"",IF(P397=2,"ROJO",IF(P397=1,"ÁMBAR","VERDE")))</f>
      </c>
      <c r="F397" s="26">
        <f>IF(NOT(ISNUMBER(Q397)),"",IF(Q397=2,"ROJO",IF(Q397=1,"ÁMBAR","VERDE")))</f>
      </c>
      <c r="G397" s="26">
        <f>IF(NOT(ISNUMBER(R397)),"",IF(R397=2,"ROJO",IF(R397=1,"ÁMBAR","VERDE")))</f>
      </c>
      <c r="H397" s="26">
        <f>IF(NOT(ISNUMBER(S397)),"",IF(S397=2,"ROJO",IF(S397=1,"ÁMBAR","VERDE")))</f>
      </c>
      <c r="I397" s="26">
        <f>IF(NOT(ISNUMBER(T397)),"",IF(T397=2,"ROJO",IF(T397=1,"ÁMBAR","VERDE")))</f>
      </c>
      <c r="J397" s="26">
        <f>IF(NOT(ISNUMBER(O397)),"",IF(O397=2,"ROJO",IF(O397=1,"ÁMBAR","VERDE")))</f>
      </c>
      <c r="K397" s="26">
        <f>IFERROR(IF(AND(N397=1,LEN(TRIM('DATOS'!N397&amp;""))&gt;0),'DATOS'!N397,""),"Hay una entrada con error. Corregimos el dato antes de cerrar la comprobación.")</f>
      </c>
      <c r="L397" s="26">
        <f>IFERROR(IF(N397=0,"",IF(O397&gt;0,"Completamos datos, claves o motivo. ","")&amp;IF(P397&gt;0,"Cotejamos precios e importe. ","")&amp;IF(Q397&gt;0,"Aclaramos el cero. ","")&amp;IF(R397&gt;0,"Comprobamos el texto. ","")&amp;IF(S397&gt;0,"Revisamos decimales visibles. ","")&amp;IF(T397&gt;0,"Confirmamos la unidad.","")),"Hay una entrada con error. Corregimos el dato antes de cerrar la comprobación.")</f>
      </c>
      <c r="N397" s="29" t="n">
        <f>IF(COUNTA('DATOS'!B397:O397)&gt;0,1,0)</f>
        <v>0</v>
      </c>
      <c r="O397" s="29">
        <f>IFERROR(IF(N397=0,"",IF(OR(NOT(AND(LEN(TRIM('DATOS'!B397&amp;""))&gt;0,TRIM('DATOS'!B397&amp;"")&lt;&gt;"Pendiente",TRIM('DATOS'!B397&amp;"")&lt;&gt;"Por confirmar",TRIM('DATOS'!B397&amp;"")&lt;&gt;"No consta",TRIM('DATOS'!B397&amp;"")&lt;&gt;"Desconocido",TRIM('DATOS'!B397&amp;"")&lt;&gt;"Sin confirmar",TRIM('DATOS'!B397&amp;"")&lt;&gt;"Por decidir",TRIM('DATOS'!B397&amp;"")&lt;&gt;"Por comprobar")),NOT(AND(LEN(TRIM('DATOS'!C397&amp;""))&gt;0,TRIM('DATOS'!C397&amp;"")&lt;&gt;"Pendiente",TRIM('DATOS'!C397&amp;"")&lt;&gt;"Por confirmar",TRIM('DATOS'!C397&amp;"")&lt;&gt;"No consta",TRIM('DATOS'!C397&amp;"")&lt;&gt;"Desconocido",TRIM('DATOS'!C397&amp;"")&lt;&gt;"Sin confirmar",TRIM('DATOS'!C397&amp;"")&lt;&gt;"Por decidir",TRIM('DATOS'!C397&amp;"")&lt;&gt;"Por comprobar")),NOT(AND(LEN(TRIM('DATOS'!D397&amp;""))&gt;0,TRIM('DATOS'!D397&amp;"")&lt;&gt;"Pendiente",TRIM('DATOS'!D397&amp;"")&lt;&gt;"Por confirmar",TRIM('DATOS'!D397&amp;"")&lt;&gt;"No consta",TRIM('DATOS'!D397&amp;"")&lt;&gt;"Desconocido",TRIM('DATOS'!D397&amp;"")&lt;&gt;"Sin confirmar",TRIM('DATOS'!D397&amp;"")&lt;&gt;"Por decidir",TRIM('DATOS'!D397&amp;"")&lt;&gt;"Por comprobar")),NOT(AND(LEN(TRIM('DATOS'!E397&amp;""))&gt;0,TRIM('DATOS'!E397&amp;"")&lt;&gt;"Pendiente",TRIM('DATOS'!E397&amp;"")&lt;&gt;"Por confirmar",TRIM('DATOS'!E397&amp;"")&lt;&gt;"No consta",TRIM('DATOS'!E397&amp;"")&lt;&gt;"Desconocido",TRIM('DATOS'!E397&amp;"")&lt;&gt;"Sin confirmar",TRIM('DATOS'!E397&amp;"")&lt;&gt;"Por decidir",TRIM('DATOS'!E397&amp;"")&lt;&gt;"Por comprobar")),NOT(AND(LEN(TRIM('DATOS'!F397&amp;""))&gt;0,TRIM('DATOS'!F397&amp;"")&lt;&gt;"Pendiente",TRIM('DATOS'!F397&amp;"")&lt;&gt;"Por confirmar",TRIM('DATOS'!F397&amp;"")&lt;&gt;"No consta",TRIM('DATOS'!F397&amp;"")&lt;&gt;"Desconocido",TRIM('DATOS'!F397&amp;"")&lt;&gt;"Sin confirmar",TRIM('DATOS'!F397&amp;"")&lt;&gt;"Por decidir",TRIM('DATOS'!F397&amp;"")&lt;&gt;"Por comprobar")),NOT(AND(LEN(TRIM('DATOS'!N397&amp;""))&gt;0,TRIM('DATOS'!N397&amp;"")&lt;&gt;"Pendiente",TRIM('DATOS'!N397&amp;"")&lt;&gt;"Por confirmar",TRIM('DATOS'!N397&amp;"")&lt;&gt;"No consta",TRIM('DATOS'!N397&amp;"")&lt;&gt;"Desconocido",TRIM('DATOS'!N397&amp;"")&lt;&gt;"Sin confirmar",TRIM('DATOS'!N397&amp;"")&lt;&gt;"Por decidir",TRIM('DATOS'!N397&amp;"")&lt;&gt;"Por comprobar")),NOT(Y397=1),W397&lt;&gt;1,X397&gt;1,NOT(OR(LEN(TRIM('DATOS'!K397&amp;""))=0,'DATOS'!K397="Sin valorar",'DATOS'!K397="Sin coste documentado",'DATOS'!K397="Incluido en otra partida",'DATOS'!K397="Por confirmar")),NOT(OR(LEN(TRIM('DATOS'!M397&amp;""))=0,'DATOS'!M397="Sí",'DATOS'!M397="No",'DATOS'!M397="Por confirmar")),NOT(OR(LEN(TRIM('DATOS'!O397&amp;""))=0,'DATOS'!O397="Comparamos",'DATOS'!O397="No existe",'DATOS'!O397="Por confirmar"))),2,IF(AND(OR('DATOS'!G397&lt;0,'DATOS'!H397&lt;0,'DATOS'!J397&lt;0),NOT(AND(LEN(TRIM('DATOS'!L397&amp;""))&gt;0,TRIM('DATOS'!L397&amp;"")&lt;&gt;"Pendiente",TRIM('DATOS'!L397&amp;"")&lt;&gt;"Por confirmar",TRIM('DATOS'!L397&amp;"")&lt;&gt;"No consta",TRIM('DATOS'!L397&amp;"")&lt;&gt;"Desconocido",TRIM('DATOS'!L397&amp;"")&lt;&gt;"Sin confirmar",TRIM('DATOS'!L397&amp;"")&lt;&gt;"Por decidir",TRIM('DATOS'!L397&amp;"")&lt;&gt;"Por comprobar"))),1,0))),2)</f>
      </c>
      <c r="P397" s="29">
        <f>IFERROR(IF(N397=0,"",IF(NOT(Y397=1),1,IF('REFERENCIAS'!$Q$8&lt;&gt;1,2,IF(ABS('DATOS'!J397-ROUND('DATOS'!G397*'DATOS'!H397,'REFERENCIAS'!$K$8))&gt;0.00000001,2,IF('DATOS'!O397="No existe",IF(LEN(TRIM('DATOS'!I397&amp;""))=0,0,2),IF('DATOS'!O397="Comparamos",IF(LEN(TRIM('DATOS'!I397&amp;""))=0,1,IF(ISNUMBER('DATOS'!I397),IF(ABS('DATOS'!H397-'DATOS'!I397)&gt;0.00000001,2,0),2)),1)))))),2)</f>
      </c>
      <c r="Q397" s="29">
        <f>IFERROR(IF(N397=0,"",IF(NOT(Y397=1),1,IF('DATOS'!K397="Sin valorar",2,IF('DATOS'!G397=0,1,IF(OR('DATOS'!H397=0,'DATOS'!J397=0),IF(AND(OR('DATOS'!K397="Sin coste documentado",'DATOS'!K397="Incluido en otra partida"),AND(LEN(TRIM('DATOS'!L397&amp;""))&gt;0,TRIM('DATOS'!L397&amp;"")&lt;&gt;"Pendiente",TRIM('DATOS'!L397&amp;"")&lt;&gt;"Por confirmar",TRIM('DATOS'!L397&amp;"")&lt;&gt;"No consta",TRIM('DATOS'!L397&amp;"")&lt;&gt;"Desconocido",TRIM('DATOS'!L397&amp;"")&lt;&gt;"Sin confirmar",TRIM('DATOS'!L397&amp;"")&lt;&gt;"Por decidir",TRIM('DATOS'!L397&amp;"")&lt;&gt;"Por comprobar")),0,1),0))))),2)</f>
      </c>
      <c r="R397" s="29">
        <f>IFERROR(IF(N397=0,"",IF(OR(NOT(AND(LEN(TRIM('DATOS'!D397&amp;""))&gt;0,TRIM('DATOS'!D397&amp;"")&lt;&gt;"Pendiente",TRIM('DATOS'!D397&amp;"")&lt;&gt;"Por confirmar",TRIM('DATOS'!D397&amp;"")&lt;&gt;"No consta",TRIM('DATOS'!D397&amp;"")&lt;&gt;"Desconocido",TRIM('DATOS'!D397&amp;"")&lt;&gt;"Sin confirmar",TRIM('DATOS'!D397&amp;"")&lt;&gt;"Por decidir",TRIM('DATOS'!D397&amp;"")&lt;&gt;"Por comprobar")),NOT(AND(LEN(TRIM('DATOS'!E397&amp;""))&gt;0,TRIM('DATOS'!E397&amp;"")&lt;&gt;"Pendiente",TRIM('DATOS'!E397&amp;"")&lt;&gt;"Por confirmar",TRIM('DATOS'!E397&amp;"")&lt;&gt;"No consta",TRIM('DATOS'!E397&amp;"")&lt;&gt;"Desconocido",TRIM('DATOS'!E397&amp;"")&lt;&gt;"Sin confirmar",TRIM('DATOS'!E397&amp;"")&lt;&gt;"Por decidir",TRIM('DATOS'!E397&amp;"")&lt;&gt;"Por comprobar"))),2,IF('DATOS'!M397="No",2,IF('DATOS'!M397="Sí",0,IF(OR('DATOS'!D397&lt;&gt;'DATOS'!E397,LEN('DATOS'!E397)&gt;300,RIGHT(TRIM('DATOS'!E397),3)="...",RIGHT(TRIM('DATOS'!E397),1)="…"),1,0))))),2)</f>
      </c>
      <c r="S397" s="29">
        <f>IFERROR(IF(N397=0,"",IF('REFERENCIAS'!$Q$8&lt;&gt;1,2,IF(NOT(Y397=1),1,IF(OR(ABS('DATOS'!G397-ROUND('DATOS'!G397,'REFERENCIAS'!$E$8))&gt;0.00000001,ABS('DATOS'!H397-ROUND('DATOS'!H397,'REFERENCIAS'!$H$8))&gt;0.00000001,ABS('DATOS'!J397-ROUND('DATOS'!J397,'REFERENCIAS'!$K$8))&gt;0.00000001,IF(ISNUMBER('DATOS'!I397),ABS('DATOS'!I397-ROUND('DATOS'!I397,'REFERENCIAS'!$H$8))&gt;0.00000001,FALSE)),1,0)))),2)</f>
      </c>
      <c r="T397" s="29">
        <f>IFERROR(IF(N397=0,"",IF(NOT(AND(LEN(TRIM('DATOS'!F397&amp;""))&gt;0,TRIM('DATOS'!F397&amp;"")&lt;&gt;"Pendiente",TRIM('DATOS'!F397&amp;"")&lt;&gt;"Por confirmar",TRIM('DATOS'!F397&amp;"")&lt;&gt;"No consta",TRIM('DATOS'!F397&amp;"")&lt;&gt;"Desconocido",TRIM('DATOS'!F397&amp;"")&lt;&gt;"Sin confirmar",TRIM('DATOS'!F397&amp;"")&lt;&gt;"Por decidir",TRIM('DATOS'!F397&amp;"")&lt;&gt;"Por comprobar")),2,IF(COUNTIFS('REFERENCIAS'!$T$15:$T$34,"ID:"&amp;SUBSTITUTE(SUBSTITUTE(SUBSTITUTE(SUBSTITUTE(UPPER(TRIM('DATOS'!F397&amp;"")),"!","!E"),"*","!A"),"?","!B"),"~","!C"),'REFERENCIAS'!$H$15:$H$34,"&lt;&gt;")&gt;0,0,1))),2)</f>
      </c>
      <c r="U397" s="29" t="str">
        <f>'DATOS'!R397</f>
        <v>ID:</v>
      </c>
      <c r="V397" s="29" t="str">
        <f>'DATOS'!S397</f>
        <v>ID:</v>
      </c>
      <c r="W397" s="29" t="n">
        <f>IF(N397=0,0,COUNTIFS('REFERENCIAS'!$R$15:$R$64,U397))</f>
        <v>0</v>
      </c>
      <c r="X397" s="29" t="n">
        <f>IF(N397=0,0,COUNTIFS('DATOS'!$R$10:$R$509,U397,'DATOS'!$S$10:$S$509,V397))</f>
        <v>0</v>
      </c>
      <c r="Y397" s="29" t="n">
        <f>IF(AND(ISNUMBER('DATOS'!G397),ISNUMBER('DATOS'!H397),ISNUMBER('DATOS'!J397)),1,0)</f>
        <v>0</v>
      </c>
    </row>
    <row r="398" ht="64" customHeight="1">
      <c r="B398" s="26">
        <f>IF(N398=1,389,"")</f>
      </c>
      <c r="C398" s="26">
        <f>IF(AND(N398=1,LEN(TRIM('DATOS'!B398&amp;""))&gt;0),'DATOS'!B398,"")</f>
      </c>
      <c r="D398" s="26">
        <f>IF(AND(N398=1,LEN(TRIM('DATOS'!C398&amp;""))&gt;0),'DATOS'!C398,"")</f>
      </c>
      <c r="E398" s="26">
        <f>IF(NOT(ISNUMBER(P398)),"",IF(P398=2,"ROJO",IF(P398=1,"ÁMBAR","VERDE")))</f>
      </c>
      <c r="F398" s="26">
        <f>IF(NOT(ISNUMBER(Q398)),"",IF(Q398=2,"ROJO",IF(Q398=1,"ÁMBAR","VERDE")))</f>
      </c>
      <c r="G398" s="26">
        <f>IF(NOT(ISNUMBER(R398)),"",IF(R398=2,"ROJO",IF(R398=1,"ÁMBAR","VERDE")))</f>
      </c>
      <c r="H398" s="26">
        <f>IF(NOT(ISNUMBER(S398)),"",IF(S398=2,"ROJO",IF(S398=1,"ÁMBAR","VERDE")))</f>
      </c>
      <c r="I398" s="26">
        <f>IF(NOT(ISNUMBER(T398)),"",IF(T398=2,"ROJO",IF(T398=1,"ÁMBAR","VERDE")))</f>
      </c>
      <c r="J398" s="26">
        <f>IF(NOT(ISNUMBER(O398)),"",IF(O398=2,"ROJO",IF(O398=1,"ÁMBAR","VERDE")))</f>
      </c>
      <c r="K398" s="26">
        <f>IFERROR(IF(AND(N398=1,LEN(TRIM('DATOS'!N398&amp;""))&gt;0),'DATOS'!N398,""),"Hay una entrada con error. Corregimos el dato antes de cerrar la comprobación.")</f>
      </c>
      <c r="L398" s="26">
        <f>IFERROR(IF(N398=0,"",IF(O398&gt;0,"Completamos datos, claves o motivo. ","")&amp;IF(P398&gt;0,"Cotejamos precios e importe. ","")&amp;IF(Q398&gt;0,"Aclaramos el cero. ","")&amp;IF(R398&gt;0,"Comprobamos el texto. ","")&amp;IF(S398&gt;0,"Revisamos decimales visibles. ","")&amp;IF(T398&gt;0,"Confirmamos la unidad.","")),"Hay una entrada con error. Corregimos el dato antes de cerrar la comprobación.")</f>
      </c>
      <c r="N398" s="29" t="n">
        <f>IF(COUNTA('DATOS'!B398:O398)&gt;0,1,0)</f>
        <v>0</v>
      </c>
      <c r="O398" s="29">
        <f>IFERROR(IF(N398=0,"",IF(OR(NOT(AND(LEN(TRIM('DATOS'!B398&amp;""))&gt;0,TRIM('DATOS'!B398&amp;"")&lt;&gt;"Pendiente",TRIM('DATOS'!B398&amp;"")&lt;&gt;"Por confirmar",TRIM('DATOS'!B398&amp;"")&lt;&gt;"No consta",TRIM('DATOS'!B398&amp;"")&lt;&gt;"Desconocido",TRIM('DATOS'!B398&amp;"")&lt;&gt;"Sin confirmar",TRIM('DATOS'!B398&amp;"")&lt;&gt;"Por decidir",TRIM('DATOS'!B398&amp;"")&lt;&gt;"Por comprobar")),NOT(AND(LEN(TRIM('DATOS'!C398&amp;""))&gt;0,TRIM('DATOS'!C398&amp;"")&lt;&gt;"Pendiente",TRIM('DATOS'!C398&amp;"")&lt;&gt;"Por confirmar",TRIM('DATOS'!C398&amp;"")&lt;&gt;"No consta",TRIM('DATOS'!C398&amp;"")&lt;&gt;"Desconocido",TRIM('DATOS'!C398&amp;"")&lt;&gt;"Sin confirmar",TRIM('DATOS'!C398&amp;"")&lt;&gt;"Por decidir",TRIM('DATOS'!C398&amp;"")&lt;&gt;"Por comprobar")),NOT(AND(LEN(TRIM('DATOS'!D398&amp;""))&gt;0,TRIM('DATOS'!D398&amp;"")&lt;&gt;"Pendiente",TRIM('DATOS'!D398&amp;"")&lt;&gt;"Por confirmar",TRIM('DATOS'!D398&amp;"")&lt;&gt;"No consta",TRIM('DATOS'!D398&amp;"")&lt;&gt;"Desconocido",TRIM('DATOS'!D398&amp;"")&lt;&gt;"Sin confirmar",TRIM('DATOS'!D398&amp;"")&lt;&gt;"Por decidir",TRIM('DATOS'!D398&amp;"")&lt;&gt;"Por comprobar")),NOT(AND(LEN(TRIM('DATOS'!E398&amp;""))&gt;0,TRIM('DATOS'!E398&amp;"")&lt;&gt;"Pendiente",TRIM('DATOS'!E398&amp;"")&lt;&gt;"Por confirmar",TRIM('DATOS'!E398&amp;"")&lt;&gt;"No consta",TRIM('DATOS'!E398&amp;"")&lt;&gt;"Desconocido",TRIM('DATOS'!E398&amp;"")&lt;&gt;"Sin confirmar",TRIM('DATOS'!E398&amp;"")&lt;&gt;"Por decidir",TRIM('DATOS'!E398&amp;"")&lt;&gt;"Por comprobar")),NOT(AND(LEN(TRIM('DATOS'!F398&amp;""))&gt;0,TRIM('DATOS'!F398&amp;"")&lt;&gt;"Pendiente",TRIM('DATOS'!F398&amp;"")&lt;&gt;"Por confirmar",TRIM('DATOS'!F398&amp;"")&lt;&gt;"No consta",TRIM('DATOS'!F398&amp;"")&lt;&gt;"Desconocido",TRIM('DATOS'!F398&amp;"")&lt;&gt;"Sin confirmar",TRIM('DATOS'!F398&amp;"")&lt;&gt;"Por decidir",TRIM('DATOS'!F398&amp;"")&lt;&gt;"Por comprobar")),NOT(AND(LEN(TRIM('DATOS'!N398&amp;""))&gt;0,TRIM('DATOS'!N398&amp;"")&lt;&gt;"Pendiente",TRIM('DATOS'!N398&amp;"")&lt;&gt;"Por confirmar",TRIM('DATOS'!N398&amp;"")&lt;&gt;"No consta",TRIM('DATOS'!N398&amp;"")&lt;&gt;"Desconocido",TRIM('DATOS'!N398&amp;"")&lt;&gt;"Sin confirmar",TRIM('DATOS'!N398&amp;"")&lt;&gt;"Por decidir",TRIM('DATOS'!N398&amp;"")&lt;&gt;"Por comprobar")),NOT(Y398=1),W398&lt;&gt;1,X398&gt;1,NOT(OR(LEN(TRIM('DATOS'!K398&amp;""))=0,'DATOS'!K398="Sin valorar",'DATOS'!K398="Sin coste documentado",'DATOS'!K398="Incluido en otra partida",'DATOS'!K398="Por confirmar")),NOT(OR(LEN(TRIM('DATOS'!M398&amp;""))=0,'DATOS'!M398="Sí",'DATOS'!M398="No",'DATOS'!M398="Por confirmar")),NOT(OR(LEN(TRIM('DATOS'!O398&amp;""))=0,'DATOS'!O398="Comparamos",'DATOS'!O398="No existe",'DATOS'!O398="Por confirmar"))),2,IF(AND(OR('DATOS'!G398&lt;0,'DATOS'!H398&lt;0,'DATOS'!J398&lt;0),NOT(AND(LEN(TRIM('DATOS'!L398&amp;""))&gt;0,TRIM('DATOS'!L398&amp;"")&lt;&gt;"Pendiente",TRIM('DATOS'!L398&amp;"")&lt;&gt;"Por confirmar",TRIM('DATOS'!L398&amp;"")&lt;&gt;"No consta",TRIM('DATOS'!L398&amp;"")&lt;&gt;"Desconocido",TRIM('DATOS'!L398&amp;"")&lt;&gt;"Sin confirmar",TRIM('DATOS'!L398&amp;"")&lt;&gt;"Por decidir",TRIM('DATOS'!L398&amp;"")&lt;&gt;"Por comprobar"))),1,0))),2)</f>
      </c>
      <c r="P398" s="29">
        <f>IFERROR(IF(N398=0,"",IF(NOT(Y398=1),1,IF('REFERENCIAS'!$Q$8&lt;&gt;1,2,IF(ABS('DATOS'!J398-ROUND('DATOS'!G398*'DATOS'!H398,'REFERENCIAS'!$K$8))&gt;0.00000001,2,IF('DATOS'!O398="No existe",IF(LEN(TRIM('DATOS'!I398&amp;""))=0,0,2),IF('DATOS'!O398="Comparamos",IF(LEN(TRIM('DATOS'!I398&amp;""))=0,1,IF(ISNUMBER('DATOS'!I398),IF(ABS('DATOS'!H398-'DATOS'!I398)&gt;0.00000001,2,0),2)),1)))))),2)</f>
      </c>
      <c r="Q398" s="29">
        <f>IFERROR(IF(N398=0,"",IF(NOT(Y398=1),1,IF('DATOS'!K398="Sin valorar",2,IF('DATOS'!G398=0,1,IF(OR('DATOS'!H398=0,'DATOS'!J398=0),IF(AND(OR('DATOS'!K398="Sin coste documentado",'DATOS'!K398="Incluido en otra partida"),AND(LEN(TRIM('DATOS'!L398&amp;""))&gt;0,TRIM('DATOS'!L398&amp;"")&lt;&gt;"Pendiente",TRIM('DATOS'!L398&amp;"")&lt;&gt;"Por confirmar",TRIM('DATOS'!L398&amp;"")&lt;&gt;"No consta",TRIM('DATOS'!L398&amp;"")&lt;&gt;"Desconocido",TRIM('DATOS'!L398&amp;"")&lt;&gt;"Sin confirmar",TRIM('DATOS'!L398&amp;"")&lt;&gt;"Por decidir",TRIM('DATOS'!L398&amp;"")&lt;&gt;"Por comprobar")),0,1),0))))),2)</f>
      </c>
      <c r="R398" s="29">
        <f>IFERROR(IF(N398=0,"",IF(OR(NOT(AND(LEN(TRIM('DATOS'!D398&amp;""))&gt;0,TRIM('DATOS'!D398&amp;"")&lt;&gt;"Pendiente",TRIM('DATOS'!D398&amp;"")&lt;&gt;"Por confirmar",TRIM('DATOS'!D398&amp;"")&lt;&gt;"No consta",TRIM('DATOS'!D398&amp;"")&lt;&gt;"Desconocido",TRIM('DATOS'!D398&amp;"")&lt;&gt;"Sin confirmar",TRIM('DATOS'!D398&amp;"")&lt;&gt;"Por decidir",TRIM('DATOS'!D398&amp;"")&lt;&gt;"Por comprobar")),NOT(AND(LEN(TRIM('DATOS'!E398&amp;""))&gt;0,TRIM('DATOS'!E398&amp;"")&lt;&gt;"Pendiente",TRIM('DATOS'!E398&amp;"")&lt;&gt;"Por confirmar",TRIM('DATOS'!E398&amp;"")&lt;&gt;"No consta",TRIM('DATOS'!E398&amp;"")&lt;&gt;"Desconocido",TRIM('DATOS'!E398&amp;"")&lt;&gt;"Sin confirmar",TRIM('DATOS'!E398&amp;"")&lt;&gt;"Por decidir",TRIM('DATOS'!E398&amp;"")&lt;&gt;"Por comprobar"))),2,IF('DATOS'!M398="No",2,IF('DATOS'!M398="Sí",0,IF(OR('DATOS'!D398&lt;&gt;'DATOS'!E398,LEN('DATOS'!E398)&gt;300,RIGHT(TRIM('DATOS'!E398),3)="...",RIGHT(TRIM('DATOS'!E398),1)="…"),1,0))))),2)</f>
      </c>
      <c r="S398" s="29">
        <f>IFERROR(IF(N398=0,"",IF('REFERENCIAS'!$Q$8&lt;&gt;1,2,IF(NOT(Y398=1),1,IF(OR(ABS('DATOS'!G398-ROUND('DATOS'!G398,'REFERENCIAS'!$E$8))&gt;0.00000001,ABS('DATOS'!H398-ROUND('DATOS'!H398,'REFERENCIAS'!$H$8))&gt;0.00000001,ABS('DATOS'!J398-ROUND('DATOS'!J398,'REFERENCIAS'!$K$8))&gt;0.00000001,IF(ISNUMBER('DATOS'!I398),ABS('DATOS'!I398-ROUND('DATOS'!I398,'REFERENCIAS'!$H$8))&gt;0.00000001,FALSE)),1,0)))),2)</f>
      </c>
      <c r="T398" s="29">
        <f>IFERROR(IF(N398=0,"",IF(NOT(AND(LEN(TRIM('DATOS'!F398&amp;""))&gt;0,TRIM('DATOS'!F398&amp;"")&lt;&gt;"Pendiente",TRIM('DATOS'!F398&amp;"")&lt;&gt;"Por confirmar",TRIM('DATOS'!F398&amp;"")&lt;&gt;"No consta",TRIM('DATOS'!F398&amp;"")&lt;&gt;"Desconocido",TRIM('DATOS'!F398&amp;"")&lt;&gt;"Sin confirmar",TRIM('DATOS'!F398&amp;"")&lt;&gt;"Por decidir",TRIM('DATOS'!F398&amp;"")&lt;&gt;"Por comprobar")),2,IF(COUNTIFS('REFERENCIAS'!$T$15:$T$34,"ID:"&amp;SUBSTITUTE(SUBSTITUTE(SUBSTITUTE(SUBSTITUTE(UPPER(TRIM('DATOS'!F398&amp;"")),"!","!E"),"*","!A"),"?","!B"),"~","!C"),'REFERENCIAS'!$H$15:$H$34,"&lt;&gt;")&gt;0,0,1))),2)</f>
      </c>
      <c r="U398" s="29" t="str">
        <f>'DATOS'!R398</f>
        <v>ID:</v>
      </c>
      <c r="V398" s="29" t="str">
        <f>'DATOS'!S398</f>
        <v>ID:</v>
      </c>
      <c r="W398" s="29" t="n">
        <f>IF(N398=0,0,COUNTIFS('REFERENCIAS'!$R$15:$R$64,U398))</f>
        <v>0</v>
      </c>
      <c r="X398" s="29" t="n">
        <f>IF(N398=0,0,COUNTIFS('DATOS'!$R$10:$R$509,U398,'DATOS'!$S$10:$S$509,V398))</f>
        <v>0</v>
      </c>
      <c r="Y398" s="29" t="n">
        <f>IF(AND(ISNUMBER('DATOS'!G398),ISNUMBER('DATOS'!H398),ISNUMBER('DATOS'!J398)),1,0)</f>
        <v>0</v>
      </c>
    </row>
    <row r="399" ht="64" customHeight="1">
      <c r="B399" s="26">
        <f>IF(N399=1,390,"")</f>
      </c>
      <c r="C399" s="26">
        <f>IF(AND(N399=1,LEN(TRIM('DATOS'!B399&amp;""))&gt;0),'DATOS'!B399,"")</f>
      </c>
      <c r="D399" s="26">
        <f>IF(AND(N399=1,LEN(TRIM('DATOS'!C399&amp;""))&gt;0),'DATOS'!C399,"")</f>
      </c>
      <c r="E399" s="26">
        <f>IF(NOT(ISNUMBER(P399)),"",IF(P399=2,"ROJO",IF(P399=1,"ÁMBAR","VERDE")))</f>
      </c>
      <c r="F399" s="26">
        <f>IF(NOT(ISNUMBER(Q399)),"",IF(Q399=2,"ROJO",IF(Q399=1,"ÁMBAR","VERDE")))</f>
      </c>
      <c r="G399" s="26">
        <f>IF(NOT(ISNUMBER(R399)),"",IF(R399=2,"ROJO",IF(R399=1,"ÁMBAR","VERDE")))</f>
      </c>
      <c r="H399" s="26">
        <f>IF(NOT(ISNUMBER(S399)),"",IF(S399=2,"ROJO",IF(S399=1,"ÁMBAR","VERDE")))</f>
      </c>
      <c r="I399" s="26">
        <f>IF(NOT(ISNUMBER(T399)),"",IF(T399=2,"ROJO",IF(T399=1,"ÁMBAR","VERDE")))</f>
      </c>
      <c r="J399" s="26">
        <f>IF(NOT(ISNUMBER(O399)),"",IF(O399=2,"ROJO",IF(O399=1,"ÁMBAR","VERDE")))</f>
      </c>
      <c r="K399" s="26">
        <f>IFERROR(IF(AND(N399=1,LEN(TRIM('DATOS'!N399&amp;""))&gt;0),'DATOS'!N399,""),"Hay una entrada con error. Corregimos el dato antes de cerrar la comprobación.")</f>
      </c>
      <c r="L399" s="26">
        <f>IFERROR(IF(N399=0,"",IF(O399&gt;0,"Completamos datos, claves o motivo. ","")&amp;IF(P399&gt;0,"Cotejamos precios e importe. ","")&amp;IF(Q399&gt;0,"Aclaramos el cero. ","")&amp;IF(R399&gt;0,"Comprobamos el texto. ","")&amp;IF(S399&gt;0,"Revisamos decimales visibles. ","")&amp;IF(T399&gt;0,"Confirmamos la unidad.","")),"Hay una entrada con error. Corregimos el dato antes de cerrar la comprobación.")</f>
      </c>
      <c r="N399" s="29" t="n">
        <f>IF(COUNTA('DATOS'!B399:O399)&gt;0,1,0)</f>
        <v>0</v>
      </c>
      <c r="O399" s="29">
        <f>IFERROR(IF(N399=0,"",IF(OR(NOT(AND(LEN(TRIM('DATOS'!B399&amp;""))&gt;0,TRIM('DATOS'!B399&amp;"")&lt;&gt;"Pendiente",TRIM('DATOS'!B399&amp;"")&lt;&gt;"Por confirmar",TRIM('DATOS'!B399&amp;"")&lt;&gt;"No consta",TRIM('DATOS'!B399&amp;"")&lt;&gt;"Desconocido",TRIM('DATOS'!B399&amp;"")&lt;&gt;"Sin confirmar",TRIM('DATOS'!B399&amp;"")&lt;&gt;"Por decidir",TRIM('DATOS'!B399&amp;"")&lt;&gt;"Por comprobar")),NOT(AND(LEN(TRIM('DATOS'!C399&amp;""))&gt;0,TRIM('DATOS'!C399&amp;"")&lt;&gt;"Pendiente",TRIM('DATOS'!C399&amp;"")&lt;&gt;"Por confirmar",TRIM('DATOS'!C399&amp;"")&lt;&gt;"No consta",TRIM('DATOS'!C399&amp;"")&lt;&gt;"Desconocido",TRIM('DATOS'!C399&amp;"")&lt;&gt;"Sin confirmar",TRIM('DATOS'!C399&amp;"")&lt;&gt;"Por decidir",TRIM('DATOS'!C399&amp;"")&lt;&gt;"Por comprobar")),NOT(AND(LEN(TRIM('DATOS'!D399&amp;""))&gt;0,TRIM('DATOS'!D399&amp;"")&lt;&gt;"Pendiente",TRIM('DATOS'!D399&amp;"")&lt;&gt;"Por confirmar",TRIM('DATOS'!D399&amp;"")&lt;&gt;"No consta",TRIM('DATOS'!D399&amp;"")&lt;&gt;"Desconocido",TRIM('DATOS'!D399&amp;"")&lt;&gt;"Sin confirmar",TRIM('DATOS'!D399&amp;"")&lt;&gt;"Por decidir",TRIM('DATOS'!D399&amp;"")&lt;&gt;"Por comprobar")),NOT(AND(LEN(TRIM('DATOS'!E399&amp;""))&gt;0,TRIM('DATOS'!E399&amp;"")&lt;&gt;"Pendiente",TRIM('DATOS'!E399&amp;"")&lt;&gt;"Por confirmar",TRIM('DATOS'!E399&amp;"")&lt;&gt;"No consta",TRIM('DATOS'!E399&amp;"")&lt;&gt;"Desconocido",TRIM('DATOS'!E399&amp;"")&lt;&gt;"Sin confirmar",TRIM('DATOS'!E399&amp;"")&lt;&gt;"Por decidir",TRIM('DATOS'!E399&amp;"")&lt;&gt;"Por comprobar")),NOT(AND(LEN(TRIM('DATOS'!F399&amp;""))&gt;0,TRIM('DATOS'!F399&amp;"")&lt;&gt;"Pendiente",TRIM('DATOS'!F399&amp;"")&lt;&gt;"Por confirmar",TRIM('DATOS'!F399&amp;"")&lt;&gt;"No consta",TRIM('DATOS'!F399&amp;"")&lt;&gt;"Desconocido",TRIM('DATOS'!F399&amp;"")&lt;&gt;"Sin confirmar",TRIM('DATOS'!F399&amp;"")&lt;&gt;"Por decidir",TRIM('DATOS'!F399&amp;"")&lt;&gt;"Por comprobar")),NOT(AND(LEN(TRIM('DATOS'!N399&amp;""))&gt;0,TRIM('DATOS'!N399&amp;"")&lt;&gt;"Pendiente",TRIM('DATOS'!N399&amp;"")&lt;&gt;"Por confirmar",TRIM('DATOS'!N399&amp;"")&lt;&gt;"No consta",TRIM('DATOS'!N399&amp;"")&lt;&gt;"Desconocido",TRIM('DATOS'!N399&amp;"")&lt;&gt;"Sin confirmar",TRIM('DATOS'!N399&amp;"")&lt;&gt;"Por decidir",TRIM('DATOS'!N399&amp;"")&lt;&gt;"Por comprobar")),NOT(Y399=1),W399&lt;&gt;1,X399&gt;1,NOT(OR(LEN(TRIM('DATOS'!K399&amp;""))=0,'DATOS'!K399="Sin valorar",'DATOS'!K399="Sin coste documentado",'DATOS'!K399="Incluido en otra partida",'DATOS'!K399="Por confirmar")),NOT(OR(LEN(TRIM('DATOS'!M399&amp;""))=0,'DATOS'!M399="Sí",'DATOS'!M399="No",'DATOS'!M399="Por confirmar")),NOT(OR(LEN(TRIM('DATOS'!O399&amp;""))=0,'DATOS'!O399="Comparamos",'DATOS'!O399="No existe",'DATOS'!O399="Por confirmar"))),2,IF(AND(OR('DATOS'!G399&lt;0,'DATOS'!H399&lt;0,'DATOS'!J399&lt;0),NOT(AND(LEN(TRIM('DATOS'!L399&amp;""))&gt;0,TRIM('DATOS'!L399&amp;"")&lt;&gt;"Pendiente",TRIM('DATOS'!L399&amp;"")&lt;&gt;"Por confirmar",TRIM('DATOS'!L399&amp;"")&lt;&gt;"No consta",TRIM('DATOS'!L399&amp;"")&lt;&gt;"Desconocido",TRIM('DATOS'!L399&amp;"")&lt;&gt;"Sin confirmar",TRIM('DATOS'!L399&amp;"")&lt;&gt;"Por decidir",TRIM('DATOS'!L399&amp;"")&lt;&gt;"Por comprobar"))),1,0))),2)</f>
      </c>
      <c r="P399" s="29">
        <f>IFERROR(IF(N399=0,"",IF(NOT(Y399=1),1,IF('REFERENCIAS'!$Q$8&lt;&gt;1,2,IF(ABS('DATOS'!J399-ROUND('DATOS'!G399*'DATOS'!H399,'REFERENCIAS'!$K$8))&gt;0.00000001,2,IF('DATOS'!O399="No existe",IF(LEN(TRIM('DATOS'!I399&amp;""))=0,0,2),IF('DATOS'!O399="Comparamos",IF(LEN(TRIM('DATOS'!I399&amp;""))=0,1,IF(ISNUMBER('DATOS'!I399),IF(ABS('DATOS'!H399-'DATOS'!I399)&gt;0.00000001,2,0),2)),1)))))),2)</f>
      </c>
      <c r="Q399" s="29">
        <f>IFERROR(IF(N399=0,"",IF(NOT(Y399=1),1,IF('DATOS'!K399="Sin valorar",2,IF('DATOS'!G399=0,1,IF(OR('DATOS'!H399=0,'DATOS'!J399=0),IF(AND(OR('DATOS'!K399="Sin coste documentado",'DATOS'!K399="Incluido en otra partida"),AND(LEN(TRIM('DATOS'!L399&amp;""))&gt;0,TRIM('DATOS'!L399&amp;"")&lt;&gt;"Pendiente",TRIM('DATOS'!L399&amp;"")&lt;&gt;"Por confirmar",TRIM('DATOS'!L399&amp;"")&lt;&gt;"No consta",TRIM('DATOS'!L399&amp;"")&lt;&gt;"Desconocido",TRIM('DATOS'!L399&amp;"")&lt;&gt;"Sin confirmar",TRIM('DATOS'!L399&amp;"")&lt;&gt;"Por decidir",TRIM('DATOS'!L399&amp;"")&lt;&gt;"Por comprobar")),0,1),0))))),2)</f>
      </c>
      <c r="R399" s="29">
        <f>IFERROR(IF(N399=0,"",IF(OR(NOT(AND(LEN(TRIM('DATOS'!D399&amp;""))&gt;0,TRIM('DATOS'!D399&amp;"")&lt;&gt;"Pendiente",TRIM('DATOS'!D399&amp;"")&lt;&gt;"Por confirmar",TRIM('DATOS'!D399&amp;"")&lt;&gt;"No consta",TRIM('DATOS'!D399&amp;"")&lt;&gt;"Desconocido",TRIM('DATOS'!D399&amp;"")&lt;&gt;"Sin confirmar",TRIM('DATOS'!D399&amp;"")&lt;&gt;"Por decidir",TRIM('DATOS'!D399&amp;"")&lt;&gt;"Por comprobar")),NOT(AND(LEN(TRIM('DATOS'!E399&amp;""))&gt;0,TRIM('DATOS'!E399&amp;"")&lt;&gt;"Pendiente",TRIM('DATOS'!E399&amp;"")&lt;&gt;"Por confirmar",TRIM('DATOS'!E399&amp;"")&lt;&gt;"No consta",TRIM('DATOS'!E399&amp;"")&lt;&gt;"Desconocido",TRIM('DATOS'!E399&amp;"")&lt;&gt;"Sin confirmar",TRIM('DATOS'!E399&amp;"")&lt;&gt;"Por decidir",TRIM('DATOS'!E399&amp;"")&lt;&gt;"Por comprobar"))),2,IF('DATOS'!M399="No",2,IF('DATOS'!M399="Sí",0,IF(OR('DATOS'!D399&lt;&gt;'DATOS'!E399,LEN('DATOS'!E399)&gt;300,RIGHT(TRIM('DATOS'!E399),3)="...",RIGHT(TRIM('DATOS'!E399),1)="…"),1,0))))),2)</f>
      </c>
      <c r="S399" s="29">
        <f>IFERROR(IF(N399=0,"",IF('REFERENCIAS'!$Q$8&lt;&gt;1,2,IF(NOT(Y399=1),1,IF(OR(ABS('DATOS'!G399-ROUND('DATOS'!G399,'REFERENCIAS'!$E$8))&gt;0.00000001,ABS('DATOS'!H399-ROUND('DATOS'!H399,'REFERENCIAS'!$H$8))&gt;0.00000001,ABS('DATOS'!J399-ROUND('DATOS'!J399,'REFERENCIAS'!$K$8))&gt;0.00000001,IF(ISNUMBER('DATOS'!I399),ABS('DATOS'!I399-ROUND('DATOS'!I399,'REFERENCIAS'!$H$8))&gt;0.00000001,FALSE)),1,0)))),2)</f>
      </c>
      <c r="T399" s="29">
        <f>IFERROR(IF(N399=0,"",IF(NOT(AND(LEN(TRIM('DATOS'!F399&amp;""))&gt;0,TRIM('DATOS'!F399&amp;"")&lt;&gt;"Pendiente",TRIM('DATOS'!F399&amp;"")&lt;&gt;"Por confirmar",TRIM('DATOS'!F399&amp;"")&lt;&gt;"No consta",TRIM('DATOS'!F399&amp;"")&lt;&gt;"Desconocido",TRIM('DATOS'!F399&amp;"")&lt;&gt;"Sin confirmar",TRIM('DATOS'!F399&amp;"")&lt;&gt;"Por decidir",TRIM('DATOS'!F399&amp;"")&lt;&gt;"Por comprobar")),2,IF(COUNTIFS('REFERENCIAS'!$T$15:$T$34,"ID:"&amp;SUBSTITUTE(SUBSTITUTE(SUBSTITUTE(SUBSTITUTE(UPPER(TRIM('DATOS'!F399&amp;"")),"!","!E"),"*","!A"),"?","!B"),"~","!C"),'REFERENCIAS'!$H$15:$H$34,"&lt;&gt;")&gt;0,0,1))),2)</f>
      </c>
      <c r="U399" s="29" t="str">
        <f>'DATOS'!R399</f>
        <v>ID:</v>
      </c>
      <c r="V399" s="29" t="str">
        <f>'DATOS'!S399</f>
        <v>ID:</v>
      </c>
      <c r="W399" s="29" t="n">
        <f>IF(N399=0,0,COUNTIFS('REFERENCIAS'!$R$15:$R$64,U399))</f>
        <v>0</v>
      </c>
      <c r="X399" s="29" t="n">
        <f>IF(N399=0,0,COUNTIFS('DATOS'!$R$10:$R$509,U399,'DATOS'!$S$10:$S$509,V399))</f>
        <v>0</v>
      </c>
      <c r="Y399" s="29" t="n">
        <f>IF(AND(ISNUMBER('DATOS'!G399),ISNUMBER('DATOS'!H399),ISNUMBER('DATOS'!J399)),1,0)</f>
        <v>0</v>
      </c>
    </row>
    <row r="400" ht="64" customHeight="1">
      <c r="B400" s="26">
        <f>IF(N400=1,391,"")</f>
      </c>
      <c r="C400" s="26">
        <f>IF(AND(N400=1,LEN(TRIM('DATOS'!B400&amp;""))&gt;0),'DATOS'!B400,"")</f>
      </c>
      <c r="D400" s="26">
        <f>IF(AND(N400=1,LEN(TRIM('DATOS'!C400&amp;""))&gt;0),'DATOS'!C400,"")</f>
      </c>
      <c r="E400" s="26">
        <f>IF(NOT(ISNUMBER(P400)),"",IF(P400=2,"ROJO",IF(P400=1,"ÁMBAR","VERDE")))</f>
      </c>
      <c r="F400" s="26">
        <f>IF(NOT(ISNUMBER(Q400)),"",IF(Q400=2,"ROJO",IF(Q400=1,"ÁMBAR","VERDE")))</f>
      </c>
      <c r="G400" s="26">
        <f>IF(NOT(ISNUMBER(R400)),"",IF(R400=2,"ROJO",IF(R400=1,"ÁMBAR","VERDE")))</f>
      </c>
      <c r="H400" s="26">
        <f>IF(NOT(ISNUMBER(S400)),"",IF(S400=2,"ROJO",IF(S400=1,"ÁMBAR","VERDE")))</f>
      </c>
      <c r="I400" s="26">
        <f>IF(NOT(ISNUMBER(T400)),"",IF(T400=2,"ROJO",IF(T400=1,"ÁMBAR","VERDE")))</f>
      </c>
      <c r="J400" s="26">
        <f>IF(NOT(ISNUMBER(O400)),"",IF(O400=2,"ROJO",IF(O400=1,"ÁMBAR","VERDE")))</f>
      </c>
      <c r="K400" s="26">
        <f>IFERROR(IF(AND(N400=1,LEN(TRIM('DATOS'!N400&amp;""))&gt;0),'DATOS'!N400,""),"Hay una entrada con error. Corregimos el dato antes de cerrar la comprobación.")</f>
      </c>
      <c r="L400" s="26">
        <f>IFERROR(IF(N400=0,"",IF(O400&gt;0,"Completamos datos, claves o motivo. ","")&amp;IF(P400&gt;0,"Cotejamos precios e importe. ","")&amp;IF(Q400&gt;0,"Aclaramos el cero. ","")&amp;IF(R400&gt;0,"Comprobamos el texto. ","")&amp;IF(S400&gt;0,"Revisamos decimales visibles. ","")&amp;IF(T400&gt;0,"Confirmamos la unidad.","")),"Hay una entrada con error. Corregimos el dato antes de cerrar la comprobación.")</f>
      </c>
      <c r="N400" s="29" t="n">
        <f>IF(COUNTA('DATOS'!B400:O400)&gt;0,1,0)</f>
        <v>0</v>
      </c>
      <c r="O400" s="29">
        <f>IFERROR(IF(N400=0,"",IF(OR(NOT(AND(LEN(TRIM('DATOS'!B400&amp;""))&gt;0,TRIM('DATOS'!B400&amp;"")&lt;&gt;"Pendiente",TRIM('DATOS'!B400&amp;"")&lt;&gt;"Por confirmar",TRIM('DATOS'!B400&amp;"")&lt;&gt;"No consta",TRIM('DATOS'!B400&amp;"")&lt;&gt;"Desconocido",TRIM('DATOS'!B400&amp;"")&lt;&gt;"Sin confirmar",TRIM('DATOS'!B400&amp;"")&lt;&gt;"Por decidir",TRIM('DATOS'!B400&amp;"")&lt;&gt;"Por comprobar")),NOT(AND(LEN(TRIM('DATOS'!C400&amp;""))&gt;0,TRIM('DATOS'!C400&amp;"")&lt;&gt;"Pendiente",TRIM('DATOS'!C400&amp;"")&lt;&gt;"Por confirmar",TRIM('DATOS'!C400&amp;"")&lt;&gt;"No consta",TRIM('DATOS'!C400&amp;"")&lt;&gt;"Desconocido",TRIM('DATOS'!C400&amp;"")&lt;&gt;"Sin confirmar",TRIM('DATOS'!C400&amp;"")&lt;&gt;"Por decidir",TRIM('DATOS'!C400&amp;"")&lt;&gt;"Por comprobar")),NOT(AND(LEN(TRIM('DATOS'!D400&amp;""))&gt;0,TRIM('DATOS'!D400&amp;"")&lt;&gt;"Pendiente",TRIM('DATOS'!D400&amp;"")&lt;&gt;"Por confirmar",TRIM('DATOS'!D400&amp;"")&lt;&gt;"No consta",TRIM('DATOS'!D400&amp;"")&lt;&gt;"Desconocido",TRIM('DATOS'!D400&amp;"")&lt;&gt;"Sin confirmar",TRIM('DATOS'!D400&amp;"")&lt;&gt;"Por decidir",TRIM('DATOS'!D400&amp;"")&lt;&gt;"Por comprobar")),NOT(AND(LEN(TRIM('DATOS'!E400&amp;""))&gt;0,TRIM('DATOS'!E400&amp;"")&lt;&gt;"Pendiente",TRIM('DATOS'!E400&amp;"")&lt;&gt;"Por confirmar",TRIM('DATOS'!E400&amp;"")&lt;&gt;"No consta",TRIM('DATOS'!E400&amp;"")&lt;&gt;"Desconocido",TRIM('DATOS'!E400&amp;"")&lt;&gt;"Sin confirmar",TRIM('DATOS'!E400&amp;"")&lt;&gt;"Por decidir",TRIM('DATOS'!E400&amp;"")&lt;&gt;"Por comprobar")),NOT(AND(LEN(TRIM('DATOS'!F400&amp;""))&gt;0,TRIM('DATOS'!F400&amp;"")&lt;&gt;"Pendiente",TRIM('DATOS'!F400&amp;"")&lt;&gt;"Por confirmar",TRIM('DATOS'!F400&amp;"")&lt;&gt;"No consta",TRIM('DATOS'!F400&amp;"")&lt;&gt;"Desconocido",TRIM('DATOS'!F400&amp;"")&lt;&gt;"Sin confirmar",TRIM('DATOS'!F400&amp;"")&lt;&gt;"Por decidir",TRIM('DATOS'!F400&amp;"")&lt;&gt;"Por comprobar")),NOT(AND(LEN(TRIM('DATOS'!N400&amp;""))&gt;0,TRIM('DATOS'!N400&amp;"")&lt;&gt;"Pendiente",TRIM('DATOS'!N400&amp;"")&lt;&gt;"Por confirmar",TRIM('DATOS'!N400&amp;"")&lt;&gt;"No consta",TRIM('DATOS'!N400&amp;"")&lt;&gt;"Desconocido",TRIM('DATOS'!N400&amp;"")&lt;&gt;"Sin confirmar",TRIM('DATOS'!N400&amp;"")&lt;&gt;"Por decidir",TRIM('DATOS'!N400&amp;"")&lt;&gt;"Por comprobar")),NOT(Y400=1),W400&lt;&gt;1,X400&gt;1,NOT(OR(LEN(TRIM('DATOS'!K400&amp;""))=0,'DATOS'!K400="Sin valorar",'DATOS'!K400="Sin coste documentado",'DATOS'!K400="Incluido en otra partida",'DATOS'!K400="Por confirmar")),NOT(OR(LEN(TRIM('DATOS'!M400&amp;""))=0,'DATOS'!M400="Sí",'DATOS'!M400="No",'DATOS'!M400="Por confirmar")),NOT(OR(LEN(TRIM('DATOS'!O400&amp;""))=0,'DATOS'!O400="Comparamos",'DATOS'!O400="No existe",'DATOS'!O400="Por confirmar"))),2,IF(AND(OR('DATOS'!G400&lt;0,'DATOS'!H400&lt;0,'DATOS'!J400&lt;0),NOT(AND(LEN(TRIM('DATOS'!L400&amp;""))&gt;0,TRIM('DATOS'!L400&amp;"")&lt;&gt;"Pendiente",TRIM('DATOS'!L400&amp;"")&lt;&gt;"Por confirmar",TRIM('DATOS'!L400&amp;"")&lt;&gt;"No consta",TRIM('DATOS'!L400&amp;"")&lt;&gt;"Desconocido",TRIM('DATOS'!L400&amp;"")&lt;&gt;"Sin confirmar",TRIM('DATOS'!L400&amp;"")&lt;&gt;"Por decidir",TRIM('DATOS'!L400&amp;"")&lt;&gt;"Por comprobar"))),1,0))),2)</f>
      </c>
      <c r="P400" s="29">
        <f>IFERROR(IF(N400=0,"",IF(NOT(Y400=1),1,IF('REFERENCIAS'!$Q$8&lt;&gt;1,2,IF(ABS('DATOS'!J400-ROUND('DATOS'!G400*'DATOS'!H400,'REFERENCIAS'!$K$8))&gt;0.00000001,2,IF('DATOS'!O400="No existe",IF(LEN(TRIM('DATOS'!I400&amp;""))=0,0,2),IF('DATOS'!O400="Comparamos",IF(LEN(TRIM('DATOS'!I400&amp;""))=0,1,IF(ISNUMBER('DATOS'!I400),IF(ABS('DATOS'!H400-'DATOS'!I400)&gt;0.00000001,2,0),2)),1)))))),2)</f>
      </c>
      <c r="Q400" s="29">
        <f>IFERROR(IF(N400=0,"",IF(NOT(Y400=1),1,IF('DATOS'!K400="Sin valorar",2,IF('DATOS'!G400=0,1,IF(OR('DATOS'!H400=0,'DATOS'!J400=0),IF(AND(OR('DATOS'!K400="Sin coste documentado",'DATOS'!K400="Incluido en otra partida"),AND(LEN(TRIM('DATOS'!L400&amp;""))&gt;0,TRIM('DATOS'!L400&amp;"")&lt;&gt;"Pendiente",TRIM('DATOS'!L400&amp;"")&lt;&gt;"Por confirmar",TRIM('DATOS'!L400&amp;"")&lt;&gt;"No consta",TRIM('DATOS'!L400&amp;"")&lt;&gt;"Desconocido",TRIM('DATOS'!L400&amp;"")&lt;&gt;"Sin confirmar",TRIM('DATOS'!L400&amp;"")&lt;&gt;"Por decidir",TRIM('DATOS'!L400&amp;"")&lt;&gt;"Por comprobar")),0,1),0))))),2)</f>
      </c>
      <c r="R400" s="29">
        <f>IFERROR(IF(N400=0,"",IF(OR(NOT(AND(LEN(TRIM('DATOS'!D400&amp;""))&gt;0,TRIM('DATOS'!D400&amp;"")&lt;&gt;"Pendiente",TRIM('DATOS'!D400&amp;"")&lt;&gt;"Por confirmar",TRIM('DATOS'!D400&amp;"")&lt;&gt;"No consta",TRIM('DATOS'!D400&amp;"")&lt;&gt;"Desconocido",TRIM('DATOS'!D400&amp;"")&lt;&gt;"Sin confirmar",TRIM('DATOS'!D400&amp;"")&lt;&gt;"Por decidir",TRIM('DATOS'!D400&amp;"")&lt;&gt;"Por comprobar")),NOT(AND(LEN(TRIM('DATOS'!E400&amp;""))&gt;0,TRIM('DATOS'!E400&amp;"")&lt;&gt;"Pendiente",TRIM('DATOS'!E400&amp;"")&lt;&gt;"Por confirmar",TRIM('DATOS'!E400&amp;"")&lt;&gt;"No consta",TRIM('DATOS'!E400&amp;"")&lt;&gt;"Desconocido",TRIM('DATOS'!E400&amp;"")&lt;&gt;"Sin confirmar",TRIM('DATOS'!E400&amp;"")&lt;&gt;"Por decidir",TRIM('DATOS'!E400&amp;"")&lt;&gt;"Por comprobar"))),2,IF('DATOS'!M400="No",2,IF('DATOS'!M400="Sí",0,IF(OR('DATOS'!D400&lt;&gt;'DATOS'!E400,LEN('DATOS'!E400)&gt;300,RIGHT(TRIM('DATOS'!E400),3)="...",RIGHT(TRIM('DATOS'!E400),1)="…"),1,0))))),2)</f>
      </c>
      <c r="S400" s="29">
        <f>IFERROR(IF(N400=0,"",IF('REFERENCIAS'!$Q$8&lt;&gt;1,2,IF(NOT(Y400=1),1,IF(OR(ABS('DATOS'!G400-ROUND('DATOS'!G400,'REFERENCIAS'!$E$8))&gt;0.00000001,ABS('DATOS'!H400-ROUND('DATOS'!H400,'REFERENCIAS'!$H$8))&gt;0.00000001,ABS('DATOS'!J400-ROUND('DATOS'!J400,'REFERENCIAS'!$K$8))&gt;0.00000001,IF(ISNUMBER('DATOS'!I400),ABS('DATOS'!I400-ROUND('DATOS'!I400,'REFERENCIAS'!$H$8))&gt;0.00000001,FALSE)),1,0)))),2)</f>
      </c>
      <c r="T400" s="29">
        <f>IFERROR(IF(N400=0,"",IF(NOT(AND(LEN(TRIM('DATOS'!F400&amp;""))&gt;0,TRIM('DATOS'!F400&amp;"")&lt;&gt;"Pendiente",TRIM('DATOS'!F400&amp;"")&lt;&gt;"Por confirmar",TRIM('DATOS'!F400&amp;"")&lt;&gt;"No consta",TRIM('DATOS'!F400&amp;"")&lt;&gt;"Desconocido",TRIM('DATOS'!F400&amp;"")&lt;&gt;"Sin confirmar",TRIM('DATOS'!F400&amp;"")&lt;&gt;"Por decidir",TRIM('DATOS'!F400&amp;"")&lt;&gt;"Por comprobar")),2,IF(COUNTIFS('REFERENCIAS'!$T$15:$T$34,"ID:"&amp;SUBSTITUTE(SUBSTITUTE(SUBSTITUTE(SUBSTITUTE(UPPER(TRIM('DATOS'!F400&amp;"")),"!","!E"),"*","!A"),"?","!B"),"~","!C"),'REFERENCIAS'!$H$15:$H$34,"&lt;&gt;")&gt;0,0,1))),2)</f>
      </c>
      <c r="U400" s="29" t="str">
        <f>'DATOS'!R400</f>
        <v>ID:</v>
      </c>
      <c r="V400" s="29" t="str">
        <f>'DATOS'!S400</f>
        <v>ID:</v>
      </c>
      <c r="W400" s="29" t="n">
        <f>IF(N400=0,0,COUNTIFS('REFERENCIAS'!$R$15:$R$64,U400))</f>
        <v>0</v>
      </c>
      <c r="X400" s="29" t="n">
        <f>IF(N400=0,0,COUNTIFS('DATOS'!$R$10:$R$509,U400,'DATOS'!$S$10:$S$509,V400))</f>
        <v>0</v>
      </c>
      <c r="Y400" s="29" t="n">
        <f>IF(AND(ISNUMBER('DATOS'!G400),ISNUMBER('DATOS'!H400),ISNUMBER('DATOS'!J400)),1,0)</f>
        <v>0</v>
      </c>
    </row>
    <row r="401" ht="64" customHeight="1">
      <c r="B401" s="26">
        <f>IF(N401=1,392,"")</f>
      </c>
      <c r="C401" s="26">
        <f>IF(AND(N401=1,LEN(TRIM('DATOS'!B401&amp;""))&gt;0),'DATOS'!B401,"")</f>
      </c>
      <c r="D401" s="26">
        <f>IF(AND(N401=1,LEN(TRIM('DATOS'!C401&amp;""))&gt;0),'DATOS'!C401,"")</f>
      </c>
      <c r="E401" s="26">
        <f>IF(NOT(ISNUMBER(P401)),"",IF(P401=2,"ROJO",IF(P401=1,"ÁMBAR","VERDE")))</f>
      </c>
      <c r="F401" s="26">
        <f>IF(NOT(ISNUMBER(Q401)),"",IF(Q401=2,"ROJO",IF(Q401=1,"ÁMBAR","VERDE")))</f>
      </c>
      <c r="G401" s="26">
        <f>IF(NOT(ISNUMBER(R401)),"",IF(R401=2,"ROJO",IF(R401=1,"ÁMBAR","VERDE")))</f>
      </c>
      <c r="H401" s="26">
        <f>IF(NOT(ISNUMBER(S401)),"",IF(S401=2,"ROJO",IF(S401=1,"ÁMBAR","VERDE")))</f>
      </c>
      <c r="I401" s="26">
        <f>IF(NOT(ISNUMBER(T401)),"",IF(T401=2,"ROJO",IF(T401=1,"ÁMBAR","VERDE")))</f>
      </c>
      <c r="J401" s="26">
        <f>IF(NOT(ISNUMBER(O401)),"",IF(O401=2,"ROJO",IF(O401=1,"ÁMBAR","VERDE")))</f>
      </c>
      <c r="K401" s="26">
        <f>IFERROR(IF(AND(N401=1,LEN(TRIM('DATOS'!N401&amp;""))&gt;0),'DATOS'!N401,""),"Hay una entrada con error. Corregimos el dato antes de cerrar la comprobación.")</f>
      </c>
      <c r="L401" s="26">
        <f>IFERROR(IF(N401=0,"",IF(O401&gt;0,"Completamos datos, claves o motivo. ","")&amp;IF(P401&gt;0,"Cotejamos precios e importe. ","")&amp;IF(Q401&gt;0,"Aclaramos el cero. ","")&amp;IF(R401&gt;0,"Comprobamos el texto. ","")&amp;IF(S401&gt;0,"Revisamos decimales visibles. ","")&amp;IF(T401&gt;0,"Confirmamos la unidad.","")),"Hay una entrada con error. Corregimos el dato antes de cerrar la comprobación.")</f>
      </c>
      <c r="N401" s="29" t="n">
        <f>IF(COUNTA('DATOS'!B401:O401)&gt;0,1,0)</f>
        <v>0</v>
      </c>
      <c r="O401" s="29">
        <f>IFERROR(IF(N401=0,"",IF(OR(NOT(AND(LEN(TRIM('DATOS'!B401&amp;""))&gt;0,TRIM('DATOS'!B401&amp;"")&lt;&gt;"Pendiente",TRIM('DATOS'!B401&amp;"")&lt;&gt;"Por confirmar",TRIM('DATOS'!B401&amp;"")&lt;&gt;"No consta",TRIM('DATOS'!B401&amp;"")&lt;&gt;"Desconocido",TRIM('DATOS'!B401&amp;"")&lt;&gt;"Sin confirmar",TRIM('DATOS'!B401&amp;"")&lt;&gt;"Por decidir",TRIM('DATOS'!B401&amp;"")&lt;&gt;"Por comprobar")),NOT(AND(LEN(TRIM('DATOS'!C401&amp;""))&gt;0,TRIM('DATOS'!C401&amp;"")&lt;&gt;"Pendiente",TRIM('DATOS'!C401&amp;"")&lt;&gt;"Por confirmar",TRIM('DATOS'!C401&amp;"")&lt;&gt;"No consta",TRIM('DATOS'!C401&amp;"")&lt;&gt;"Desconocido",TRIM('DATOS'!C401&amp;"")&lt;&gt;"Sin confirmar",TRIM('DATOS'!C401&amp;"")&lt;&gt;"Por decidir",TRIM('DATOS'!C401&amp;"")&lt;&gt;"Por comprobar")),NOT(AND(LEN(TRIM('DATOS'!D401&amp;""))&gt;0,TRIM('DATOS'!D401&amp;"")&lt;&gt;"Pendiente",TRIM('DATOS'!D401&amp;"")&lt;&gt;"Por confirmar",TRIM('DATOS'!D401&amp;"")&lt;&gt;"No consta",TRIM('DATOS'!D401&amp;"")&lt;&gt;"Desconocido",TRIM('DATOS'!D401&amp;"")&lt;&gt;"Sin confirmar",TRIM('DATOS'!D401&amp;"")&lt;&gt;"Por decidir",TRIM('DATOS'!D401&amp;"")&lt;&gt;"Por comprobar")),NOT(AND(LEN(TRIM('DATOS'!E401&amp;""))&gt;0,TRIM('DATOS'!E401&amp;"")&lt;&gt;"Pendiente",TRIM('DATOS'!E401&amp;"")&lt;&gt;"Por confirmar",TRIM('DATOS'!E401&amp;"")&lt;&gt;"No consta",TRIM('DATOS'!E401&amp;"")&lt;&gt;"Desconocido",TRIM('DATOS'!E401&amp;"")&lt;&gt;"Sin confirmar",TRIM('DATOS'!E401&amp;"")&lt;&gt;"Por decidir",TRIM('DATOS'!E401&amp;"")&lt;&gt;"Por comprobar")),NOT(AND(LEN(TRIM('DATOS'!F401&amp;""))&gt;0,TRIM('DATOS'!F401&amp;"")&lt;&gt;"Pendiente",TRIM('DATOS'!F401&amp;"")&lt;&gt;"Por confirmar",TRIM('DATOS'!F401&amp;"")&lt;&gt;"No consta",TRIM('DATOS'!F401&amp;"")&lt;&gt;"Desconocido",TRIM('DATOS'!F401&amp;"")&lt;&gt;"Sin confirmar",TRIM('DATOS'!F401&amp;"")&lt;&gt;"Por decidir",TRIM('DATOS'!F401&amp;"")&lt;&gt;"Por comprobar")),NOT(AND(LEN(TRIM('DATOS'!N401&amp;""))&gt;0,TRIM('DATOS'!N401&amp;"")&lt;&gt;"Pendiente",TRIM('DATOS'!N401&amp;"")&lt;&gt;"Por confirmar",TRIM('DATOS'!N401&amp;"")&lt;&gt;"No consta",TRIM('DATOS'!N401&amp;"")&lt;&gt;"Desconocido",TRIM('DATOS'!N401&amp;"")&lt;&gt;"Sin confirmar",TRIM('DATOS'!N401&amp;"")&lt;&gt;"Por decidir",TRIM('DATOS'!N401&amp;"")&lt;&gt;"Por comprobar")),NOT(Y401=1),W401&lt;&gt;1,X401&gt;1,NOT(OR(LEN(TRIM('DATOS'!K401&amp;""))=0,'DATOS'!K401="Sin valorar",'DATOS'!K401="Sin coste documentado",'DATOS'!K401="Incluido en otra partida",'DATOS'!K401="Por confirmar")),NOT(OR(LEN(TRIM('DATOS'!M401&amp;""))=0,'DATOS'!M401="Sí",'DATOS'!M401="No",'DATOS'!M401="Por confirmar")),NOT(OR(LEN(TRIM('DATOS'!O401&amp;""))=0,'DATOS'!O401="Comparamos",'DATOS'!O401="No existe",'DATOS'!O401="Por confirmar"))),2,IF(AND(OR('DATOS'!G401&lt;0,'DATOS'!H401&lt;0,'DATOS'!J401&lt;0),NOT(AND(LEN(TRIM('DATOS'!L401&amp;""))&gt;0,TRIM('DATOS'!L401&amp;"")&lt;&gt;"Pendiente",TRIM('DATOS'!L401&amp;"")&lt;&gt;"Por confirmar",TRIM('DATOS'!L401&amp;"")&lt;&gt;"No consta",TRIM('DATOS'!L401&amp;"")&lt;&gt;"Desconocido",TRIM('DATOS'!L401&amp;"")&lt;&gt;"Sin confirmar",TRIM('DATOS'!L401&amp;"")&lt;&gt;"Por decidir",TRIM('DATOS'!L401&amp;"")&lt;&gt;"Por comprobar"))),1,0))),2)</f>
      </c>
      <c r="P401" s="29">
        <f>IFERROR(IF(N401=0,"",IF(NOT(Y401=1),1,IF('REFERENCIAS'!$Q$8&lt;&gt;1,2,IF(ABS('DATOS'!J401-ROUND('DATOS'!G401*'DATOS'!H401,'REFERENCIAS'!$K$8))&gt;0.00000001,2,IF('DATOS'!O401="No existe",IF(LEN(TRIM('DATOS'!I401&amp;""))=0,0,2),IF('DATOS'!O401="Comparamos",IF(LEN(TRIM('DATOS'!I401&amp;""))=0,1,IF(ISNUMBER('DATOS'!I401),IF(ABS('DATOS'!H401-'DATOS'!I401)&gt;0.00000001,2,0),2)),1)))))),2)</f>
      </c>
      <c r="Q401" s="29">
        <f>IFERROR(IF(N401=0,"",IF(NOT(Y401=1),1,IF('DATOS'!K401="Sin valorar",2,IF('DATOS'!G401=0,1,IF(OR('DATOS'!H401=0,'DATOS'!J401=0),IF(AND(OR('DATOS'!K401="Sin coste documentado",'DATOS'!K401="Incluido en otra partida"),AND(LEN(TRIM('DATOS'!L401&amp;""))&gt;0,TRIM('DATOS'!L401&amp;"")&lt;&gt;"Pendiente",TRIM('DATOS'!L401&amp;"")&lt;&gt;"Por confirmar",TRIM('DATOS'!L401&amp;"")&lt;&gt;"No consta",TRIM('DATOS'!L401&amp;"")&lt;&gt;"Desconocido",TRIM('DATOS'!L401&amp;"")&lt;&gt;"Sin confirmar",TRIM('DATOS'!L401&amp;"")&lt;&gt;"Por decidir",TRIM('DATOS'!L401&amp;"")&lt;&gt;"Por comprobar")),0,1),0))))),2)</f>
      </c>
      <c r="R401" s="29">
        <f>IFERROR(IF(N401=0,"",IF(OR(NOT(AND(LEN(TRIM('DATOS'!D401&amp;""))&gt;0,TRIM('DATOS'!D401&amp;"")&lt;&gt;"Pendiente",TRIM('DATOS'!D401&amp;"")&lt;&gt;"Por confirmar",TRIM('DATOS'!D401&amp;"")&lt;&gt;"No consta",TRIM('DATOS'!D401&amp;"")&lt;&gt;"Desconocido",TRIM('DATOS'!D401&amp;"")&lt;&gt;"Sin confirmar",TRIM('DATOS'!D401&amp;"")&lt;&gt;"Por decidir",TRIM('DATOS'!D401&amp;"")&lt;&gt;"Por comprobar")),NOT(AND(LEN(TRIM('DATOS'!E401&amp;""))&gt;0,TRIM('DATOS'!E401&amp;"")&lt;&gt;"Pendiente",TRIM('DATOS'!E401&amp;"")&lt;&gt;"Por confirmar",TRIM('DATOS'!E401&amp;"")&lt;&gt;"No consta",TRIM('DATOS'!E401&amp;"")&lt;&gt;"Desconocido",TRIM('DATOS'!E401&amp;"")&lt;&gt;"Sin confirmar",TRIM('DATOS'!E401&amp;"")&lt;&gt;"Por decidir",TRIM('DATOS'!E401&amp;"")&lt;&gt;"Por comprobar"))),2,IF('DATOS'!M401="No",2,IF('DATOS'!M401="Sí",0,IF(OR('DATOS'!D401&lt;&gt;'DATOS'!E401,LEN('DATOS'!E401)&gt;300,RIGHT(TRIM('DATOS'!E401),3)="...",RIGHT(TRIM('DATOS'!E401),1)="…"),1,0))))),2)</f>
      </c>
      <c r="S401" s="29">
        <f>IFERROR(IF(N401=0,"",IF('REFERENCIAS'!$Q$8&lt;&gt;1,2,IF(NOT(Y401=1),1,IF(OR(ABS('DATOS'!G401-ROUND('DATOS'!G401,'REFERENCIAS'!$E$8))&gt;0.00000001,ABS('DATOS'!H401-ROUND('DATOS'!H401,'REFERENCIAS'!$H$8))&gt;0.00000001,ABS('DATOS'!J401-ROUND('DATOS'!J401,'REFERENCIAS'!$K$8))&gt;0.00000001,IF(ISNUMBER('DATOS'!I401),ABS('DATOS'!I401-ROUND('DATOS'!I401,'REFERENCIAS'!$H$8))&gt;0.00000001,FALSE)),1,0)))),2)</f>
      </c>
      <c r="T401" s="29">
        <f>IFERROR(IF(N401=0,"",IF(NOT(AND(LEN(TRIM('DATOS'!F401&amp;""))&gt;0,TRIM('DATOS'!F401&amp;"")&lt;&gt;"Pendiente",TRIM('DATOS'!F401&amp;"")&lt;&gt;"Por confirmar",TRIM('DATOS'!F401&amp;"")&lt;&gt;"No consta",TRIM('DATOS'!F401&amp;"")&lt;&gt;"Desconocido",TRIM('DATOS'!F401&amp;"")&lt;&gt;"Sin confirmar",TRIM('DATOS'!F401&amp;"")&lt;&gt;"Por decidir",TRIM('DATOS'!F401&amp;"")&lt;&gt;"Por comprobar")),2,IF(COUNTIFS('REFERENCIAS'!$T$15:$T$34,"ID:"&amp;SUBSTITUTE(SUBSTITUTE(SUBSTITUTE(SUBSTITUTE(UPPER(TRIM('DATOS'!F401&amp;"")),"!","!E"),"*","!A"),"?","!B"),"~","!C"),'REFERENCIAS'!$H$15:$H$34,"&lt;&gt;")&gt;0,0,1))),2)</f>
      </c>
      <c r="U401" s="29" t="str">
        <f>'DATOS'!R401</f>
        <v>ID:</v>
      </c>
      <c r="V401" s="29" t="str">
        <f>'DATOS'!S401</f>
        <v>ID:</v>
      </c>
      <c r="W401" s="29" t="n">
        <f>IF(N401=0,0,COUNTIFS('REFERENCIAS'!$R$15:$R$64,U401))</f>
        <v>0</v>
      </c>
      <c r="X401" s="29" t="n">
        <f>IF(N401=0,0,COUNTIFS('DATOS'!$R$10:$R$509,U401,'DATOS'!$S$10:$S$509,V401))</f>
        <v>0</v>
      </c>
      <c r="Y401" s="29" t="n">
        <f>IF(AND(ISNUMBER('DATOS'!G401),ISNUMBER('DATOS'!H401),ISNUMBER('DATOS'!J401)),1,0)</f>
        <v>0</v>
      </c>
    </row>
    <row r="402" ht="64" customHeight="1">
      <c r="B402" s="26">
        <f>IF(N402=1,393,"")</f>
      </c>
      <c r="C402" s="26">
        <f>IF(AND(N402=1,LEN(TRIM('DATOS'!B402&amp;""))&gt;0),'DATOS'!B402,"")</f>
      </c>
      <c r="D402" s="26">
        <f>IF(AND(N402=1,LEN(TRIM('DATOS'!C402&amp;""))&gt;0),'DATOS'!C402,"")</f>
      </c>
      <c r="E402" s="26">
        <f>IF(NOT(ISNUMBER(P402)),"",IF(P402=2,"ROJO",IF(P402=1,"ÁMBAR","VERDE")))</f>
      </c>
      <c r="F402" s="26">
        <f>IF(NOT(ISNUMBER(Q402)),"",IF(Q402=2,"ROJO",IF(Q402=1,"ÁMBAR","VERDE")))</f>
      </c>
      <c r="G402" s="26">
        <f>IF(NOT(ISNUMBER(R402)),"",IF(R402=2,"ROJO",IF(R402=1,"ÁMBAR","VERDE")))</f>
      </c>
      <c r="H402" s="26">
        <f>IF(NOT(ISNUMBER(S402)),"",IF(S402=2,"ROJO",IF(S402=1,"ÁMBAR","VERDE")))</f>
      </c>
      <c r="I402" s="26">
        <f>IF(NOT(ISNUMBER(T402)),"",IF(T402=2,"ROJO",IF(T402=1,"ÁMBAR","VERDE")))</f>
      </c>
      <c r="J402" s="26">
        <f>IF(NOT(ISNUMBER(O402)),"",IF(O402=2,"ROJO",IF(O402=1,"ÁMBAR","VERDE")))</f>
      </c>
      <c r="K402" s="26">
        <f>IFERROR(IF(AND(N402=1,LEN(TRIM('DATOS'!N402&amp;""))&gt;0),'DATOS'!N402,""),"Hay una entrada con error. Corregimos el dato antes de cerrar la comprobación.")</f>
      </c>
      <c r="L402" s="26">
        <f>IFERROR(IF(N402=0,"",IF(O402&gt;0,"Completamos datos, claves o motivo. ","")&amp;IF(P402&gt;0,"Cotejamos precios e importe. ","")&amp;IF(Q402&gt;0,"Aclaramos el cero. ","")&amp;IF(R402&gt;0,"Comprobamos el texto. ","")&amp;IF(S402&gt;0,"Revisamos decimales visibles. ","")&amp;IF(T402&gt;0,"Confirmamos la unidad.","")),"Hay una entrada con error. Corregimos el dato antes de cerrar la comprobación.")</f>
      </c>
      <c r="N402" s="29" t="n">
        <f>IF(COUNTA('DATOS'!B402:O402)&gt;0,1,0)</f>
        <v>0</v>
      </c>
      <c r="O402" s="29">
        <f>IFERROR(IF(N402=0,"",IF(OR(NOT(AND(LEN(TRIM('DATOS'!B402&amp;""))&gt;0,TRIM('DATOS'!B402&amp;"")&lt;&gt;"Pendiente",TRIM('DATOS'!B402&amp;"")&lt;&gt;"Por confirmar",TRIM('DATOS'!B402&amp;"")&lt;&gt;"No consta",TRIM('DATOS'!B402&amp;"")&lt;&gt;"Desconocido",TRIM('DATOS'!B402&amp;"")&lt;&gt;"Sin confirmar",TRIM('DATOS'!B402&amp;"")&lt;&gt;"Por decidir",TRIM('DATOS'!B402&amp;"")&lt;&gt;"Por comprobar")),NOT(AND(LEN(TRIM('DATOS'!C402&amp;""))&gt;0,TRIM('DATOS'!C402&amp;"")&lt;&gt;"Pendiente",TRIM('DATOS'!C402&amp;"")&lt;&gt;"Por confirmar",TRIM('DATOS'!C402&amp;"")&lt;&gt;"No consta",TRIM('DATOS'!C402&amp;"")&lt;&gt;"Desconocido",TRIM('DATOS'!C402&amp;"")&lt;&gt;"Sin confirmar",TRIM('DATOS'!C402&amp;"")&lt;&gt;"Por decidir",TRIM('DATOS'!C402&amp;"")&lt;&gt;"Por comprobar")),NOT(AND(LEN(TRIM('DATOS'!D402&amp;""))&gt;0,TRIM('DATOS'!D402&amp;"")&lt;&gt;"Pendiente",TRIM('DATOS'!D402&amp;"")&lt;&gt;"Por confirmar",TRIM('DATOS'!D402&amp;"")&lt;&gt;"No consta",TRIM('DATOS'!D402&amp;"")&lt;&gt;"Desconocido",TRIM('DATOS'!D402&amp;"")&lt;&gt;"Sin confirmar",TRIM('DATOS'!D402&amp;"")&lt;&gt;"Por decidir",TRIM('DATOS'!D402&amp;"")&lt;&gt;"Por comprobar")),NOT(AND(LEN(TRIM('DATOS'!E402&amp;""))&gt;0,TRIM('DATOS'!E402&amp;"")&lt;&gt;"Pendiente",TRIM('DATOS'!E402&amp;"")&lt;&gt;"Por confirmar",TRIM('DATOS'!E402&amp;"")&lt;&gt;"No consta",TRIM('DATOS'!E402&amp;"")&lt;&gt;"Desconocido",TRIM('DATOS'!E402&amp;"")&lt;&gt;"Sin confirmar",TRIM('DATOS'!E402&amp;"")&lt;&gt;"Por decidir",TRIM('DATOS'!E402&amp;"")&lt;&gt;"Por comprobar")),NOT(AND(LEN(TRIM('DATOS'!F402&amp;""))&gt;0,TRIM('DATOS'!F402&amp;"")&lt;&gt;"Pendiente",TRIM('DATOS'!F402&amp;"")&lt;&gt;"Por confirmar",TRIM('DATOS'!F402&amp;"")&lt;&gt;"No consta",TRIM('DATOS'!F402&amp;"")&lt;&gt;"Desconocido",TRIM('DATOS'!F402&amp;"")&lt;&gt;"Sin confirmar",TRIM('DATOS'!F402&amp;"")&lt;&gt;"Por decidir",TRIM('DATOS'!F402&amp;"")&lt;&gt;"Por comprobar")),NOT(AND(LEN(TRIM('DATOS'!N402&amp;""))&gt;0,TRIM('DATOS'!N402&amp;"")&lt;&gt;"Pendiente",TRIM('DATOS'!N402&amp;"")&lt;&gt;"Por confirmar",TRIM('DATOS'!N402&amp;"")&lt;&gt;"No consta",TRIM('DATOS'!N402&amp;"")&lt;&gt;"Desconocido",TRIM('DATOS'!N402&amp;"")&lt;&gt;"Sin confirmar",TRIM('DATOS'!N402&amp;"")&lt;&gt;"Por decidir",TRIM('DATOS'!N402&amp;"")&lt;&gt;"Por comprobar")),NOT(Y402=1),W402&lt;&gt;1,X402&gt;1,NOT(OR(LEN(TRIM('DATOS'!K402&amp;""))=0,'DATOS'!K402="Sin valorar",'DATOS'!K402="Sin coste documentado",'DATOS'!K402="Incluido en otra partida",'DATOS'!K402="Por confirmar")),NOT(OR(LEN(TRIM('DATOS'!M402&amp;""))=0,'DATOS'!M402="Sí",'DATOS'!M402="No",'DATOS'!M402="Por confirmar")),NOT(OR(LEN(TRIM('DATOS'!O402&amp;""))=0,'DATOS'!O402="Comparamos",'DATOS'!O402="No existe",'DATOS'!O402="Por confirmar"))),2,IF(AND(OR('DATOS'!G402&lt;0,'DATOS'!H402&lt;0,'DATOS'!J402&lt;0),NOT(AND(LEN(TRIM('DATOS'!L402&amp;""))&gt;0,TRIM('DATOS'!L402&amp;"")&lt;&gt;"Pendiente",TRIM('DATOS'!L402&amp;"")&lt;&gt;"Por confirmar",TRIM('DATOS'!L402&amp;"")&lt;&gt;"No consta",TRIM('DATOS'!L402&amp;"")&lt;&gt;"Desconocido",TRIM('DATOS'!L402&amp;"")&lt;&gt;"Sin confirmar",TRIM('DATOS'!L402&amp;"")&lt;&gt;"Por decidir",TRIM('DATOS'!L402&amp;"")&lt;&gt;"Por comprobar"))),1,0))),2)</f>
      </c>
      <c r="P402" s="29">
        <f>IFERROR(IF(N402=0,"",IF(NOT(Y402=1),1,IF('REFERENCIAS'!$Q$8&lt;&gt;1,2,IF(ABS('DATOS'!J402-ROUND('DATOS'!G402*'DATOS'!H402,'REFERENCIAS'!$K$8))&gt;0.00000001,2,IF('DATOS'!O402="No existe",IF(LEN(TRIM('DATOS'!I402&amp;""))=0,0,2),IF('DATOS'!O402="Comparamos",IF(LEN(TRIM('DATOS'!I402&amp;""))=0,1,IF(ISNUMBER('DATOS'!I402),IF(ABS('DATOS'!H402-'DATOS'!I402)&gt;0.00000001,2,0),2)),1)))))),2)</f>
      </c>
      <c r="Q402" s="29">
        <f>IFERROR(IF(N402=0,"",IF(NOT(Y402=1),1,IF('DATOS'!K402="Sin valorar",2,IF('DATOS'!G402=0,1,IF(OR('DATOS'!H402=0,'DATOS'!J402=0),IF(AND(OR('DATOS'!K402="Sin coste documentado",'DATOS'!K402="Incluido en otra partida"),AND(LEN(TRIM('DATOS'!L402&amp;""))&gt;0,TRIM('DATOS'!L402&amp;"")&lt;&gt;"Pendiente",TRIM('DATOS'!L402&amp;"")&lt;&gt;"Por confirmar",TRIM('DATOS'!L402&amp;"")&lt;&gt;"No consta",TRIM('DATOS'!L402&amp;"")&lt;&gt;"Desconocido",TRIM('DATOS'!L402&amp;"")&lt;&gt;"Sin confirmar",TRIM('DATOS'!L402&amp;"")&lt;&gt;"Por decidir",TRIM('DATOS'!L402&amp;"")&lt;&gt;"Por comprobar")),0,1),0))))),2)</f>
      </c>
      <c r="R402" s="29">
        <f>IFERROR(IF(N402=0,"",IF(OR(NOT(AND(LEN(TRIM('DATOS'!D402&amp;""))&gt;0,TRIM('DATOS'!D402&amp;"")&lt;&gt;"Pendiente",TRIM('DATOS'!D402&amp;"")&lt;&gt;"Por confirmar",TRIM('DATOS'!D402&amp;"")&lt;&gt;"No consta",TRIM('DATOS'!D402&amp;"")&lt;&gt;"Desconocido",TRIM('DATOS'!D402&amp;"")&lt;&gt;"Sin confirmar",TRIM('DATOS'!D402&amp;"")&lt;&gt;"Por decidir",TRIM('DATOS'!D402&amp;"")&lt;&gt;"Por comprobar")),NOT(AND(LEN(TRIM('DATOS'!E402&amp;""))&gt;0,TRIM('DATOS'!E402&amp;"")&lt;&gt;"Pendiente",TRIM('DATOS'!E402&amp;"")&lt;&gt;"Por confirmar",TRIM('DATOS'!E402&amp;"")&lt;&gt;"No consta",TRIM('DATOS'!E402&amp;"")&lt;&gt;"Desconocido",TRIM('DATOS'!E402&amp;"")&lt;&gt;"Sin confirmar",TRIM('DATOS'!E402&amp;"")&lt;&gt;"Por decidir",TRIM('DATOS'!E402&amp;"")&lt;&gt;"Por comprobar"))),2,IF('DATOS'!M402="No",2,IF('DATOS'!M402="Sí",0,IF(OR('DATOS'!D402&lt;&gt;'DATOS'!E402,LEN('DATOS'!E402)&gt;300,RIGHT(TRIM('DATOS'!E402),3)="...",RIGHT(TRIM('DATOS'!E402),1)="…"),1,0))))),2)</f>
      </c>
      <c r="S402" s="29">
        <f>IFERROR(IF(N402=0,"",IF('REFERENCIAS'!$Q$8&lt;&gt;1,2,IF(NOT(Y402=1),1,IF(OR(ABS('DATOS'!G402-ROUND('DATOS'!G402,'REFERENCIAS'!$E$8))&gt;0.00000001,ABS('DATOS'!H402-ROUND('DATOS'!H402,'REFERENCIAS'!$H$8))&gt;0.00000001,ABS('DATOS'!J402-ROUND('DATOS'!J402,'REFERENCIAS'!$K$8))&gt;0.00000001,IF(ISNUMBER('DATOS'!I402),ABS('DATOS'!I402-ROUND('DATOS'!I402,'REFERENCIAS'!$H$8))&gt;0.00000001,FALSE)),1,0)))),2)</f>
      </c>
      <c r="T402" s="29">
        <f>IFERROR(IF(N402=0,"",IF(NOT(AND(LEN(TRIM('DATOS'!F402&amp;""))&gt;0,TRIM('DATOS'!F402&amp;"")&lt;&gt;"Pendiente",TRIM('DATOS'!F402&amp;"")&lt;&gt;"Por confirmar",TRIM('DATOS'!F402&amp;"")&lt;&gt;"No consta",TRIM('DATOS'!F402&amp;"")&lt;&gt;"Desconocido",TRIM('DATOS'!F402&amp;"")&lt;&gt;"Sin confirmar",TRIM('DATOS'!F402&amp;"")&lt;&gt;"Por decidir",TRIM('DATOS'!F402&amp;"")&lt;&gt;"Por comprobar")),2,IF(COUNTIFS('REFERENCIAS'!$T$15:$T$34,"ID:"&amp;SUBSTITUTE(SUBSTITUTE(SUBSTITUTE(SUBSTITUTE(UPPER(TRIM('DATOS'!F402&amp;"")),"!","!E"),"*","!A"),"?","!B"),"~","!C"),'REFERENCIAS'!$H$15:$H$34,"&lt;&gt;")&gt;0,0,1))),2)</f>
      </c>
      <c r="U402" s="29" t="str">
        <f>'DATOS'!R402</f>
        <v>ID:</v>
      </c>
      <c r="V402" s="29" t="str">
        <f>'DATOS'!S402</f>
        <v>ID:</v>
      </c>
      <c r="W402" s="29" t="n">
        <f>IF(N402=0,0,COUNTIFS('REFERENCIAS'!$R$15:$R$64,U402))</f>
        <v>0</v>
      </c>
      <c r="X402" s="29" t="n">
        <f>IF(N402=0,0,COUNTIFS('DATOS'!$R$10:$R$509,U402,'DATOS'!$S$10:$S$509,V402))</f>
        <v>0</v>
      </c>
      <c r="Y402" s="29" t="n">
        <f>IF(AND(ISNUMBER('DATOS'!G402),ISNUMBER('DATOS'!H402),ISNUMBER('DATOS'!J402)),1,0)</f>
        <v>0</v>
      </c>
    </row>
    <row r="403" ht="64" customHeight="1">
      <c r="B403" s="26">
        <f>IF(N403=1,394,"")</f>
      </c>
      <c r="C403" s="26">
        <f>IF(AND(N403=1,LEN(TRIM('DATOS'!B403&amp;""))&gt;0),'DATOS'!B403,"")</f>
      </c>
      <c r="D403" s="26">
        <f>IF(AND(N403=1,LEN(TRIM('DATOS'!C403&amp;""))&gt;0),'DATOS'!C403,"")</f>
      </c>
      <c r="E403" s="26">
        <f>IF(NOT(ISNUMBER(P403)),"",IF(P403=2,"ROJO",IF(P403=1,"ÁMBAR","VERDE")))</f>
      </c>
      <c r="F403" s="26">
        <f>IF(NOT(ISNUMBER(Q403)),"",IF(Q403=2,"ROJO",IF(Q403=1,"ÁMBAR","VERDE")))</f>
      </c>
      <c r="G403" s="26">
        <f>IF(NOT(ISNUMBER(R403)),"",IF(R403=2,"ROJO",IF(R403=1,"ÁMBAR","VERDE")))</f>
      </c>
      <c r="H403" s="26">
        <f>IF(NOT(ISNUMBER(S403)),"",IF(S403=2,"ROJO",IF(S403=1,"ÁMBAR","VERDE")))</f>
      </c>
      <c r="I403" s="26">
        <f>IF(NOT(ISNUMBER(T403)),"",IF(T403=2,"ROJO",IF(T403=1,"ÁMBAR","VERDE")))</f>
      </c>
      <c r="J403" s="26">
        <f>IF(NOT(ISNUMBER(O403)),"",IF(O403=2,"ROJO",IF(O403=1,"ÁMBAR","VERDE")))</f>
      </c>
      <c r="K403" s="26">
        <f>IFERROR(IF(AND(N403=1,LEN(TRIM('DATOS'!N403&amp;""))&gt;0),'DATOS'!N403,""),"Hay una entrada con error. Corregimos el dato antes de cerrar la comprobación.")</f>
      </c>
      <c r="L403" s="26">
        <f>IFERROR(IF(N403=0,"",IF(O403&gt;0,"Completamos datos, claves o motivo. ","")&amp;IF(P403&gt;0,"Cotejamos precios e importe. ","")&amp;IF(Q403&gt;0,"Aclaramos el cero. ","")&amp;IF(R403&gt;0,"Comprobamos el texto. ","")&amp;IF(S403&gt;0,"Revisamos decimales visibles. ","")&amp;IF(T403&gt;0,"Confirmamos la unidad.","")),"Hay una entrada con error. Corregimos el dato antes de cerrar la comprobación.")</f>
      </c>
      <c r="N403" s="29" t="n">
        <f>IF(COUNTA('DATOS'!B403:O403)&gt;0,1,0)</f>
        <v>0</v>
      </c>
      <c r="O403" s="29">
        <f>IFERROR(IF(N403=0,"",IF(OR(NOT(AND(LEN(TRIM('DATOS'!B403&amp;""))&gt;0,TRIM('DATOS'!B403&amp;"")&lt;&gt;"Pendiente",TRIM('DATOS'!B403&amp;"")&lt;&gt;"Por confirmar",TRIM('DATOS'!B403&amp;"")&lt;&gt;"No consta",TRIM('DATOS'!B403&amp;"")&lt;&gt;"Desconocido",TRIM('DATOS'!B403&amp;"")&lt;&gt;"Sin confirmar",TRIM('DATOS'!B403&amp;"")&lt;&gt;"Por decidir",TRIM('DATOS'!B403&amp;"")&lt;&gt;"Por comprobar")),NOT(AND(LEN(TRIM('DATOS'!C403&amp;""))&gt;0,TRIM('DATOS'!C403&amp;"")&lt;&gt;"Pendiente",TRIM('DATOS'!C403&amp;"")&lt;&gt;"Por confirmar",TRIM('DATOS'!C403&amp;"")&lt;&gt;"No consta",TRIM('DATOS'!C403&amp;"")&lt;&gt;"Desconocido",TRIM('DATOS'!C403&amp;"")&lt;&gt;"Sin confirmar",TRIM('DATOS'!C403&amp;"")&lt;&gt;"Por decidir",TRIM('DATOS'!C403&amp;"")&lt;&gt;"Por comprobar")),NOT(AND(LEN(TRIM('DATOS'!D403&amp;""))&gt;0,TRIM('DATOS'!D403&amp;"")&lt;&gt;"Pendiente",TRIM('DATOS'!D403&amp;"")&lt;&gt;"Por confirmar",TRIM('DATOS'!D403&amp;"")&lt;&gt;"No consta",TRIM('DATOS'!D403&amp;"")&lt;&gt;"Desconocido",TRIM('DATOS'!D403&amp;"")&lt;&gt;"Sin confirmar",TRIM('DATOS'!D403&amp;"")&lt;&gt;"Por decidir",TRIM('DATOS'!D403&amp;"")&lt;&gt;"Por comprobar")),NOT(AND(LEN(TRIM('DATOS'!E403&amp;""))&gt;0,TRIM('DATOS'!E403&amp;"")&lt;&gt;"Pendiente",TRIM('DATOS'!E403&amp;"")&lt;&gt;"Por confirmar",TRIM('DATOS'!E403&amp;"")&lt;&gt;"No consta",TRIM('DATOS'!E403&amp;"")&lt;&gt;"Desconocido",TRIM('DATOS'!E403&amp;"")&lt;&gt;"Sin confirmar",TRIM('DATOS'!E403&amp;"")&lt;&gt;"Por decidir",TRIM('DATOS'!E403&amp;"")&lt;&gt;"Por comprobar")),NOT(AND(LEN(TRIM('DATOS'!F403&amp;""))&gt;0,TRIM('DATOS'!F403&amp;"")&lt;&gt;"Pendiente",TRIM('DATOS'!F403&amp;"")&lt;&gt;"Por confirmar",TRIM('DATOS'!F403&amp;"")&lt;&gt;"No consta",TRIM('DATOS'!F403&amp;"")&lt;&gt;"Desconocido",TRIM('DATOS'!F403&amp;"")&lt;&gt;"Sin confirmar",TRIM('DATOS'!F403&amp;"")&lt;&gt;"Por decidir",TRIM('DATOS'!F403&amp;"")&lt;&gt;"Por comprobar")),NOT(AND(LEN(TRIM('DATOS'!N403&amp;""))&gt;0,TRIM('DATOS'!N403&amp;"")&lt;&gt;"Pendiente",TRIM('DATOS'!N403&amp;"")&lt;&gt;"Por confirmar",TRIM('DATOS'!N403&amp;"")&lt;&gt;"No consta",TRIM('DATOS'!N403&amp;"")&lt;&gt;"Desconocido",TRIM('DATOS'!N403&amp;"")&lt;&gt;"Sin confirmar",TRIM('DATOS'!N403&amp;"")&lt;&gt;"Por decidir",TRIM('DATOS'!N403&amp;"")&lt;&gt;"Por comprobar")),NOT(Y403=1),W403&lt;&gt;1,X403&gt;1,NOT(OR(LEN(TRIM('DATOS'!K403&amp;""))=0,'DATOS'!K403="Sin valorar",'DATOS'!K403="Sin coste documentado",'DATOS'!K403="Incluido en otra partida",'DATOS'!K403="Por confirmar")),NOT(OR(LEN(TRIM('DATOS'!M403&amp;""))=0,'DATOS'!M403="Sí",'DATOS'!M403="No",'DATOS'!M403="Por confirmar")),NOT(OR(LEN(TRIM('DATOS'!O403&amp;""))=0,'DATOS'!O403="Comparamos",'DATOS'!O403="No existe",'DATOS'!O403="Por confirmar"))),2,IF(AND(OR('DATOS'!G403&lt;0,'DATOS'!H403&lt;0,'DATOS'!J403&lt;0),NOT(AND(LEN(TRIM('DATOS'!L403&amp;""))&gt;0,TRIM('DATOS'!L403&amp;"")&lt;&gt;"Pendiente",TRIM('DATOS'!L403&amp;"")&lt;&gt;"Por confirmar",TRIM('DATOS'!L403&amp;"")&lt;&gt;"No consta",TRIM('DATOS'!L403&amp;"")&lt;&gt;"Desconocido",TRIM('DATOS'!L403&amp;"")&lt;&gt;"Sin confirmar",TRIM('DATOS'!L403&amp;"")&lt;&gt;"Por decidir",TRIM('DATOS'!L403&amp;"")&lt;&gt;"Por comprobar"))),1,0))),2)</f>
      </c>
      <c r="P403" s="29">
        <f>IFERROR(IF(N403=0,"",IF(NOT(Y403=1),1,IF('REFERENCIAS'!$Q$8&lt;&gt;1,2,IF(ABS('DATOS'!J403-ROUND('DATOS'!G403*'DATOS'!H403,'REFERENCIAS'!$K$8))&gt;0.00000001,2,IF('DATOS'!O403="No existe",IF(LEN(TRIM('DATOS'!I403&amp;""))=0,0,2),IF('DATOS'!O403="Comparamos",IF(LEN(TRIM('DATOS'!I403&amp;""))=0,1,IF(ISNUMBER('DATOS'!I403),IF(ABS('DATOS'!H403-'DATOS'!I403)&gt;0.00000001,2,0),2)),1)))))),2)</f>
      </c>
      <c r="Q403" s="29">
        <f>IFERROR(IF(N403=0,"",IF(NOT(Y403=1),1,IF('DATOS'!K403="Sin valorar",2,IF('DATOS'!G403=0,1,IF(OR('DATOS'!H403=0,'DATOS'!J403=0),IF(AND(OR('DATOS'!K403="Sin coste documentado",'DATOS'!K403="Incluido en otra partida"),AND(LEN(TRIM('DATOS'!L403&amp;""))&gt;0,TRIM('DATOS'!L403&amp;"")&lt;&gt;"Pendiente",TRIM('DATOS'!L403&amp;"")&lt;&gt;"Por confirmar",TRIM('DATOS'!L403&amp;"")&lt;&gt;"No consta",TRIM('DATOS'!L403&amp;"")&lt;&gt;"Desconocido",TRIM('DATOS'!L403&amp;"")&lt;&gt;"Sin confirmar",TRIM('DATOS'!L403&amp;"")&lt;&gt;"Por decidir",TRIM('DATOS'!L403&amp;"")&lt;&gt;"Por comprobar")),0,1),0))))),2)</f>
      </c>
      <c r="R403" s="29">
        <f>IFERROR(IF(N403=0,"",IF(OR(NOT(AND(LEN(TRIM('DATOS'!D403&amp;""))&gt;0,TRIM('DATOS'!D403&amp;"")&lt;&gt;"Pendiente",TRIM('DATOS'!D403&amp;"")&lt;&gt;"Por confirmar",TRIM('DATOS'!D403&amp;"")&lt;&gt;"No consta",TRIM('DATOS'!D403&amp;"")&lt;&gt;"Desconocido",TRIM('DATOS'!D403&amp;"")&lt;&gt;"Sin confirmar",TRIM('DATOS'!D403&amp;"")&lt;&gt;"Por decidir",TRIM('DATOS'!D403&amp;"")&lt;&gt;"Por comprobar")),NOT(AND(LEN(TRIM('DATOS'!E403&amp;""))&gt;0,TRIM('DATOS'!E403&amp;"")&lt;&gt;"Pendiente",TRIM('DATOS'!E403&amp;"")&lt;&gt;"Por confirmar",TRIM('DATOS'!E403&amp;"")&lt;&gt;"No consta",TRIM('DATOS'!E403&amp;"")&lt;&gt;"Desconocido",TRIM('DATOS'!E403&amp;"")&lt;&gt;"Sin confirmar",TRIM('DATOS'!E403&amp;"")&lt;&gt;"Por decidir",TRIM('DATOS'!E403&amp;"")&lt;&gt;"Por comprobar"))),2,IF('DATOS'!M403="No",2,IF('DATOS'!M403="Sí",0,IF(OR('DATOS'!D403&lt;&gt;'DATOS'!E403,LEN('DATOS'!E403)&gt;300,RIGHT(TRIM('DATOS'!E403),3)="...",RIGHT(TRIM('DATOS'!E403),1)="…"),1,0))))),2)</f>
      </c>
      <c r="S403" s="29">
        <f>IFERROR(IF(N403=0,"",IF('REFERENCIAS'!$Q$8&lt;&gt;1,2,IF(NOT(Y403=1),1,IF(OR(ABS('DATOS'!G403-ROUND('DATOS'!G403,'REFERENCIAS'!$E$8))&gt;0.00000001,ABS('DATOS'!H403-ROUND('DATOS'!H403,'REFERENCIAS'!$H$8))&gt;0.00000001,ABS('DATOS'!J403-ROUND('DATOS'!J403,'REFERENCIAS'!$K$8))&gt;0.00000001,IF(ISNUMBER('DATOS'!I403),ABS('DATOS'!I403-ROUND('DATOS'!I403,'REFERENCIAS'!$H$8))&gt;0.00000001,FALSE)),1,0)))),2)</f>
      </c>
      <c r="T403" s="29">
        <f>IFERROR(IF(N403=0,"",IF(NOT(AND(LEN(TRIM('DATOS'!F403&amp;""))&gt;0,TRIM('DATOS'!F403&amp;"")&lt;&gt;"Pendiente",TRIM('DATOS'!F403&amp;"")&lt;&gt;"Por confirmar",TRIM('DATOS'!F403&amp;"")&lt;&gt;"No consta",TRIM('DATOS'!F403&amp;"")&lt;&gt;"Desconocido",TRIM('DATOS'!F403&amp;"")&lt;&gt;"Sin confirmar",TRIM('DATOS'!F403&amp;"")&lt;&gt;"Por decidir",TRIM('DATOS'!F403&amp;"")&lt;&gt;"Por comprobar")),2,IF(COUNTIFS('REFERENCIAS'!$T$15:$T$34,"ID:"&amp;SUBSTITUTE(SUBSTITUTE(SUBSTITUTE(SUBSTITUTE(UPPER(TRIM('DATOS'!F403&amp;"")),"!","!E"),"*","!A"),"?","!B"),"~","!C"),'REFERENCIAS'!$H$15:$H$34,"&lt;&gt;")&gt;0,0,1))),2)</f>
      </c>
      <c r="U403" s="29" t="str">
        <f>'DATOS'!R403</f>
        <v>ID:</v>
      </c>
      <c r="V403" s="29" t="str">
        <f>'DATOS'!S403</f>
        <v>ID:</v>
      </c>
      <c r="W403" s="29" t="n">
        <f>IF(N403=0,0,COUNTIFS('REFERENCIAS'!$R$15:$R$64,U403))</f>
        <v>0</v>
      </c>
      <c r="X403" s="29" t="n">
        <f>IF(N403=0,0,COUNTIFS('DATOS'!$R$10:$R$509,U403,'DATOS'!$S$10:$S$509,V403))</f>
        <v>0</v>
      </c>
      <c r="Y403" s="29" t="n">
        <f>IF(AND(ISNUMBER('DATOS'!G403),ISNUMBER('DATOS'!H403),ISNUMBER('DATOS'!J403)),1,0)</f>
        <v>0</v>
      </c>
    </row>
    <row r="404" ht="64" customHeight="1">
      <c r="B404" s="26">
        <f>IF(N404=1,395,"")</f>
      </c>
      <c r="C404" s="26">
        <f>IF(AND(N404=1,LEN(TRIM('DATOS'!B404&amp;""))&gt;0),'DATOS'!B404,"")</f>
      </c>
      <c r="D404" s="26">
        <f>IF(AND(N404=1,LEN(TRIM('DATOS'!C404&amp;""))&gt;0),'DATOS'!C404,"")</f>
      </c>
      <c r="E404" s="26">
        <f>IF(NOT(ISNUMBER(P404)),"",IF(P404=2,"ROJO",IF(P404=1,"ÁMBAR","VERDE")))</f>
      </c>
      <c r="F404" s="26">
        <f>IF(NOT(ISNUMBER(Q404)),"",IF(Q404=2,"ROJO",IF(Q404=1,"ÁMBAR","VERDE")))</f>
      </c>
      <c r="G404" s="26">
        <f>IF(NOT(ISNUMBER(R404)),"",IF(R404=2,"ROJO",IF(R404=1,"ÁMBAR","VERDE")))</f>
      </c>
      <c r="H404" s="26">
        <f>IF(NOT(ISNUMBER(S404)),"",IF(S404=2,"ROJO",IF(S404=1,"ÁMBAR","VERDE")))</f>
      </c>
      <c r="I404" s="26">
        <f>IF(NOT(ISNUMBER(T404)),"",IF(T404=2,"ROJO",IF(T404=1,"ÁMBAR","VERDE")))</f>
      </c>
      <c r="J404" s="26">
        <f>IF(NOT(ISNUMBER(O404)),"",IF(O404=2,"ROJO",IF(O404=1,"ÁMBAR","VERDE")))</f>
      </c>
      <c r="K404" s="26">
        <f>IFERROR(IF(AND(N404=1,LEN(TRIM('DATOS'!N404&amp;""))&gt;0),'DATOS'!N404,""),"Hay una entrada con error. Corregimos el dato antes de cerrar la comprobación.")</f>
      </c>
      <c r="L404" s="26">
        <f>IFERROR(IF(N404=0,"",IF(O404&gt;0,"Completamos datos, claves o motivo. ","")&amp;IF(P404&gt;0,"Cotejamos precios e importe. ","")&amp;IF(Q404&gt;0,"Aclaramos el cero. ","")&amp;IF(R404&gt;0,"Comprobamos el texto. ","")&amp;IF(S404&gt;0,"Revisamos decimales visibles. ","")&amp;IF(T404&gt;0,"Confirmamos la unidad.","")),"Hay una entrada con error. Corregimos el dato antes de cerrar la comprobación.")</f>
      </c>
      <c r="N404" s="29" t="n">
        <f>IF(COUNTA('DATOS'!B404:O404)&gt;0,1,0)</f>
        <v>0</v>
      </c>
      <c r="O404" s="29">
        <f>IFERROR(IF(N404=0,"",IF(OR(NOT(AND(LEN(TRIM('DATOS'!B404&amp;""))&gt;0,TRIM('DATOS'!B404&amp;"")&lt;&gt;"Pendiente",TRIM('DATOS'!B404&amp;"")&lt;&gt;"Por confirmar",TRIM('DATOS'!B404&amp;"")&lt;&gt;"No consta",TRIM('DATOS'!B404&amp;"")&lt;&gt;"Desconocido",TRIM('DATOS'!B404&amp;"")&lt;&gt;"Sin confirmar",TRIM('DATOS'!B404&amp;"")&lt;&gt;"Por decidir",TRIM('DATOS'!B404&amp;"")&lt;&gt;"Por comprobar")),NOT(AND(LEN(TRIM('DATOS'!C404&amp;""))&gt;0,TRIM('DATOS'!C404&amp;"")&lt;&gt;"Pendiente",TRIM('DATOS'!C404&amp;"")&lt;&gt;"Por confirmar",TRIM('DATOS'!C404&amp;"")&lt;&gt;"No consta",TRIM('DATOS'!C404&amp;"")&lt;&gt;"Desconocido",TRIM('DATOS'!C404&amp;"")&lt;&gt;"Sin confirmar",TRIM('DATOS'!C404&amp;"")&lt;&gt;"Por decidir",TRIM('DATOS'!C404&amp;"")&lt;&gt;"Por comprobar")),NOT(AND(LEN(TRIM('DATOS'!D404&amp;""))&gt;0,TRIM('DATOS'!D404&amp;"")&lt;&gt;"Pendiente",TRIM('DATOS'!D404&amp;"")&lt;&gt;"Por confirmar",TRIM('DATOS'!D404&amp;"")&lt;&gt;"No consta",TRIM('DATOS'!D404&amp;"")&lt;&gt;"Desconocido",TRIM('DATOS'!D404&amp;"")&lt;&gt;"Sin confirmar",TRIM('DATOS'!D404&amp;"")&lt;&gt;"Por decidir",TRIM('DATOS'!D404&amp;"")&lt;&gt;"Por comprobar")),NOT(AND(LEN(TRIM('DATOS'!E404&amp;""))&gt;0,TRIM('DATOS'!E404&amp;"")&lt;&gt;"Pendiente",TRIM('DATOS'!E404&amp;"")&lt;&gt;"Por confirmar",TRIM('DATOS'!E404&amp;"")&lt;&gt;"No consta",TRIM('DATOS'!E404&amp;"")&lt;&gt;"Desconocido",TRIM('DATOS'!E404&amp;"")&lt;&gt;"Sin confirmar",TRIM('DATOS'!E404&amp;"")&lt;&gt;"Por decidir",TRIM('DATOS'!E404&amp;"")&lt;&gt;"Por comprobar")),NOT(AND(LEN(TRIM('DATOS'!F404&amp;""))&gt;0,TRIM('DATOS'!F404&amp;"")&lt;&gt;"Pendiente",TRIM('DATOS'!F404&amp;"")&lt;&gt;"Por confirmar",TRIM('DATOS'!F404&amp;"")&lt;&gt;"No consta",TRIM('DATOS'!F404&amp;"")&lt;&gt;"Desconocido",TRIM('DATOS'!F404&amp;"")&lt;&gt;"Sin confirmar",TRIM('DATOS'!F404&amp;"")&lt;&gt;"Por decidir",TRIM('DATOS'!F404&amp;"")&lt;&gt;"Por comprobar")),NOT(AND(LEN(TRIM('DATOS'!N404&amp;""))&gt;0,TRIM('DATOS'!N404&amp;"")&lt;&gt;"Pendiente",TRIM('DATOS'!N404&amp;"")&lt;&gt;"Por confirmar",TRIM('DATOS'!N404&amp;"")&lt;&gt;"No consta",TRIM('DATOS'!N404&amp;"")&lt;&gt;"Desconocido",TRIM('DATOS'!N404&amp;"")&lt;&gt;"Sin confirmar",TRIM('DATOS'!N404&amp;"")&lt;&gt;"Por decidir",TRIM('DATOS'!N404&amp;"")&lt;&gt;"Por comprobar")),NOT(Y404=1),W404&lt;&gt;1,X404&gt;1,NOT(OR(LEN(TRIM('DATOS'!K404&amp;""))=0,'DATOS'!K404="Sin valorar",'DATOS'!K404="Sin coste documentado",'DATOS'!K404="Incluido en otra partida",'DATOS'!K404="Por confirmar")),NOT(OR(LEN(TRIM('DATOS'!M404&amp;""))=0,'DATOS'!M404="Sí",'DATOS'!M404="No",'DATOS'!M404="Por confirmar")),NOT(OR(LEN(TRIM('DATOS'!O404&amp;""))=0,'DATOS'!O404="Comparamos",'DATOS'!O404="No existe",'DATOS'!O404="Por confirmar"))),2,IF(AND(OR('DATOS'!G404&lt;0,'DATOS'!H404&lt;0,'DATOS'!J404&lt;0),NOT(AND(LEN(TRIM('DATOS'!L404&amp;""))&gt;0,TRIM('DATOS'!L404&amp;"")&lt;&gt;"Pendiente",TRIM('DATOS'!L404&amp;"")&lt;&gt;"Por confirmar",TRIM('DATOS'!L404&amp;"")&lt;&gt;"No consta",TRIM('DATOS'!L404&amp;"")&lt;&gt;"Desconocido",TRIM('DATOS'!L404&amp;"")&lt;&gt;"Sin confirmar",TRIM('DATOS'!L404&amp;"")&lt;&gt;"Por decidir",TRIM('DATOS'!L404&amp;"")&lt;&gt;"Por comprobar"))),1,0))),2)</f>
      </c>
      <c r="P404" s="29">
        <f>IFERROR(IF(N404=0,"",IF(NOT(Y404=1),1,IF('REFERENCIAS'!$Q$8&lt;&gt;1,2,IF(ABS('DATOS'!J404-ROUND('DATOS'!G404*'DATOS'!H404,'REFERENCIAS'!$K$8))&gt;0.00000001,2,IF('DATOS'!O404="No existe",IF(LEN(TRIM('DATOS'!I404&amp;""))=0,0,2),IF('DATOS'!O404="Comparamos",IF(LEN(TRIM('DATOS'!I404&amp;""))=0,1,IF(ISNUMBER('DATOS'!I404),IF(ABS('DATOS'!H404-'DATOS'!I404)&gt;0.00000001,2,0),2)),1)))))),2)</f>
      </c>
      <c r="Q404" s="29">
        <f>IFERROR(IF(N404=0,"",IF(NOT(Y404=1),1,IF('DATOS'!K404="Sin valorar",2,IF('DATOS'!G404=0,1,IF(OR('DATOS'!H404=0,'DATOS'!J404=0),IF(AND(OR('DATOS'!K404="Sin coste documentado",'DATOS'!K404="Incluido en otra partida"),AND(LEN(TRIM('DATOS'!L404&amp;""))&gt;0,TRIM('DATOS'!L404&amp;"")&lt;&gt;"Pendiente",TRIM('DATOS'!L404&amp;"")&lt;&gt;"Por confirmar",TRIM('DATOS'!L404&amp;"")&lt;&gt;"No consta",TRIM('DATOS'!L404&amp;"")&lt;&gt;"Desconocido",TRIM('DATOS'!L404&amp;"")&lt;&gt;"Sin confirmar",TRIM('DATOS'!L404&amp;"")&lt;&gt;"Por decidir",TRIM('DATOS'!L404&amp;"")&lt;&gt;"Por comprobar")),0,1),0))))),2)</f>
      </c>
      <c r="R404" s="29">
        <f>IFERROR(IF(N404=0,"",IF(OR(NOT(AND(LEN(TRIM('DATOS'!D404&amp;""))&gt;0,TRIM('DATOS'!D404&amp;"")&lt;&gt;"Pendiente",TRIM('DATOS'!D404&amp;"")&lt;&gt;"Por confirmar",TRIM('DATOS'!D404&amp;"")&lt;&gt;"No consta",TRIM('DATOS'!D404&amp;"")&lt;&gt;"Desconocido",TRIM('DATOS'!D404&amp;"")&lt;&gt;"Sin confirmar",TRIM('DATOS'!D404&amp;"")&lt;&gt;"Por decidir",TRIM('DATOS'!D404&amp;"")&lt;&gt;"Por comprobar")),NOT(AND(LEN(TRIM('DATOS'!E404&amp;""))&gt;0,TRIM('DATOS'!E404&amp;"")&lt;&gt;"Pendiente",TRIM('DATOS'!E404&amp;"")&lt;&gt;"Por confirmar",TRIM('DATOS'!E404&amp;"")&lt;&gt;"No consta",TRIM('DATOS'!E404&amp;"")&lt;&gt;"Desconocido",TRIM('DATOS'!E404&amp;"")&lt;&gt;"Sin confirmar",TRIM('DATOS'!E404&amp;"")&lt;&gt;"Por decidir",TRIM('DATOS'!E404&amp;"")&lt;&gt;"Por comprobar"))),2,IF('DATOS'!M404="No",2,IF('DATOS'!M404="Sí",0,IF(OR('DATOS'!D404&lt;&gt;'DATOS'!E404,LEN('DATOS'!E404)&gt;300,RIGHT(TRIM('DATOS'!E404),3)="...",RIGHT(TRIM('DATOS'!E404),1)="…"),1,0))))),2)</f>
      </c>
      <c r="S404" s="29">
        <f>IFERROR(IF(N404=0,"",IF('REFERENCIAS'!$Q$8&lt;&gt;1,2,IF(NOT(Y404=1),1,IF(OR(ABS('DATOS'!G404-ROUND('DATOS'!G404,'REFERENCIAS'!$E$8))&gt;0.00000001,ABS('DATOS'!H404-ROUND('DATOS'!H404,'REFERENCIAS'!$H$8))&gt;0.00000001,ABS('DATOS'!J404-ROUND('DATOS'!J404,'REFERENCIAS'!$K$8))&gt;0.00000001,IF(ISNUMBER('DATOS'!I404),ABS('DATOS'!I404-ROUND('DATOS'!I404,'REFERENCIAS'!$H$8))&gt;0.00000001,FALSE)),1,0)))),2)</f>
      </c>
      <c r="T404" s="29">
        <f>IFERROR(IF(N404=0,"",IF(NOT(AND(LEN(TRIM('DATOS'!F404&amp;""))&gt;0,TRIM('DATOS'!F404&amp;"")&lt;&gt;"Pendiente",TRIM('DATOS'!F404&amp;"")&lt;&gt;"Por confirmar",TRIM('DATOS'!F404&amp;"")&lt;&gt;"No consta",TRIM('DATOS'!F404&amp;"")&lt;&gt;"Desconocido",TRIM('DATOS'!F404&amp;"")&lt;&gt;"Sin confirmar",TRIM('DATOS'!F404&amp;"")&lt;&gt;"Por decidir",TRIM('DATOS'!F404&amp;"")&lt;&gt;"Por comprobar")),2,IF(COUNTIFS('REFERENCIAS'!$T$15:$T$34,"ID:"&amp;SUBSTITUTE(SUBSTITUTE(SUBSTITUTE(SUBSTITUTE(UPPER(TRIM('DATOS'!F404&amp;"")),"!","!E"),"*","!A"),"?","!B"),"~","!C"),'REFERENCIAS'!$H$15:$H$34,"&lt;&gt;")&gt;0,0,1))),2)</f>
      </c>
      <c r="U404" s="29" t="str">
        <f>'DATOS'!R404</f>
        <v>ID:</v>
      </c>
      <c r="V404" s="29" t="str">
        <f>'DATOS'!S404</f>
        <v>ID:</v>
      </c>
      <c r="W404" s="29" t="n">
        <f>IF(N404=0,0,COUNTIFS('REFERENCIAS'!$R$15:$R$64,U404))</f>
        <v>0</v>
      </c>
      <c r="X404" s="29" t="n">
        <f>IF(N404=0,0,COUNTIFS('DATOS'!$R$10:$R$509,U404,'DATOS'!$S$10:$S$509,V404))</f>
        <v>0</v>
      </c>
      <c r="Y404" s="29" t="n">
        <f>IF(AND(ISNUMBER('DATOS'!G404),ISNUMBER('DATOS'!H404),ISNUMBER('DATOS'!J404)),1,0)</f>
        <v>0</v>
      </c>
    </row>
    <row r="405" ht="64" customHeight="1">
      <c r="B405" s="26">
        <f>IF(N405=1,396,"")</f>
      </c>
      <c r="C405" s="26">
        <f>IF(AND(N405=1,LEN(TRIM('DATOS'!B405&amp;""))&gt;0),'DATOS'!B405,"")</f>
      </c>
      <c r="D405" s="26">
        <f>IF(AND(N405=1,LEN(TRIM('DATOS'!C405&amp;""))&gt;0),'DATOS'!C405,"")</f>
      </c>
      <c r="E405" s="26">
        <f>IF(NOT(ISNUMBER(P405)),"",IF(P405=2,"ROJO",IF(P405=1,"ÁMBAR","VERDE")))</f>
      </c>
      <c r="F405" s="26">
        <f>IF(NOT(ISNUMBER(Q405)),"",IF(Q405=2,"ROJO",IF(Q405=1,"ÁMBAR","VERDE")))</f>
      </c>
      <c r="G405" s="26">
        <f>IF(NOT(ISNUMBER(R405)),"",IF(R405=2,"ROJO",IF(R405=1,"ÁMBAR","VERDE")))</f>
      </c>
      <c r="H405" s="26">
        <f>IF(NOT(ISNUMBER(S405)),"",IF(S405=2,"ROJO",IF(S405=1,"ÁMBAR","VERDE")))</f>
      </c>
      <c r="I405" s="26">
        <f>IF(NOT(ISNUMBER(T405)),"",IF(T405=2,"ROJO",IF(T405=1,"ÁMBAR","VERDE")))</f>
      </c>
      <c r="J405" s="26">
        <f>IF(NOT(ISNUMBER(O405)),"",IF(O405=2,"ROJO",IF(O405=1,"ÁMBAR","VERDE")))</f>
      </c>
      <c r="K405" s="26">
        <f>IFERROR(IF(AND(N405=1,LEN(TRIM('DATOS'!N405&amp;""))&gt;0),'DATOS'!N405,""),"Hay una entrada con error. Corregimos el dato antes de cerrar la comprobación.")</f>
      </c>
      <c r="L405" s="26">
        <f>IFERROR(IF(N405=0,"",IF(O405&gt;0,"Completamos datos, claves o motivo. ","")&amp;IF(P405&gt;0,"Cotejamos precios e importe. ","")&amp;IF(Q405&gt;0,"Aclaramos el cero. ","")&amp;IF(R405&gt;0,"Comprobamos el texto. ","")&amp;IF(S405&gt;0,"Revisamos decimales visibles. ","")&amp;IF(T405&gt;0,"Confirmamos la unidad.","")),"Hay una entrada con error. Corregimos el dato antes de cerrar la comprobación.")</f>
      </c>
      <c r="N405" s="29" t="n">
        <f>IF(COUNTA('DATOS'!B405:O405)&gt;0,1,0)</f>
        <v>0</v>
      </c>
      <c r="O405" s="29">
        <f>IFERROR(IF(N405=0,"",IF(OR(NOT(AND(LEN(TRIM('DATOS'!B405&amp;""))&gt;0,TRIM('DATOS'!B405&amp;"")&lt;&gt;"Pendiente",TRIM('DATOS'!B405&amp;"")&lt;&gt;"Por confirmar",TRIM('DATOS'!B405&amp;"")&lt;&gt;"No consta",TRIM('DATOS'!B405&amp;"")&lt;&gt;"Desconocido",TRIM('DATOS'!B405&amp;"")&lt;&gt;"Sin confirmar",TRIM('DATOS'!B405&amp;"")&lt;&gt;"Por decidir",TRIM('DATOS'!B405&amp;"")&lt;&gt;"Por comprobar")),NOT(AND(LEN(TRIM('DATOS'!C405&amp;""))&gt;0,TRIM('DATOS'!C405&amp;"")&lt;&gt;"Pendiente",TRIM('DATOS'!C405&amp;"")&lt;&gt;"Por confirmar",TRIM('DATOS'!C405&amp;"")&lt;&gt;"No consta",TRIM('DATOS'!C405&amp;"")&lt;&gt;"Desconocido",TRIM('DATOS'!C405&amp;"")&lt;&gt;"Sin confirmar",TRIM('DATOS'!C405&amp;"")&lt;&gt;"Por decidir",TRIM('DATOS'!C405&amp;"")&lt;&gt;"Por comprobar")),NOT(AND(LEN(TRIM('DATOS'!D405&amp;""))&gt;0,TRIM('DATOS'!D405&amp;"")&lt;&gt;"Pendiente",TRIM('DATOS'!D405&amp;"")&lt;&gt;"Por confirmar",TRIM('DATOS'!D405&amp;"")&lt;&gt;"No consta",TRIM('DATOS'!D405&amp;"")&lt;&gt;"Desconocido",TRIM('DATOS'!D405&amp;"")&lt;&gt;"Sin confirmar",TRIM('DATOS'!D405&amp;"")&lt;&gt;"Por decidir",TRIM('DATOS'!D405&amp;"")&lt;&gt;"Por comprobar")),NOT(AND(LEN(TRIM('DATOS'!E405&amp;""))&gt;0,TRIM('DATOS'!E405&amp;"")&lt;&gt;"Pendiente",TRIM('DATOS'!E405&amp;"")&lt;&gt;"Por confirmar",TRIM('DATOS'!E405&amp;"")&lt;&gt;"No consta",TRIM('DATOS'!E405&amp;"")&lt;&gt;"Desconocido",TRIM('DATOS'!E405&amp;"")&lt;&gt;"Sin confirmar",TRIM('DATOS'!E405&amp;"")&lt;&gt;"Por decidir",TRIM('DATOS'!E405&amp;"")&lt;&gt;"Por comprobar")),NOT(AND(LEN(TRIM('DATOS'!F405&amp;""))&gt;0,TRIM('DATOS'!F405&amp;"")&lt;&gt;"Pendiente",TRIM('DATOS'!F405&amp;"")&lt;&gt;"Por confirmar",TRIM('DATOS'!F405&amp;"")&lt;&gt;"No consta",TRIM('DATOS'!F405&amp;"")&lt;&gt;"Desconocido",TRIM('DATOS'!F405&amp;"")&lt;&gt;"Sin confirmar",TRIM('DATOS'!F405&amp;"")&lt;&gt;"Por decidir",TRIM('DATOS'!F405&amp;"")&lt;&gt;"Por comprobar")),NOT(AND(LEN(TRIM('DATOS'!N405&amp;""))&gt;0,TRIM('DATOS'!N405&amp;"")&lt;&gt;"Pendiente",TRIM('DATOS'!N405&amp;"")&lt;&gt;"Por confirmar",TRIM('DATOS'!N405&amp;"")&lt;&gt;"No consta",TRIM('DATOS'!N405&amp;"")&lt;&gt;"Desconocido",TRIM('DATOS'!N405&amp;"")&lt;&gt;"Sin confirmar",TRIM('DATOS'!N405&amp;"")&lt;&gt;"Por decidir",TRIM('DATOS'!N405&amp;"")&lt;&gt;"Por comprobar")),NOT(Y405=1),W405&lt;&gt;1,X405&gt;1,NOT(OR(LEN(TRIM('DATOS'!K405&amp;""))=0,'DATOS'!K405="Sin valorar",'DATOS'!K405="Sin coste documentado",'DATOS'!K405="Incluido en otra partida",'DATOS'!K405="Por confirmar")),NOT(OR(LEN(TRIM('DATOS'!M405&amp;""))=0,'DATOS'!M405="Sí",'DATOS'!M405="No",'DATOS'!M405="Por confirmar")),NOT(OR(LEN(TRIM('DATOS'!O405&amp;""))=0,'DATOS'!O405="Comparamos",'DATOS'!O405="No existe",'DATOS'!O405="Por confirmar"))),2,IF(AND(OR('DATOS'!G405&lt;0,'DATOS'!H405&lt;0,'DATOS'!J405&lt;0),NOT(AND(LEN(TRIM('DATOS'!L405&amp;""))&gt;0,TRIM('DATOS'!L405&amp;"")&lt;&gt;"Pendiente",TRIM('DATOS'!L405&amp;"")&lt;&gt;"Por confirmar",TRIM('DATOS'!L405&amp;"")&lt;&gt;"No consta",TRIM('DATOS'!L405&amp;"")&lt;&gt;"Desconocido",TRIM('DATOS'!L405&amp;"")&lt;&gt;"Sin confirmar",TRIM('DATOS'!L405&amp;"")&lt;&gt;"Por decidir",TRIM('DATOS'!L405&amp;"")&lt;&gt;"Por comprobar"))),1,0))),2)</f>
      </c>
      <c r="P405" s="29">
        <f>IFERROR(IF(N405=0,"",IF(NOT(Y405=1),1,IF('REFERENCIAS'!$Q$8&lt;&gt;1,2,IF(ABS('DATOS'!J405-ROUND('DATOS'!G405*'DATOS'!H405,'REFERENCIAS'!$K$8))&gt;0.00000001,2,IF('DATOS'!O405="No existe",IF(LEN(TRIM('DATOS'!I405&amp;""))=0,0,2),IF('DATOS'!O405="Comparamos",IF(LEN(TRIM('DATOS'!I405&amp;""))=0,1,IF(ISNUMBER('DATOS'!I405),IF(ABS('DATOS'!H405-'DATOS'!I405)&gt;0.00000001,2,0),2)),1)))))),2)</f>
      </c>
      <c r="Q405" s="29">
        <f>IFERROR(IF(N405=0,"",IF(NOT(Y405=1),1,IF('DATOS'!K405="Sin valorar",2,IF('DATOS'!G405=0,1,IF(OR('DATOS'!H405=0,'DATOS'!J405=0),IF(AND(OR('DATOS'!K405="Sin coste documentado",'DATOS'!K405="Incluido en otra partida"),AND(LEN(TRIM('DATOS'!L405&amp;""))&gt;0,TRIM('DATOS'!L405&amp;"")&lt;&gt;"Pendiente",TRIM('DATOS'!L405&amp;"")&lt;&gt;"Por confirmar",TRIM('DATOS'!L405&amp;"")&lt;&gt;"No consta",TRIM('DATOS'!L405&amp;"")&lt;&gt;"Desconocido",TRIM('DATOS'!L405&amp;"")&lt;&gt;"Sin confirmar",TRIM('DATOS'!L405&amp;"")&lt;&gt;"Por decidir",TRIM('DATOS'!L405&amp;"")&lt;&gt;"Por comprobar")),0,1),0))))),2)</f>
      </c>
      <c r="R405" s="29">
        <f>IFERROR(IF(N405=0,"",IF(OR(NOT(AND(LEN(TRIM('DATOS'!D405&amp;""))&gt;0,TRIM('DATOS'!D405&amp;"")&lt;&gt;"Pendiente",TRIM('DATOS'!D405&amp;"")&lt;&gt;"Por confirmar",TRIM('DATOS'!D405&amp;"")&lt;&gt;"No consta",TRIM('DATOS'!D405&amp;"")&lt;&gt;"Desconocido",TRIM('DATOS'!D405&amp;"")&lt;&gt;"Sin confirmar",TRIM('DATOS'!D405&amp;"")&lt;&gt;"Por decidir",TRIM('DATOS'!D405&amp;"")&lt;&gt;"Por comprobar")),NOT(AND(LEN(TRIM('DATOS'!E405&amp;""))&gt;0,TRIM('DATOS'!E405&amp;"")&lt;&gt;"Pendiente",TRIM('DATOS'!E405&amp;"")&lt;&gt;"Por confirmar",TRIM('DATOS'!E405&amp;"")&lt;&gt;"No consta",TRIM('DATOS'!E405&amp;"")&lt;&gt;"Desconocido",TRIM('DATOS'!E405&amp;"")&lt;&gt;"Sin confirmar",TRIM('DATOS'!E405&amp;"")&lt;&gt;"Por decidir",TRIM('DATOS'!E405&amp;"")&lt;&gt;"Por comprobar"))),2,IF('DATOS'!M405="No",2,IF('DATOS'!M405="Sí",0,IF(OR('DATOS'!D405&lt;&gt;'DATOS'!E405,LEN('DATOS'!E405)&gt;300,RIGHT(TRIM('DATOS'!E405),3)="...",RIGHT(TRIM('DATOS'!E405),1)="…"),1,0))))),2)</f>
      </c>
      <c r="S405" s="29">
        <f>IFERROR(IF(N405=0,"",IF('REFERENCIAS'!$Q$8&lt;&gt;1,2,IF(NOT(Y405=1),1,IF(OR(ABS('DATOS'!G405-ROUND('DATOS'!G405,'REFERENCIAS'!$E$8))&gt;0.00000001,ABS('DATOS'!H405-ROUND('DATOS'!H405,'REFERENCIAS'!$H$8))&gt;0.00000001,ABS('DATOS'!J405-ROUND('DATOS'!J405,'REFERENCIAS'!$K$8))&gt;0.00000001,IF(ISNUMBER('DATOS'!I405),ABS('DATOS'!I405-ROUND('DATOS'!I405,'REFERENCIAS'!$H$8))&gt;0.00000001,FALSE)),1,0)))),2)</f>
      </c>
      <c r="T405" s="29">
        <f>IFERROR(IF(N405=0,"",IF(NOT(AND(LEN(TRIM('DATOS'!F405&amp;""))&gt;0,TRIM('DATOS'!F405&amp;"")&lt;&gt;"Pendiente",TRIM('DATOS'!F405&amp;"")&lt;&gt;"Por confirmar",TRIM('DATOS'!F405&amp;"")&lt;&gt;"No consta",TRIM('DATOS'!F405&amp;"")&lt;&gt;"Desconocido",TRIM('DATOS'!F405&amp;"")&lt;&gt;"Sin confirmar",TRIM('DATOS'!F405&amp;"")&lt;&gt;"Por decidir",TRIM('DATOS'!F405&amp;"")&lt;&gt;"Por comprobar")),2,IF(COUNTIFS('REFERENCIAS'!$T$15:$T$34,"ID:"&amp;SUBSTITUTE(SUBSTITUTE(SUBSTITUTE(SUBSTITUTE(UPPER(TRIM('DATOS'!F405&amp;"")),"!","!E"),"*","!A"),"?","!B"),"~","!C"),'REFERENCIAS'!$H$15:$H$34,"&lt;&gt;")&gt;0,0,1))),2)</f>
      </c>
      <c r="U405" s="29" t="str">
        <f>'DATOS'!R405</f>
        <v>ID:</v>
      </c>
      <c r="V405" s="29" t="str">
        <f>'DATOS'!S405</f>
        <v>ID:</v>
      </c>
      <c r="W405" s="29" t="n">
        <f>IF(N405=0,0,COUNTIFS('REFERENCIAS'!$R$15:$R$64,U405))</f>
        <v>0</v>
      </c>
      <c r="X405" s="29" t="n">
        <f>IF(N405=0,0,COUNTIFS('DATOS'!$R$10:$R$509,U405,'DATOS'!$S$10:$S$509,V405))</f>
        <v>0</v>
      </c>
      <c r="Y405" s="29" t="n">
        <f>IF(AND(ISNUMBER('DATOS'!G405),ISNUMBER('DATOS'!H405),ISNUMBER('DATOS'!J405)),1,0)</f>
        <v>0</v>
      </c>
    </row>
    <row r="406" ht="64" customHeight="1">
      <c r="B406" s="26">
        <f>IF(N406=1,397,"")</f>
      </c>
      <c r="C406" s="26">
        <f>IF(AND(N406=1,LEN(TRIM('DATOS'!B406&amp;""))&gt;0),'DATOS'!B406,"")</f>
      </c>
      <c r="D406" s="26">
        <f>IF(AND(N406=1,LEN(TRIM('DATOS'!C406&amp;""))&gt;0),'DATOS'!C406,"")</f>
      </c>
      <c r="E406" s="26">
        <f>IF(NOT(ISNUMBER(P406)),"",IF(P406=2,"ROJO",IF(P406=1,"ÁMBAR","VERDE")))</f>
      </c>
      <c r="F406" s="26">
        <f>IF(NOT(ISNUMBER(Q406)),"",IF(Q406=2,"ROJO",IF(Q406=1,"ÁMBAR","VERDE")))</f>
      </c>
      <c r="G406" s="26">
        <f>IF(NOT(ISNUMBER(R406)),"",IF(R406=2,"ROJO",IF(R406=1,"ÁMBAR","VERDE")))</f>
      </c>
      <c r="H406" s="26">
        <f>IF(NOT(ISNUMBER(S406)),"",IF(S406=2,"ROJO",IF(S406=1,"ÁMBAR","VERDE")))</f>
      </c>
      <c r="I406" s="26">
        <f>IF(NOT(ISNUMBER(T406)),"",IF(T406=2,"ROJO",IF(T406=1,"ÁMBAR","VERDE")))</f>
      </c>
      <c r="J406" s="26">
        <f>IF(NOT(ISNUMBER(O406)),"",IF(O406=2,"ROJO",IF(O406=1,"ÁMBAR","VERDE")))</f>
      </c>
      <c r="K406" s="26">
        <f>IFERROR(IF(AND(N406=1,LEN(TRIM('DATOS'!N406&amp;""))&gt;0),'DATOS'!N406,""),"Hay una entrada con error. Corregimos el dato antes de cerrar la comprobación.")</f>
      </c>
      <c r="L406" s="26">
        <f>IFERROR(IF(N406=0,"",IF(O406&gt;0,"Completamos datos, claves o motivo. ","")&amp;IF(P406&gt;0,"Cotejamos precios e importe. ","")&amp;IF(Q406&gt;0,"Aclaramos el cero. ","")&amp;IF(R406&gt;0,"Comprobamos el texto. ","")&amp;IF(S406&gt;0,"Revisamos decimales visibles. ","")&amp;IF(T406&gt;0,"Confirmamos la unidad.","")),"Hay una entrada con error. Corregimos el dato antes de cerrar la comprobación.")</f>
      </c>
      <c r="N406" s="29" t="n">
        <f>IF(COUNTA('DATOS'!B406:O406)&gt;0,1,0)</f>
        <v>0</v>
      </c>
      <c r="O406" s="29">
        <f>IFERROR(IF(N406=0,"",IF(OR(NOT(AND(LEN(TRIM('DATOS'!B406&amp;""))&gt;0,TRIM('DATOS'!B406&amp;"")&lt;&gt;"Pendiente",TRIM('DATOS'!B406&amp;"")&lt;&gt;"Por confirmar",TRIM('DATOS'!B406&amp;"")&lt;&gt;"No consta",TRIM('DATOS'!B406&amp;"")&lt;&gt;"Desconocido",TRIM('DATOS'!B406&amp;"")&lt;&gt;"Sin confirmar",TRIM('DATOS'!B406&amp;"")&lt;&gt;"Por decidir",TRIM('DATOS'!B406&amp;"")&lt;&gt;"Por comprobar")),NOT(AND(LEN(TRIM('DATOS'!C406&amp;""))&gt;0,TRIM('DATOS'!C406&amp;"")&lt;&gt;"Pendiente",TRIM('DATOS'!C406&amp;"")&lt;&gt;"Por confirmar",TRIM('DATOS'!C406&amp;"")&lt;&gt;"No consta",TRIM('DATOS'!C406&amp;"")&lt;&gt;"Desconocido",TRIM('DATOS'!C406&amp;"")&lt;&gt;"Sin confirmar",TRIM('DATOS'!C406&amp;"")&lt;&gt;"Por decidir",TRIM('DATOS'!C406&amp;"")&lt;&gt;"Por comprobar")),NOT(AND(LEN(TRIM('DATOS'!D406&amp;""))&gt;0,TRIM('DATOS'!D406&amp;"")&lt;&gt;"Pendiente",TRIM('DATOS'!D406&amp;"")&lt;&gt;"Por confirmar",TRIM('DATOS'!D406&amp;"")&lt;&gt;"No consta",TRIM('DATOS'!D406&amp;"")&lt;&gt;"Desconocido",TRIM('DATOS'!D406&amp;"")&lt;&gt;"Sin confirmar",TRIM('DATOS'!D406&amp;"")&lt;&gt;"Por decidir",TRIM('DATOS'!D406&amp;"")&lt;&gt;"Por comprobar")),NOT(AND(LEN(TRIM('DATOS'!E406&amp;""))&gt;0,TRIM('DATOS'!E406&amp;"")&lt;&gt;"Pendiente",TRIM('DATOS'!E406&amp;"")&lt;&gt;"Por confirmar",TRIM('DATOS'!E406&amp;"")&lt;&gt;"No consta",TRIM('DATOS'!E406&amp;"")&lt;&gt;"Desconocido",TRIM('DATOS'!E406&amp;"")&lt;&gt;"Sin confirmar",TRIM('DATOS'!E406&amp;"")&lt;&gt;"Por decidir",TRIM('DATOS'!E406&amp;"")&lt;&gt;"Por comprobar")),NOT(AND(LEN(TRIM('DATOS'!F406&amp;""))&gt;0,TRIM('DATOS'!F406&amp;"")&lt;&gt;"Pendiente",TRIM('DATOS'!F406&amp;"")&lt;&gt;"Por confirmar",TRIM('DATOS'!F406&amp;"")&lt;&gt;"No consta",TRIM('DATOS'!F406&amp;"")&lt;&gt;"Desconocido",TRIM('DATOS'!F406&amp;"")&lt;&gt;"Sin confirmar",TRIM('DATOS'!F406&amp;"")&lt;&gt;"Por decidir",TRIM('DATOS'!F406&amp;"")&lt;&gt;"Por comprobar")),NOT(AND(LEN(TRIM('DATOS'!N406&amp;""))&gt;0,TRIM('DATOS'!N406&amp;"")&lt;&gt;"Pendiente",TRIM('DATOS'!N406&amp;"")&lt;&gt;"Por confirmar",TRIM('DATOS'!N406&amp;"")&lt;&gt;"No consta",TRIM('DATOS'!N406&amp;"")&lt;&gt;"Desconocido",TRIM('DATOS'!N406&amp;"")&lt;&gt;"Sin confirmar",TRIM('DATOS'!N406&amp;"")&lt;&gt;"Por decidir",TRIM('DATOS'!N406&amp;"")&lt;&gt;"Por comprobar")),NOT(Y406=1),W406&lt;&gt;1,X406&gt;1,NOT(OR(LEN(TRIM('DATOS'!K406&amp;""))=0,'DATOS'!K406="Sin valorar",'DATOS'!K406="Sin coste documentado",'DATOS'!K406="Incluido en otra partida",'DATOS'!K406="Por confirmar")),NOT(OR(LEN(TRIM('DATOS'!M406&amp;""))=0,'DATOS'!M406="Sí",'DATOS'!M406="No",'DATOS'!M406="Por confirmar")),NOT(OR(LEN(TRIM('DATOS'!O406&amp;""))=0,'DATOS'!O406="Comparamos",'DATOS'!O406="No existe",'DATOS'!O406="Por confirmar"))),2,IF(AND(OR('DATOS'!G406&lt;0,'DATOS'!H406&lt;0,'DATOS'!J406&lt;0),NOT(AND(LEN(TRIM('DATOS'!L406&amp;""))&gt;0,TRIM('DATOS'!L406&amp;"")&lt;&gt;"Pendiente",TRIM('DATOS'!L406&amp;"")&lt;&gt;"Por confirmar",TRIM('DATOS'!L406&amp;"")&lt;&gt;"No consta",TRIM('DATOS'!L406&amp;"")&lt;&gt;"Desconocido",TRIM('DATOS'!L406&amp;"")&lt;&gt;"Sin confirmar",TRIM('DATOS'!L406&amp;"")&lt;&gt;"Por decidir",TRIM('DATOS'!L406&amp;"")&lt;&gt;"Por comprobar"))),1,0))),2)</f>
      </c>
      <c r="P406" s="29">
        <f>IFERROR(IF(N406=0,"",IF(NOT(Y406=1),1,IF('REFERENCIAS'!$Q$8&lt;&gt;1,2,IF(ABS('DATOS'!J406-ROUND('DATOS'!G406*'DATOS'!H406,'REFERENCIAS'!$K$8))&gt;0.00000001,2,IF('DATOS'!O406="No existe",IF(LEN(TRIM('DATOS'!I406&amp;""))=0,0,2),IF('DATOS'!O406="Comparamos",IF(LEN(TRIM('DATOS'!I406&amp;""))=0,1,IF(ISNUMBER('DATOS'!I406),IF(ABS('DATOS'!H406-'DATOS'!I406)&gt;0.00000001,2,0),2)),1)))))),2)</f>
      </c>
      <c r="Q406" s="29">
        <f>IFERROR(IF(N406=0,"",IF(NOT(Y406=1),1,IF('DATOS'!K406="Sin valorar",2,IF('DATOS'!G406=0,1,IF(OR('DATOS'!H406=0,'DATOS'!J406=0),IF(AND(OR('DATOS'!K406="Sin coste documentado",'DATOS'!K406="Incluido en otra partida"),AND(LEN(TRIM('DATOS'!L406&amp;""))&gt;0,TRIM('DATOS'!L406&amp;"")&lt;&gt;"Pendiente",TRIM('DATOS'!L406&amp;"")&lt;&gt;"Por confirmar",TRIM('DATOS'!L406&amp;"")&lt;&gt;"No consta",TRIM('DATOS'!L406&amp;"")&lt;&gt;"Desconocido",TRIM('DATOS'!L406&amp;"")&lt;&gt;"Sin confirmar",TRIM('DATOS'!L406&amp;"")&lt;&gt;"Por decidir",TRIM('DATOS'!L406&amp;"")&lt;&gt;"Por comprobar")),0,1),0))))),2)</f>
      </c>
      <c r="R406" s="29">
        <f>IFERROR(IF(N406=0,"",IF(OR(NOT(AND(LEN(TRIM('DATOS'!D406&amp;""))&gt;0,TRIM('DATOS'!D406&amp;"")&lt;&gt;"Pendiente",TRIM('DATOS'!D406&amp;"")&lt;&gt;"Por confirmar",TRIM('DATOS'!D406&amp;"")&lt;&gt;"No consta",TRIM('DATOS'!D406&amp;"")&lt;&gt;"Desconocido",TRIM('DATOS'!D406&amp;"")&lt;&gt;"Sin confirmar",TRIM('DATOS'!D406&amp;"")&lt;&gt;"Por decidir",TRIM('DATOS'!D406&amp;"")&lt;&gt;"Por comprobar")),NOT(AND(LEN(TRIM('DATOS'!E406&amp;""))&gt;0,TRIM('DATOS'!E406&amp;"")&lt;&gt;"Pendiente",TRIM('DATOS'!E406&amp;"")&lt;&gt;"Por confirmar",TRIM('DATOS'!E406&amp;"")&lt;&gt;"No consta",TRIM('DATOS'!E406&amp;"")&lt;&gt;"Desconocido",TRIM('DATOS'!E406&amp;"")&lt;&gt;"Sin confirmar",TRIM('DATOS'!E406&amp;"")&lt;&gt;"Por decidir",TRIM('DATOS'!E406&amp;"")&lt;&gt;"Por comprobar"))),2,IF('DATOS'!M406="No",2,IF('DATOS'!M406="Sí",0,IF(OR('DATOS'!D406&lt;&gt;'DATOS'!E406,LEN('DATOS'!E406)&gt;300,RIGHT(TRIM('DATOS'!E406),3)="...",RIGHT(TRIM('DATOS'!E406),1)="…"),1,0))))),2)</f>
      </c>
      <c r="S406" s="29">
        <f>IFERROR(IF(N406=0,"",IF('REFERENCIAS'!$Q$8&lt;&gt;1,2,IF(NOT(Y406=1),1,IF(OR(ABS('DATOS'!G406-ROUND('DATOS'!G406,'REFERENCIAS'!$E$8))&gt;0.00000001,ABS('DATOS'!H406-ROUND('DATOS'!H406,'REFERENCIAS'!$H$8))&gt;0.00000001,ABS('DATOS'!J406-ROUND('DATOS'!J406,'REFERENCIAS'!$K$8))&gt;0.00000001,IF(ISNUMBER('DATOS'!I406),ABS('DATOS'!I406-ROUND('DATOS'!I406,'REFERENCIAS'!$H$8))&gt;0.00000001,FALSE)),1,0)))),2)</f>
      </c>
      <c r="T406" s="29">
        <f>IFERROR(IF(N406=0,"",IF(NOT(AND(LEN(TRIM('DATOS'!F406&amp;""))&gt;0,TRIM('DATOS'!F406&amp;"")&lt;&gt;"Pendiente",TRIM('DATOS'!F406&amp;"")&lt;&gt;"Por confirmar",TRIM('DATOS'!F406&amp;"")&lt;&gt;"No consta",TRIM('DATOS'!F406&amp;"")&lt;&gt;"Desconocido",TRIM('DATOS'!F406&amp;"")&lt;&gt;"Sin confirmar",TRIM('DATOS'!F406&amp;"")&lt;&gt;"Por decidir",TRIM('DATOS'!F406&amp;"")&lt;&gt;"Por comprobar")),2,IF(COUNTIFS('REFERENCIAS'!$T$15:$T$34,"ID:"&amp;SUBSTITUTE(SUBSTITUTE(SUBSTITUTE(SUBSTITUTE(UPPER(TRIM('DATOS'!F406&amp;"")),"!","!E"),"*","!A"),"?","!B"),"~","!C"),'REFERENCIAS'!$H$15:$H$34,"&lt;&gt;")&gt;0,0,1))),2)</f>
      </c>
      <c r="U406" s="29" t="str">
        <f>'DATOS'!R406</f>
        <v>ID:</v>
      </c>
      <c r="V406" s="29" t="str">
        <f>'DATOS'!S406</f>
        <v>ID:</v>
      </c>
      <c r="W406" s="29" t="n">
        <f>IF(N406=0,0,COUNTIFS('REFERENCIAS'!$R$15:$R$64,U406))</f>
        <v>0</v>
      </c>
      <c r="X406" s="29" t="n">
        <f>IF(N406=0,0,COUNTIFS('DATOS'!$R$10:$R$509,U406,'DATOS'!$S$10:$S$509,V406))</f>
        <v>0</v>
      </c>
      <c r="Y406" s="29" t="n">
        <f>IF(AND(ISNUMBER('DATOS'!G406),ISNUMBER('DATOS'!H406),ISNUMBER('DATOS'!J406)),1,0)</f>
        <v>0</v>
      </c>
    </row>
    <row r="407" ht="64" customHeight="1">
      <c r="B407" s="26">
        <f>IF(N407=1,398,"")</f>
      </c>
      <c r="C407" s="26">
        <f>IF(AND(N407=1,LEN(TRIM('DATOS'!B407&amp;""))&gt;0),'DATOS'!B407,"")</f>
      </c>
      <c r="D407" s="26">
        <f>IF(AND(N407=1,LEN(TRIM('DATOS'!C407&amp;""))&gt;0),'DATOS'!C407,"")</f>
      </c>
      <c r="E407" s="26">
        <f>IF(NOT(ISNUMBER(P407)),"",IF(P407=2,"ROJO",IF(P407=1,"ÁMBAR","VERDE")))</f>
      </c>
      <c r="F407" s="26">
        <f>IF(NOT(ISNUMBER(Q407)),"",IF(Q407=2,"ROJO",IF(Q407=1,"ÁMBAR","VERDE")))</f>
      </c>
      <c r="G407" s="26">
        <f>IF(NOT(ISNUMBER(R407)),"",IF(R407=2,"ROJO",IF(R407=1,"ÁMBAR","VERDE")))</f>
      </c>
      <c r="H407" s="26">
        <f>IF(NOT(ISNUMBER(S407)),"",IF(S407=2,"ROJO",IF(S407=1,"ÁMBAR","VERDE")))</f>
      </c>
      <c r="I407" s="26">
        <f>IF(NOT(ISNUMBER(T407)),"",IF(T407=2,"ROJO",IF(T407=1,"ÁMBAR","VERDE")))</f>
      </c>
      <c r="J407" s="26">
        <f>IF(NOT(ISNUMBER(O407)),"",IF(O407=2,"ROJO",IF(O407=1,"ÁMBAR","VERDE")))</f>
      </c>
      <c r="K407" s="26">
        <f>IFERROR(IF(AND(N407=1,LEN(TRIM('DATOS'!N407&amp;""))&gt;0),'DATOS'!N407,""),"Hay una entrada con error. Corregimos el dato antes de cerrar la comprobación.")</f>
      </c>
      <c r="L407" s="26">
        <f>IFERROR(IF(N407=0,"",IF(O407&gt;0,"Completamos datos, claves o motivo. ","")&amp;IF(P407&gt;0,"Cotejamos precios e importe. ","")&amp;IF(Q407&gt;0,"Aclaramos el cero. ","")&amp;IF(R407&gt;0,"Comprobamos el texto. ","")&amp;IF(S407&gt;0,"Revisamos decimales visibles. ","")&amp;IF(T407&gt;0,"Confirmamos la unidad.","")),"Hay una entrada con error. Corregimos el dato antes de cerrar la comprobación.")</f>
      </c>
      <c r="N407" s="29" t="n">
        <f>IF(COUNTA('DATOS'!B407:O407)&gt;0,1,0)</f>
        <v>0</v>
      </c>
      <c r="O407" s="29">
        <f>IFERROR(IF(N407=0,"",IF(OR(NOT(AND(LEN(TRIM('DATOS'!B407&amp;""))&gt;0,TRIM('DATOS'!B407&amp;"")&lt;&gt;"Pendiente",TRIM('DATOS'!B407&amp;"")&lt;&gt;"Por confirmar",TRIM('DATOS'!B407&amp;"")&lt;&gt;"No consta",TRIM('DATOS'!B407&amp;"")&lt;&gt;"Desconocido",TRIM('DATOS'!B407&amp;"")&lt;&gt;"Sin confirmar",TRIM('DATOS'!B407&amp;"")&lt;&gt;"Por decidir",TRIM('DATOS'!B407&amp;"")&lt;&gt;"Por comprobar")),NOT(AND(LEN(TRIM('DATOS'!C407&amp;""))&gt;0,TRIM('DATOS'!C407&amp;"")&lt;&gt;"Pendiente",TRIM('DATOS'!C407&amp;"")&lt;&gt;"Por confirmar",TRIM('DATOS'!C407&amp;"")&lt;&gt;"No consta",TRIM('DATOS'!C407&amp;"")&lt;&gt;"Desconocido",TRIM('DATOS'!C407&amp;"")&lt;&gt;"Sin confirmar",TRIM('DATOS'!C407&amp;"")&lt;&gt;"Por decidir",TRIM('DATOS'!C407&amp;"")&lt;&gt;"Por comprobar")),NOT(AND(LEN(TRIM('DATOS'!D407&amp;""))&gt;0,TRIM('DATOS'!D407&amp;"")&lt;&gt;"Pendiente",TRIM('DATOS'!D407&amp;"")&lt;&gt;"Por confirmar",TRIM('DATOS'!D407&amp;"")&lt;&gt;"No consta",TRIM('DATOS'!D407&amp;"")&lt;&gt;"Desconocido",TRIM('DATOS'!D407&amp;"")&lt;&gt;"Sin confirmar",TRIM('DATOS'!D407&amp;"")&lt;&gt;"Por decidir",TRIM('DATOS'!D407&amp;"")&lt;&gt;"Por comprobar")),NOT(AND(LEN(TRIM('DATOS'!E407&amp;""))&gt;0,TRIM('DATOS'!E407&amp;"")&lt;&gt;"Pendiente",TRIM('DATOS'!E407&amp;"")&lt;&gt;"Por confirmar",TRIM('DATOS'!E407&amp;"")&lt;&gt;"No consta",TRIM('DATOS'!E407&amp;"")&lt;&gt;"Desconocido",TRIM('DATOS'!E407&amp;"")&lt;&gt;"Sin confirmar",TRIM('DATOS'!E407&amp;"")&lt;&gt;"Por decidir",TRIM('DATOS'!E407&amp;"")&lt;&gt;"Por comprobar")),NOT(AND(LEN(TRIM('DATOS'!F407&amp;""))&gt;0,TRIM('DATOS'!F407&amp;"")&lt;&gt;"Pendiente",TRIM('DATOS'!F407&amp;"")&lt;&gt;"Por confirmar",TRIM('DATOS'!F407&amp;"")&lt;&gt;"No consta",TRIM('DATOS'!F407&amp;"")&lt;&gt;"Desconocido",TRIM('DATOS'!F407&amp;"")&lt;&gt;"Sin confirmar",TRIM('DATOS'!F407&amp;"")&lt;&gt;"Por decidir",TRIM('DATOS'!F407&amp;"")&lt;&gt;"Por comprobar")),NOT(AND(LEN(TRIM('DATOS'!N407&amp;""))&gt;0,TRIM('DATOS'!N407&amp;"")&lt;&gt;"Pendiente",TRIM('DATOS'!N407&amp;"")&lt;&gt;"Por confirmar",TRIM('DATOS'!N407&amp;"")&lt;&gt;"No consta",TRIM('DATOS'!N407&amp;"")&lt;&gt;"Desconocido",TRIM('DATOS'!N407&amp;"")&lt;&gt;"Sin confirmar",TRIM('DATOS'!N407&amp;"")&lt;&gt;"Por decidir",TRIM('DATOS'!N407&amp;"")&lt;&gt;"Por comprobar")),NOT(Y407=1),W407&lt;&gt;1,X407&gt;1,NOT(OR(LEN(TRIM('DATOS'!K407&amp;""))=0,'DATOS'!K407="Sin valorar",'DATOS'!K407="Sin coste documentado",'DATOS'!K407="Incluido en otra partida",'DATOS'!K407="Por confirmar")),NOT(OR(LEN(TRIM('DATOS'!M407&amp;""))=0,'DATOS'!M407="Sí",'DATOS'!M407="No",'DATOS'!M407="Por confirmar")),NOT(OR(LEN(TRIM('DATOS'!O407&amp;""))=0,'DATOS'!O407="Comparamos",'DATOS'!O407="No existe",'DATOS'!O407="Por confirmar"))),2,IF(AND(OR('DATOS'!G407&lt;0,'DATOS'!H407&lt;0,'DATOS'!J407&lt;0),NOT(AND(LEN(TRIM('DATOS'!L407&amp;""))&gt;0,TRIM('DATOS'!L407&amp;"")&lt;&gt;"Pendiente",TRIM('DATOS'!L407&amp;"")&lt;&gt;"Por confirmar",TRIM('DATOS'!L407&amp;"")&lt;&gt;"No consta",TRIM('DATOS'!L407&amp;"")&lt;&gt;"Desconocido",TRIM('DATOS'!L407&amp;"")&lt;&gt;"Sin confirmar",TRIM('DATOS'!L407&amp;"")&lt;&gt;"Por decidir",TRIM('DATOS'!L407&amp;"")&lt;&gt;"Por comprobar"))),1,0))),2)</f>
      </c>
      <c r="P407" s="29">
        <f>IFERROR(IF(N407=0,"",IF(NOT(Y407=1),1,IF('REFERENCIAS'!$Q$8&lt;&gt;1,2,IF(ABS('DATOS'!J407-ROUND('DATOS'!G407*'DATOS'!H407,'REFERENCIAS'!$K$8))&gt;0.00000001,2,IF('DATOS'!O407="No existe",IF(LEN(TRIM('DATOS'!I407&amp;""))=0,0,2),IF('DATOS'!O407="Comparamos",IF(LEN(TRIM('DATOS'!I407&amp;""))=0,1,IF(ISNUMBER('DATOS'!I407),IF(ABS('DATOS'!H407-'DATOS'!I407)&gt;0.00000001,2,0),2)),1)))))),2)</f>
      </c>
      <c r="Q407" s="29">
        <f>IFERROR(IF(N407=0,"",IF(NOT(Y407=1),1,IF('DATOS'!K407="Sin valorar",2,IF('DATOS'!G407=0,1,IF(OR('DATOS'!H407=0,'DATOS'!J407=0),IF(AND(OR('DATOS'!K407="Sin coste documentado",'DATOS'!K407="Incluido en otra partida"),AND(LEN(TRIM('DATOS'!L407&amp;""))&gt;0,TRIM('DATOS'!L407&amp;"")&lt;&gt;"Pendiente",TRIM('DATOS'!L407&amp;"")&lt;&gt;"Por confirmar",TRIM('DATOS'!L407&amp;"")&lt;&gt;"No consta",TRIM('DATOS'!L407&amp;"")&lt;&gt;"Desconocido",TRIM('DATOS'!L407&amp;"")&lt;&gt;"Sin confirmar",TRIM('DATOS'!L407&amp;"")&lt;&gt;"Por decidir",TRIM('DATOS'!L407&amp;"")&lt;&gt;"Por comprobar")),0,1),0))))),2)</f>
      </c>
      <c r="R407" s="29">
        <f>IFERROR(IF(N407=0,"",IF(OR(NOT(AND(LEN(TRIM('DATOS'!D407&amp;""))&gt;0,TRIM('DATOS'!D407&amp;"")&lt;&gt;"Pendiente",TRIM('DATOS'!D407&amp;"")&lt;&gt;"Por confirmar",TRIM('DATOS'!D407&amp;"")&lt;&gt;"No consta",TRIM('DATOS'!D407&amp;"")&lt;&gt;"Desconocido",TRIM('DATOS'!D407&amp;"")&lt;&gt;"Sin confirmar",TRIM('DATOS'!D407&amp;"")&lt;&gt;"Por decidir",TRIM('DATOS'!D407&amp;"")&lt;&gt;"Por comprobar")),NOT(AND(LEN(TRIM('DATOS'!E407&amp;""))&gt;0,TRIM('DATOS'!E407&amp;"")&lt;&gt;"Pendiente",TRIM('DATOS'!E407&amp;"")&lt;&gt;"Por confirmar",TRIM('DATOS'!E407&amp;"")&lt;&gt;"No consta",TRIM('DATOS'!E407&amp;"")&lt;&gt;"Desconocido",TRIM('DATOS'!E407&amp;"")&lt;&gt;"Sin confirmar",TRIM('DATOS'!E407&amp;"")&lt;&gt;"Por decidir",TRIM('DATOS'!E407&amp;"")&lt;&gt;"Por comprobar"))),2,IF('DATOS'!M407="No",2,IF('DATOS'!M407="Sí",0,IF(OR('DATOS'!D407&lt;&gt;'DATOS'!E407,LEN('DATOS'!E407)&gt;300,RIGHT(TRIM('DATOS'!E407),3)="...",RIGHT(TRIM('DATOS'!E407),1)="…"),1,0))))),2)</f>
      </c>
      <c r="S407" s="29">
        <f>IFERROR(IF(N407=0,"",IF('REFERENCIAS'!$Q$8&lt;&gt;1,2,IF(NOT(Y407=1),1,IF(OR(ABS('DATOS'!G407-ROUND('DATOS'!G407,'REFERENCIAS'!$E$8))&gt;0.00000001,ABS('DATOS'!H407-ROUND('DATOS'!H407,'REFERENCIAS'!$H$8))&gt;0.00000001,ABS('DATOS'!J407-ROUND('DATOS'!J407,'REFERENCIAS'!$K$8))&gt;0.00000001,IF(ISNUMBER('DATOS'!I407),ABS('DATOS'!I407-ROUND('DATOS'!I407,'REFERENCIAS'!$H$8))&gt;0.00000001,FALSE)),1,0)))),2)</f>
      </c>
      <c r="T407" s="29">
        <f>IFERROR(IF(N407=0,"",IF(NOT(AND(LEN(TRIM('DATOS'!F407&amp;""))&gt;0,TRIM('DATOS'!F407&amp;"")&lt;&gt;"Pendiente",TRIM('DATOS'!F407&amp;"")&lt;&gt;"Por confirmar",TRIM('DATOS'!F407&amp;"")&lt;&gt;"No consta",TRIM('DATOS'!F407&amp;"")&lt;&gt;"Desconocido",TRIM('DATOS'!F407&amp;"")&lt;&gt;"Sin confirmar",TRIM('DATOS'!F407&amp;"")&lt;&gt;"Por decidir",TRIM('DATOS'!F407&amp;"")&lt;&gt;"Por comprobar")),2,IF(COUNTIFS('REFERENCIAS'!$T$15:$T$34,"ID:"&amp;SUBSTITUTE(SUBSTITUTE(SUBSTITUTE(SUBSTITUTE(UPPER(TRIM('DATOS'!F407&amp;"")),"!","!E"),"*","!A"),"?","!B"),"~","!C"),'REFERENCIAS'!$H$15:$H$34,"&lt;&gt;")&gt;0,0,1))),2)</f>
      </c>
      <c r="U407" s="29" t="str">
        <f>'DATOS'!R407</f>
        <v>ID:</v>
      </c>
      <c r="V407" s="29" t="str">
        <f>'DATOS'!S407</f>
        <v>ID:</v>
      </c>
      <c r="W407" s="29" t="n">
        <f>IF(N407=0,0,COUNTIFS('REFERENCIAS'!$R$15:$R$64,U407))</f>
        <v>0</v>
      </c>
      <c r="X407" s="29" t="n">
        <f>IF(N407=0,0,COUNTIFS('DATOS'!$R$10:$R$509,U407,'DATOS'!$S$10:$S$509,V407))</f>
        <v>0</v>
      </c>
      <c r="Y407" s="29" t="n">
        <f>IF(AND(ISNUMBER('DATOS'!G407),ISNUMBER('DATOS'!H407),ISNUMBER('DATOS'!J407)),1,0)</f>
        <v>0</v>
      </c>
    </row>
    <row r="408" ht="64" customHeight="1">
      <c r="B408" s="26">
        <f>IF(N408=1,399,"")</f>
      </c>
      <c r="C408" s="26">
        <f>IF(AND(N408=1,LEN(TRIM('DATOS'!B408&amp;""))&gt;0),'DATOS'!B408,"")</f>
      </c>
      <c r="D408" s="26">
        <f>IF(AND(N408=1,LEN(TRIM('DATOS'!C408&amp;""))&gt;0),'DATOS'!C408,"")</f>
      </c>
      <c r="E408" s="26">
        <f>IF(NOT(ISNUMBER(P408)),"",IF(P408=2,"ROJO",IF(P408=1,"ÁMBAR","VERDE")))</f>
      </c>
      <c r="F408" s="26">
        <f>IF(NOT(ISNUMBER(Q408)),"",IF(Q408=2,"ROJO",IF(Q408=1,"ÁMBAR","VERDE")))</f>
      </c>
      <c r="G408" s="26">
        <f>IF(NOT(ISNUMBER(R408)),"",IF(R408=2,"ROJO",IF(R408=1,"ÁMBAR","VERDE")))</f>
      </c>
      <c r="H408" s="26">
        <f>IF(NOT(ISNUMBER(S408)),"",IF(S408=2,"ROJO",IF(S408=1,"ÁMBAR","VERDE")))</f>
      </c>
      <c r="I408" s="26">
        <f>IF(NOT(ISNUMBER(T408)),"",IF(T408=2,"ROJO",IF(T408=1,"ÁMBAR","VERDE")))</f>
      </c>
      <c r="J408" s="26">
        <f>IF(NOT(ISNUMBER(O408)),"",IF(O408=2,"ROJO",IF(O408=1,"ÁMBAR","VERDE")))</f>
      </c>
      <c r="K408" s="26">
        <f>IFERROR(IF(AND(N408=1,LEN(TRIM('DATOS'!N408&amp;""))&gt;0),'DATOS'!N408,""),"Hay una entrada con error. Corregimos el dato antes de cerrar la comprobación.")</f>
      </c>
      <c r="L408" s="26">
        <f>IFERROR(IF(N408=0,"",IF(O408&gt;0,"Completamos datos, claves o motivo. ","")&amp;IF(P408&gt;0,"Cotejamos precios e importe. ","")&amp;IF(Q408&gt;0,"Aclaramos el cero. ","")&amp;IF(R408&gt;0,"Comprobamos el texto. ","")&amp;IF(S408&gt;0,"Revisamos decimales visibles. ","")&amp;IF(T408&gt;0,"Confirmamos la unidad.","")),"Hay una entrada con error. Corregimos el dato antes de cerrar la comprobación.")</f>
      </c>
      <c r="N408" s="29" t="n">
        <f>IF(COUNTA('DATOS'!B408:O408)&gt;0,1,0)</f>
        <v>0</v>
      </c>
      <c r="O408" s="29">
        <f>IFERROR(IF(N408=0,"",IF(OR(NOT(AND(LEN(TRIM('DATOS'!B408&amp;""))&gt;0,TRIM('DATOS'!B408&amp;"")&lt;&gt;"Pendiente",TRIM('DATOS'!B408&amp;"")&lt;&gt;"Por confirmar",TRIM('DATOS'!B408&amp;"")&lt;&gt;"No consta",TRIM('DATOS'!B408&amp;"")&lt;&gt;"Desconocido",TRIM('DATOS'!B408&amp;"")&lt;&gt;"Sin confirmar",TRIM('DATOS'!B408&amp;"")&lt;&gt;"Por decidir",TRIM('DATOS'!B408&amp;"")&lt;&gt;"Por comprobar")),NOT(AND(LEN(TRIM('DATOS'!C408&amp;""))&gt;0,TRIM('DATOS'!C408&amp;"")&lt;&gt;"Pendiente",TRIM('DATOS'!C408&amp;"")&lt;&gt;"Por confirmar",TRIM('DATOS'!C408&amp;"")&lt;&gt;"No consta",TRIM('DATOS'!C408&amp;"")&lt;&gt;"Desconocido",TRIM('DATOS'!C408&amp;"")&lt;&gt;"Sin confirmar",TRIM('DATOS'!C408&amp;"")&lt;&gt;"Por decidir",TRIM('DATOS'!C408&amp;"")&lt;&gt;"Por comprobar")),NOT(AND(LEN(TRIM('DATOS'!D408&amp;""))&gt;0,TRIM('DATOS'!D408&amp;"")&lt;&gt;"Pendiente",TRIM('DATOS'!D408&amp;"")&lt;&gt;"Por confirmar",TRIM('DATOS'!D408&amp;"")&lt;&gt;"No consta",TRIM('DATOS'!D408&amp;"")&lt;&gt;"Desconocido",TRIM('DATOS'!D408&amp;"")&lt;&gt;"Sin confirmar",TRIM('DATOS'!D408&amp;"")&lt;&gt;"Por decidir",TRIM('DATOS'!D408&amp;"")&lt;&gt;"Por comprobar")),NOT(AND(LEN(TRIM('DATOS'!E408&amp;""))&gt;0,TRIM('DATOS'!E408&amp;"")&lt;&gt;"Pendiente",TRIM('DATOS'!E408&amp;"")&lt;&gt;"Por confirmar",TRIM('DATOS'!E408&amp;"")&lt;&gt;"No consta",TRIM('DATOS'!E408&amp;"")&lt;&gt;"Desconocido",TRIM('DATOS'!E408&amp;"")&lt;&gt;"Sin confirmar",TRIM('DATOS'!E408&amp;"")&lt;&gt;"Por decidir",TRIM('DATOS'!E408&amp;"")&lt;&gt;"Por comprobar")),NOT(AND(LEN(TRIM('DATOS'!F408&amp;""))&gt;0,TRIM('DATOS'!F408&amp;"")&lt;&gt;"Pendiente",TRIM('DATOS'!F408&amp;"")&lt;&gt;"Por confirmar",TRIM('DATOS'!F408&amp;"")&lt;&gt;"No consta",TRIM('DATOS'!F408&amp;"")&lt;&gt;"Desconocido",TRIM('DATOS'!F408&amp;"")&lt;&gt;"Sin confirmar",TRIM('DATOS'!F408&amp;"")&lt;&gt;"Por decidir",TRIM('DATOS'!F408&amp;"")&lt;&gt;"Por comprobar")),NOT(AND(LEN(TRIM('DATOS'!N408&amp;""))&gt;0,TRIM('DATOS'!N408&amp;"")&lt;&gt;"Pendiente",TRIM('DATOS'!N408&amp;"")&lt;&gt;"Por confirmar",TRIM('DATOS'!N408&amp;"")&lt;&gt;"No consta",TRIM('DATOS'!N408&amp;"")&lt;&gt;"Desconocido",TRIM('DATOS'!N408&amp;"")&lt;&gt;"Sin confirmar",TRIM('DATOS'!N408&amp;"")&lt;&gt;"Por decidir",TRIM('DATOS'!N408&amp;"")&lt;&gt;"Por comprobar")),NOT(Y408=1),W408&lt;&gt;1,X408&gt;1,NOT(OR(LEN(TRIM('DATOS'!K408&amp;""))=0,'DATOS'!K408="Sin valorar",'DATOS'!K408="Sin coste documentado",'DATOS'!K408="Incluido en otra partida",'DATOS'!K408="Por confirmar")),NOT(OR(LEN(TRIM('DATOS'!M408&amp;""))=0,'DATOS'!M408="Sí",'DATOS'!M408="No",'DATOS'!M408="Por confirmar")),NOT(OR(LEN(TRIM('DATOS'!O408&amp;""))=0,'DATOS'!O408="Comparamos",'DATOS'!O408="No existe",'DATOS'!O408="Por confirmar"))),2,IF(AND(OR('DATOS'!G408&lt;0,'DATOS'!H408&lt;0,'DATOS'!J408&lt;0),NOT(AND(LEN(TRIM('DATOS'!L408&amp;""))&gt;0,TRIM('DATOS'!L408&amp;"")&lt;&gt;"Pendiente",TRIM('DATOS'!L408&amp;"")&lt;&gt;"Por confirmar",TRIM('DATOS'!L408&amp;"")&lt;&gt;"No consta",TRIM('DATOS'!L408&amp;"")&lt;&gt;"Desconocido",TRIM('DATOS'!L408&amp;"")&lt;&gt;"Sin confirmar",TRIM('DATOS'!L408&amp;"")&lt;&gt;"Por decidir",TRIM('DATOS'!L408&amp;"")&lt;&gt;"Por comprobar"))),1,0))),2)</f>
      </c>
      <c r="P408" s="29">
        <f>IFERROR(IF(N408=0,"",IF(NOT(Y408=1),1,IF('REFERENCIAS'!$Q$8&lt;&gt;1,2,IF(ABS('DATOS'!J408-ROUND('DATOS'!G408*'DATOS'!H408,'REFERENCIAS'!$K$8))&gt;0.00000001,2,IF('DATOS'!O408="No existe",IF(LEN(TRIM('DATOS'!I408&amp;""))=0,0,2),IF('DATOS'!O408="Comparamos",IF(LEN(TRIM('DATOS'!I408&amp;""))=0,1,IF(ISNUMBER('DATOS'!I408),IF(ABS('DATOS'!H408-'DATOS'!I408)&gt;0.00000001,2,0),2)),1)))))),2)</f>
      </c>
      <c r="Q408" s="29">
        <f>IFERROR(IF(N408=0,"",IF(NOT(Y408=1),1,IF('DATOS'!K408="Sin valorar",2,IF('DATOS'!G408=0,1,IF(OR('DATOS'!H408=0,'DATOS'!J408=0),IF(AND(OR('DATOS'!K408="Sin coste documentado",'DATOS'!K408="Incluido en otra partida"),AND(LEN(TRIM('DATOS'!L408&amp;""))&gt;0,TRIM('DATOS'!L408&amp;"")&lt;&gt;"Pendiente",TRIM('DATOS'!L408&amp;"")&lt;&gt;"Por confirmar",TRIM('DATOS'!L408&amp;"")&lt;&gt;"No consta",TRIM('DATOS'!L408&amp;"")&lt;&gt;"Desconocido",TRIM('DATOS'!L408&amp;"")&lt;&gt;"Sin confirmar",TRIM('DATOS'!L408&amp;"")&lt;&gt;"Por decidir",TRIM('DATOS'!L408&amp;"")&lt;&gt;"Por comprobar")),0,1),0))))),2)</f>
      </c>
      <c r="R408" s="29">
        <f>IFERROR(IF(N408=0,"",IF(OR(NOT(AND(LEN(TRIM('DATOS'!D408&amp;""))&gt;0,TRIM('DATOS'!D408&amp;"")&lt;&gt;"Pendiente",TRIM('DATOS'!D408&amp;"")&lt;&gt;"Por confirmar",TRIM('DATOS'!D408&amp;"")&lt;&gt;"No consta",TRIM('DATOS'!D408&amp;"")&lt;&gt;"Desconocido",TRIM('DATOS'!D408&amp;"")&lt;&gt;"Sin confirmar",TRIM('DATOS'!D408&amp;"")&lt;&gt;"Por decidir",TRIM('DATOS'!D408&amp;"")&lt;&gt;"Por comprobar")),NOT(AND(LEN(TRIM('DATOS'!E408&amp;""))&gt;0,TRIM('DATOS'!E408&amp;"")&lt;&gt;"Pendiente",TRIM('DATOS'!E408&amp;"")&lt;&gt;"Por confirmar",TRIM('DATOS'!E408&amp;"")&lt;&gt;"No consta",TRIM('DATOS'!E408&amp;"")&lt;&gt;"Desconocido",TRIM('DATOS'!E408&amp;"")&lt;&gt;"Sin confirmar",TRIM('DATOS'!E408&amp;"")&lt;&gt;"Por decidir",TRIM('DATOS'!E408&amp;"")&lt;&gt;"Por comprobar"))),2,IF('DATOS'!M408="No",2,IF('DATOS'!M408="Sí",0,IF(OR('DATOS'!D408&lt;&gt;'DATOS'!E408,LEN('DATOS'!E408)&gt;300,RIGHT(TRIM('DATOS'!E408),3)="...",RIGHT(TRIM('DATOS'!E408),1)="…"),1,0))))),2)</f>
      </c>
      <c r="S408" s="29">
        <f>IFERROR(IF(N408=0,"",IF('REFERENCIAS'!$Q$8&lt;&gt;1,2,IF(NOT(Y408=1),1,IF(OR(ABS('DATOS'!G408-ROUND('DATOS'!G408,'REFERENCIAS'!$E$8))&gt;0.00000001,ABS('DATOS'!H408-ROUND('DATOS'!H408,'REFERENCIAS'!$H$8))&gt;0.00000001,ABS('DATOS'!J408-ROUND('DATOS'!J408,'REFERENCIAS'!$K$8))&gt;0.00000001,IF(ISNUMBER('DATOS'!I408),ABS('DATOS'!I408-ROUND('DATOS'!I408,'REFERENCIAS'!$H$8))&gt;0.00000001,FALSE)),1,0)))),2)</f>
      </c>
      <c r="T408" s="29">
        <f>IFERROR(IF(N408=0,"",IF(NOT(AND(LEN(TRIM('DATOS'!F408&amp;""))&gt;0,TRIM('DATOS'!F408&amp;"")&lt;&gt;"Pendiente",TRIM('DATOS'!F408&amp;"")&lt;&gt;"Por confirmar",TRIM('DATOS'!F408&amp;"")&lt;&gt;"No consta",TRIM('DATOS'!F408&amp;"")&lt;&gt;"Desconocido",TRIM('DATOS'!F408&amp;"")&lt;&gt;"Sin confirmar",TRIM('DATOS'!F408&amp;"")&lt;&gt;"Por decidir",TRIM('DATOS'!F408&amp;"")&lt;&gt;"Por comprobar")),2,IF(COUNTIFS('REFERENCIAS'!$T$15:$T$34,"ID:"&amp;SUBSTITUTE(SUBSTITUTE(SUBSTITUTE(SUBSTITUTE(UPPER(TRIM('DATOS'!F408&amp;"")),"!","!E"),"*","!A"),"?","!B"),"~","!C"),'REFERENCIAS'!$H$15:$H$34,"&lt;&gt;")&gt;0,0,1))),2)</f>
      </c>
      <c r="U408" s="29" t="str">
        <f>'DATOS'!R408</f>
        <v>ID:</v>
      </c>
      <c r="V408" s="29" t="str">
        <f>'DATOS'!S408</f>
        <v>ID:</v>
      </c>
      <c r="W408" s="29" t="n">
        <f>IF(N408=0,0,COUNTIFS('REFERENCIAS'!$R$15:$R$64,U408))</f>
        <v>0</v>
      </c>
      <c r="X408" s="29" t="n">
        <f>IF(N408=0,0,COUNTIFS('DATOS'!$R$10:$R$509,U408,'DATOS'!$S$10:$S$509,V408))</f>
        <v>0</v>
      </c>
      <c r="Y408" s="29" t="n">
        <f>IF(AND(ISNUMBER('DATOS'!G408),ISNUMBER('DATOS'!H408),ISNUMBER('DATOS'!J408)),1,0)</f>
        <v>0</v>
      </c>
    </row>
    <row r="409" ht="64" customHeight="1">
      <c r="B409" s="26">
        <f>IF(N409=1,400,"")</f>
      </c>
      <c r="C409" s="26">
        <f>IF(AND(N409=1,LEN(TRIM('DATOS'!B409&amp;""))&gt;0),'DATOS'!B409,"")</f>
      </c>
      <c r="D409" s="26">
        <f>IF(AND(N409=1,LEN(TRIM('DATOS'!C409&amp;""))&gt;0),'DATOS'!C409,"")</f>
      </c>
      <c r="E409" s="26">
        <f>IF(NOT(ISNUMBER(P409)),"",IF(P409=2,"ROJO",IF(P409=1,"ÁMBAR","VERDE")))</f>
      </c>
      <c r="F409" s="26">
        <f>IF(NOT(ISNUMBER(Q409)),"",IF(Q409=2,"ROJO",IF(Q409=1,"ÁMBAR","VERDE")))</f>
      </c>
      <c r="G409" s="26">
        <f>IF(NOT(ISNUMBER(R409)),"",IF(R409=2,"ROJO",IF(R409=1,"ÁMBAR","VERDE")))</f>
      </c>
      <c r="H409" s="26">
        <f>IF(NOT(ISNUMBER(S409)),"",IF(S409=2,"ROJO",IF(S409=1,"ÁMBAR","VERDE")))</f>
      </c>
      <c r="I409" s="26">
        <f>IF(NOT(ISNUMBER(T409)),"",IF(T409=2,"ROJO",IF(T409=1,"ÁMBAR","VERDE")))</f>
      </c>
      <c r="J409" s="26">
        <f>IF(NOT(ISNUMBER(O409)),"",IF(O409=2,"ROJO",IF(O409=1,"ÁMBAR","VERDE")))</f>
      </c>
      <c r="K409" s="26">
        <f>IFERROR(IF(AND(N409=1,LEN(TRIM('DATOS'!N409&amp;""))&gt;0),'DATOS'!N409,""),"Hay una entrada con error. Corregimos el dato antes de cerrar la comprobación.")</f>
      </c>
      <c r="L409" s="26">
        <f>IFERROR(IF(N409=0,"",IF(O409&gt;0,"Completamos datos, claves o motivo. ","")&amp;IF(P409&gt;0,"Cotejamos precios e importe. ","")&amp;IF(Q409&gt;0,"Aclaramos el cero. ","")&amp;IF(R409&gt;0,"Comprobamos el texto. ","")&amp;IF(S409&gt;0,"Revisamos decimales visibles. ","")&amp;IF(T409&gt;0,"Confirmamos la unidad.","")),"Hay una entrada con error. Corregimos el dato antes de cerrar la comprobación.")</f>
      </c>
      <c r="N409" s="29" t="n">
        <f>IF(COUNTA('DATOS'!B409:O409)&gt;0,1,0)</f>
        <v>0</v>
      </c>
      <c r="O409" s="29">
        <f>IFERROR(IF(N409=0,"",IF(OR(NOT(AND(LEN(TRIM('DATOS'!B409&amp;""))&gt;0,TRIM('DATOS'!B409&amp;"")&lt;&gt;"Pendiente",TRIM('DATOS'!B409&amp;"")&lt;&gt;"Por confirmar",TRIM('DATOS'!B409&amp;"")&lt;&gt;"No consta",TRIM('DATOS'!B409&amp;"")&lt;&gt;"Desconocido",TRIM('DATOS'!B409&amp;"")&lt;&gt;"Sin confirmar",TRIM('DATOS'!B409&amp;"")&lt;&gt;"Por decidir",TRIM('DATOS'!B409&amp;"")&lt;&gt;"Por comprobar")),NOT(AND(LEN(TRIM('DATOS'!C409&amp;""))&gt;0,TRIM('DATOS'!C409&amp;"")&lt;&gt;"Pendiente",TRIM('DATOS'!C409&amp;"")&lt;&gt;"Por confirmar",TRIM('DATOS'!C409&amp;"")&lt;&gt;"No consta",TRIM('DATOS'!C409&amp;"")&lt;&gt;"Desconocido",TRIM('DATOS'!C409&amp;"")&lt;&gt;"Sin confirmar",TRIM('DATOS'!C409&amp;"")&lt;&gt;"Por decidir",TRIM('DATOS'!C409&amp;"")&lt;&gt;"Por comprobar")),NOT(AND(LEN(TRIM('DATOS'!D409&amp;""))&gt;0,TRIM('DATOS'!D409&amp;"")&lt;&gt;"Pendiente",TRIM('DATOS'!D409&amp;"")&lt;&gt;"Por confirmar",TRIM('DATOS'!D409&amp;"")&lt;&gt;"No consta",TRIM('DATOS'!D409&amp;"")&lt;&gt;"Desconocido",TRIM('DATOS'!D409&amp;"")&lt;&gt;"Sin confirmar",TRIM('DATOS'!D409&amp;"")&lt;&gt;"Por decidir",TRIM('DATOS'!D409&amp;"")&lt;&gt;"Por comprobar")),NOT(AND(LEN(TRIM('DATOS'!E409&amp;""))&gt;0,TRIM('DATOS'!E409&amp;"")&lt;&gt;"Pendiente",TRIM('DATOS'!E409&amp;"")&lt;&gt;"Por confirmar",TRIM('DATOS'!E409&amp;"")&lt;&gt;"No consta",TRIM('DATOS'!E409&amp;"")&lt;&gt;"Desconocido",TRIM('DATOS'!E409&amp;"")&lt;&gt;"Sin confirmar",TRIM('DATOS'!E409&amp;"")&lt;&gt;"Por decidir",TRIM('DATOS'!E409&amp;"")&lt;&gt;"Por comprobar")),NOT(AND(LEN(TRIM('DATOS'!F409&amp;""))&gt;0,TRIM('DATOS'!F409&amp;"")&lt;&gt;"Pendiente",TRIM('DATOS'!F409&amp;"")&lt;&gt;"Por confirmar",TRIM('DATOS'!F409&amp;"")&lt;&gt;"No consta",TRIM('DATOS'!F409&amp;"")&lt;&gt;"Desconocido",TRIM('DATOS'!F409&amp;"")&lt;&gt;"Sin confirmar",TRIM('DATOS'!F409&amp;"")&lt;&gt;"Por decidir",TRIM('DATOS'!F409&amp;"")&lt;&gt;"Por comprobar")),NOT(AND(LEN(TRIM('DATOS'!N409&amp;""))&gt;0,TRIM('DATOS'!N409&amp;"")&lt;&gt;"Pendiente",TRIM('DATOS'!N409&amp;"")&lt;&gt;"Por confirmar",TRIM('DATOS'!N409&amp;"")&lt;&gt;"No consta",TRIM('DATOS'!N409&amp;"")&lt;&gt;"Desconocido",TRIM('DATOS'!N409&amp;"")&lt;&gt;"Sin confirmar",TRIM('DATOS'!N409&amp;"")&lt;&gt;"Por decidir",TRIM('DATOS'!N409&amp;"")&lt;&gt;"Por comprobar")),NOT(Y409=1),W409&lt;&gt;1,X409&gt;1,NOT(OR(LEN(TRIM('DATOS'!K409&amp;""))=0,'DATOS'!K409="Sin valorar",'DATOS'!K409="Sin coste documentado",'DATOS'!K409="Incluido en otra partida",'DATOS'!K409="Por confirmar")),NOT(OR(LEN(TRIM('DATOS'!M409&amp;""))=0,'DATOS'!M409="Sí",'DATOS'!M409="No",'DATOS'!M409="Por confirmar")),NOT(OR(LEN(TRIM('DATOS'!O409&amp;""))=0,'DATOS'!O409="Comparamos",'DATOS'!O409="No existe",'DATOS'!O409="Por confirmar"))),2,IF(AND(OR('DATOS'!G409&lt;0,'DATOS'!H409&lt;0,'DATOS'!J409&lt;0),NOT(AND(LEN(TRIM('DATOS'!L409&amp;""))&gt;0,TRIM('DATOS'!L409&amp;"")&lt;&gt;"Pendiente",TRIM('DATOS'!L409&amp;"")&lt;&gt;"Por confirmar",TRIM('DATOS'!L409&amp;"")&lt;&gt;"No consta",TRIM('DATOS'!L409&amp;"")&lt;&gt;"Desconocido",TRIM('DATOS'!L409&amp;"")&lt;&gt;"Sin confirmar",TRIM('DATOS'!L409&amp;"")&lt;&gt;"Por decidir",TRIM('DATOS'!L409&amp;"")&lt;&gt;"Por comprobar"))),1,0))),2)</f>
      </c>
      <c r="P409" s="29">
        <f>IFERROR(IF(N409=0,"",IF(NOT(Y409=1),1,IF('REFERENCIAS'!$Q$8&lt;&gt;1,2,IF(ABS('DATOS'!J409-ROUND('DATOS'!G409*'DATOS'!H409,'REFERENCIAS'!$K$8))&gt;0.00000001,2,IF('DATOS'!O409="No existe",IF(LEN(TRIM('DATOS'!I409&amp;""))=0,0,2),IF('DATOS'!O409="Comparamos",IF(LEN(TRIM('DATOS'!I409&amp;""))=0,1,IF(ISNUMBER('DATOS'!I409),IF(ABS('DATOS'!H409-'DATOS'!I409)&gt;0.00000001,2,0),2)),1)))))),2)</f>
      </c>
      <c r="Q409" s="29">
        <f>IFERROR(IF(N409=0,"",IF(NOT(Y409=1),1,IF('DATOS'!K409="Sin valorar",2,IF('DATOS'!G409=0,1,IF(OR('DATOS'!H409=0,'DATOS'!J409=0),IF(AND(OR('DATOS'!K409="Sin coste documentado",'DATOS'!K409="Incluido en otra partida"),AND(LEN(TRIM('DATOS'!L409&amp;""))&gt;0,TRIM('DATOS'!L409&amp;"")&lt;&gt;"Pendiente",TRIM('DATOS'!L409&amp;"")&lt;&gt;"Por confirmar",TRIM('DATOS'!L409&amp;"")&lt;&gt;"No consta",TRIM('DATOS'!L409&amp;"")&lt;&gt;"Desconocido",TRIM('DATOS'!L409&amp;"")&lt;&gt;"Sin confirmar",TRIM('DATOS'!L409&amp;"")&lt;&gt;"Por decidir",TRIM('DATOS'!L409&amp;"")&lt;&gt;"Por comprobar")),0,1),0))))),2)</f>
      </c>
      <c r="R409" s="29">
        <f>IFERROR(IF(N409=0,"",IF(OR(NOT(AND(LEN(TRIM('DATOS'!D409&amp;""))&gt;0,TRIM('DATOS'!D409&amp;"")&lt;&gt;"Pendiente",TRIM('DATOS'!D409&amp;"")&lt;&gt;"Por confirmar",TRIM('DATOS'!D409&amp;"")&lt;&gt;"No consta",TRIM('DATOS'!D409&amp;"")&lt;&gt;"Desconocido",TRIM('DATOS'!D409&amp;"")&lt;&gt;"Sin confirmar",TRIM('DATOS'!D409&amp;"")&lt;&gt;"Por decidir",TRIM('DATOS'!D409&amp;"")&lt;&gt;"Por comprobar")),NOT(AND(LEN(TRIM('DATOS'!E409&amp;""))&gt;0,TRIM('DATOS'!E409&amp;"")&lt;&gt;"Pendiente",TRIM('DATOS'!E409&amp;"")&lt;&gt;"Por confirmar",TRIM('DATOS'!E409&amp;"")&lt;&gt;"No consta",TRIM('DATOS'!E409&amp;"")&lt;&gt;"Desconocido",TRIM('DATOS'!E409&amp;"")&lt;&gt;"Sin confirmar",TRIM('DATOS'!E409&amp;"")&lt;&gt;"Por decidir",TRIM('DATOS'!E409&amp;"")&lt;&gt;"Por comprobar"))),2,IF('DATOS'!M409="No",2,IF('DATOS'!M409="Sí",0,IF(OR('DATOS'!D409&lt;&gt;'DATOS'!E409,LEN('DATOS'!E409)&gt;300,RIGHT(TRIM('DATOS'!E409),3)="...",RIGHT(TRIM('DATOS'!E409),1)="…"),1,0))))),2)</f>
      </c>
      <c r="S409" s="29">
        <f>IFERROR(IF(N409=0,"",IF('REFERENCIAS'!$Q$8&lt;&gt;1,2,IF(NOT(Y409=1),1,IF(OR(ABS('DATOS'!G409-ROUND('DATOS'!G409,'REFERENCIAS'!$E$8))&gt;0.00000001,ABS('DATOS'!H409-ROUND('DATOS'!H409,'REFERENCIAS'!$H$8))&gt;0.00000001,ABS('DATOS'!J409-ROUND('DATOS'!J409,'REFERENCIAS'!$K$8))&gt;0.00000001,IF(ISNUMBER('DATOS'!I409),ABS('DATOS'!I409-ROUND('DATOS'!I409,'REFERENCIAS'!$H$8))&gt;0.00000001,FALSE)),1,0)))),2)</f>
      </c>
      <c r="T409" s="29">
        <f>IFERROR(IF(N409=0,"",IF(NOT(AND(LEN(TRIM('DATOS'!F409&amp;""))&gt;0,TRIM('DATOS'!F409&amp;"")&lt;&gt;"Pendiente",TRIM('DATOS'!F409&amp;"")&lt;&gt;"Por confirmar",TRIM('DATOS'!F409&amp;"")&lt;&gt;"No consta",TRIM('DATOS'!F409&amp;"")&lt;&gt;"Desconocido",TRIM('DATOS'!F409&amp;"")&lt;&gt;"Sin confirmar",TRIM('DATOS'!F409&amp;"")&lt;&gt;"Por decidir",TRIM('DATOS'!F409&amp;"")&lt;&gt;"Por comprobar")),2,IF(COUNTIFS('REFERENCIAS'!$T$15:$T$34,"ID:"&amp;SUBSTITUTE(SUBSTITUTE(SUBSTITUTE(SUBSTITUTE(UPPER(TRIM('DATOS'!F409&amp;"")),"!","!E"),"*","!A"),"?","!B"),"~","!C"),'REFERENCIAS'!$H$15:$H$34,"&lt;&gt;")&gt;0,0,1))),2)</f>
      </c>
      <c r="U409" s="29" t="str">
        <f>'DATOS'!R409</f>
        <v>ID:</v>
      </c>
      <c r="V409" s="29" t="str">
        <f>'DATOS'!S409</f>
        <v>ID:</v>
      </c>
      <c r="W409" s="29" t="n">
        <f>IF(N409=0,0,COUNTIFS('REFERENCIAS'!$R$15:$R$64,U409))</f>
        <v>0</v>
      </c>
      <c r="X409" s="29" t="n">
        <f>IF(N409=0,0,COUNTIFS('DATOS'!$R$10:$R$509,U409,'DATOS'!$S$10:$S$509,V409))</f>
        <v>0</v>
      </c>
      <c r="Y409" s="29" t="n">
        <f>IF(AND(ISNUMBER('DATOS'!G409),ISNUMBER('DATOS'!H409),ISNUMBER('DATOS'!J409)),1,0)</f>
        <v>0</v>
      </c>
    </row>
    <row r="410" ht="64" customHeight="1">
      <c r="B410" s="26">
        <f>IF(N410=1,401,"")</f>
      </c>
      <c r="C410" s="26">
        <f>IF(AND(N410=1,LEN(TRIM('DATOS'!B410&amp;""))&gt;0),'DATOS'!B410,"")</f>
      </c>
      <c r="D410" s="26">
        <f>IF(AND(N410=1,LEN(TRIM('DATOS'!C410&amp;""))&gt;0),'DATOS'!C410,"")</f>
      </c>
      <c r="E410" s="26">
        <f>IF(NOT(ISNUMBER(P410)),"",IF(P410=2,"ROJO",IF(P410=1,"ÁMBAR","VERDE")))</f>
      </c>
      <c r="F410" s="26">
        <f>IF(NOT(ISNUMBER(Q410)),"",IF(Q410=2,"ROJO",IF(Q410=1,"ÁMBAR","VERDE")))</f>
      </c>
      <c r="G410" s="26">
        <f>IF(NOT(ISNUMBER(R410)),"",IF(R410=2,"ROJO",IF(R410=1,"ÁMBAR","VERDE")))</f>
      </c>
      <c r="H410" s="26">
        <f>IF(NOT(ISNUMBER(S410)),"",IF(S410=2,"ROJO",IF(S410=1,"ÁMBAR","VERDE")))</f>
      </c>
      <c r="I410" s="26">
        <f>IF(NOT(ISNUMBER(T410)),"",IF(T410=2,"ROJO",IF(T410=1,"ÁMBAR","VERDE")))</f>
      </c>
      <c r="J410" s="26">
        <f>IF(NOT(ISNUMBER(O410)),"",IF(O410=2,"ROJO",IF(O410=1,"ÁMBAR","VERDE")))</f>
      </c>
      <c r="K410" s="26">
        <f>IFERROR(IF(AND(N410=1,LEN(TRIM('DATOS'!N410&amp;""))&gt;0),'DATOS'!N410,""),"Hay una entrada con error. Corregimos el dato antes de cerrar la comprobación.")</f>
      </c>
      <c r="L410" s="26">
        <f>IFERROR(IF(N410=0,"",IF(O410&gt;0,"Completamos datos, claves o motivo. ","")&amp;IF(P410&gt;0,"Cotejamos precios e importe. ","")&amp;IF(Q410&gt;0,"Aclaramos el cero. ","")&amp;IF(R410&gt;0,"Comprobamos el texto. ","")&amp;IF(S410&gt;0,"Revisamos decimales visibles. ","")&amp;IF(T410&gt;0,"Confirmamos la unidad.","")),"Hay una entrada con error. Corregimos el dato antes de cerrar la comprobación.")</f>
      </c>
      <c r="N410" s="29" t="n">
        <f>IF(COUNTA('DATOS'!B410:O410)&gt;0,1,0)</f>
        <v>0</v>
      </c>
      <c r="O410" s="29">
        <f>IFERROR(IF(N410=0,"",IF(OR(NOT(AND(LEN(TRIM('DATOS'!B410&amp;""))&gt;0,TRIM('DATOS'!B410&amp;"")&lt;&gt;"Pendiente",TRIM('DATOS'!B410&amp;"")&lt;&gt;"Por confirmar",TRIM('DATOS'!B410&amp;"")&lt;&gt;"No consta",TRIM('DATOS'!B410&amp;"")&lt;&gt;"Desconocido",TRIM('DATOS'!B410&amp;"")&lt;&gt;"Sin confirmar",TRIM('DATOS'!B410&amp;"")&lt;&gt;"Por decidir",TRIM('DATOS'!B410&amp;"")&lt;&gt;"Por comprobar")),NOT(AND(LEN(TRIM('DATOS'!C410&amp;""))&gt;0,TRIM('DATOS'!C410&amp;"")&lt;&gt;"Pendiente",TRIM('DATOS'!C410&amp;"")&lt;&gt;"Por confirmar",TRIM('DATOS'!C410&amp;"")&lt;&gt;"No consta",TRIM('DATOS'!C410&amp;"")&lt;&gt;"Desconocido",TRIM('DATOS'!C410&amp;"")&lt;&gt;"Sin confirmar",TRIM('DATOS'!C410&amp;"")&lt;&gt;"Por decidir",TRIM('DATOS'!C410&amp;"")&lt;&gt;"Por comprobar")),NOT(AND(LEN(TRIM('DATOS'!D410&amp;""))&gt;0,TRIM('DATOS'!D410&amp;"")&lt;&gt;"Pendiente",TRIM('DATOS'!D410&amp;"")&lt;&gt;"Por confirmar",TRIM('DATOS'!D410&amp;"")&lt;&gt;"No consta",TRIM('DATOS'!D410&amp;"")&lt;&gt;"Desconocido",TRIM('DATOS'!D410&amp;"")&lt;&gt;"Sin confirmar",TRIM('DATOS'!D410&amp;"")&lt;&gt;"Por decidir",TRIM('DATOS'!D410&amp;"")&lt;&gt;"Por comprobar")),NOT(AND(LEN(TRIM('DATOS'!E410&amp;""))&gt;0,TRIM('DATOS'!E410&amp;"")&lt;&gt;"Pendiente",TRIM('DATOS'!E410&amp;"")&lt;&gt;"Por confirmar",TRIM('DATOS'!E410&amp;"")&lt;&gt;"No consta",TRIM('DATOS'!E410&amp;"")&lt;&gt;"Desconocido",TRIM('DATOS'!E410&amp;"")&lt;&gt;"Sin confirmar",TRIM('DATOS'!E410&amp;"")&lt;&gt;"Por decidir",TRIM('DATOS'!E410&amp;"")&lt;&gt;"Por comprobar")),NOT(AND(LEN(TRIM('DATOS'!F410&amp;""))&gt;0,TRIM('DATOS'!F410&amp;"")&lt;&gt;"Pendiente",TRIM('DATOS'!F410&amp;"")&lt;&gt;"Por confirmar",TRIM('DATOS'!F410&amp;"")&lt;&gt;"No consta",TRIM('DATOS'!F410&amp;"")&lt;&gt;"Desconocido",TRIM('DATOS'!F410&amp;"")&lt;&gt;"Sin confirmar",TRIM('DATOS'!F410&amp;"")&lt;&gt;"Por decidir",TRIM('DATOS'!F410&amp;"")&lt;&gt;"Por comprobar")),NOT(AND(LEN(TRIM('DATOS'!N410&amp;""))&gt;0,TRIM('DATOS'!N410&amp;"")&lt;&gt;"Pendiente",TRIM('DATOS'!N410&amp;"")&lt;&gt;"Por confirmar",TRIM('DATOS'!N410&amp;"")&lt;&gt;"No consta",TRIM('DATOS'!N410&amp;"")&lt;&gt;"Desconocido",TRIM('DATOS'!N410&amp;"")&lt;&gt;"Sin confirmar",TRIM('DATOS'!N410&amp;"")&lt;&gt;"Por decidir",TRIM('DATOS'!N410&amp;"")&lt;&gt;"Por comprobar")),NOT(Y410=1),W410&lt;&gt;1,X410&gt;1,NOT(OR(LEN(TRIM('DATOS'!K410&amp;""))=0,'DATOS'!K410="Sin valorar",'DATOS'!K410="Sin coste documentado",'DATOS'!K410="Incluido en otra partida",'DATOS'!K410="Por confirmar")),NOT(OR(LEN(TRIM('DATOS'!M410&amp;""))=0,'DATOS'!M410="Sí",'DATOS'!M410="No",'DATOS'!M410="Por confirmar")),NOT(OR(LEN(TRIM('DATOS'!O410&amp;""))=0,'DATOS'!O410="Comparamos",'DATOS'!O410="No existe",'DATOS'!O410="Por confirmar"))),2,IF(AND(OR('DATOS'!G410&lt;0,'DATOS'!H410&lt;0,'DATOS'!J410&lt;0),NOT(AND(LEN(TRIM('DATOS'!L410&amp;""))&gt;0,TRIM('DATOS'!L410&amp;"")&lt;&gt;"Pendiente",TRIM('DATOS'!L410&amp;"")&lt;&gt;"Por confirmar",TRIM('DATOS'!L410&amp;"")&lt;&gt;"No consta",TRIM('DATOS'!L410&amp;"")&lt;&gt;"Desconocido",TRIM('DATOS'!L410&amp;"")&lt;&gt;"Sin confirmar",TRIM('DATOS'!L410&amp;"")&lt;&gt;"Por decidir",TRIM('DATOS'!L410&amp;"")&lt;&gt;"Por comprobar"))),1,0))),2)</f>
      </c>
      <c r="P410" s="29">
        <f>IFERROR(IF(N410=0,"",IF(NOT(Y410=1),1,IF('REFERENCIAS'!$Q$8&lt;&gt;1,2,IF(ABS('DATOS'!J410-ROUND('DATOS'!G410*'DATOS'!H410,'REFERENCIAS'!$K$8))&gt;0.00000001,2,IF('DATOS'!O410="No existe",IF(LEN(TRIM('DATOS'!I410&amp;""))=0,0,2),IF('DATOS'!O410="Comparamos",IF(LEN(TRIM('DATOS'!I410&amp;""))=0,1,IF(ISNUMBER('DATOS'!I410),IF(ABS('DATOS'!H410-'DATOS'!I410)&gt;0.00000001,2,0),2)),1)))))),2)</f>
      </c>
      <c r="Q410" s="29">
        <f>IFERROR(IF(N410=0,"",IF(NOT(Y410=1),1,IF('DATOS'!K410="Sin valorar",2,IF('DATOS'!G410=0,1,IF(OR('DATOS'!H410=0,'DATOS'!J410=0),IF(AND(OR('DATOS'!K410="Sin coste documentado",'DATOS'!K410="Incluido en otra partida"),AND(LEN(TRIM('DATOS'!L410&amp;""))&gt;0,TRIM('DATOS'!L410&amp;"")&lt;&gt;"Pendiente",TRIM('DATOS'!L410&amp;"")&lt;&gt;"Por confirmar",TRIM('DATOS'!L410&amp;"")&lt;&gt;"No consta",TRIM('DATOS'!L410&amp;"")&lt;&gt;"Desconocido",TRIM('DATOS'!L410&amp;"")&lt;&gt;"Sin confirmar",TRIM('DATOS'!L410&amp;"")&lt;&gt;"Por decidir",TRIM('DATOS'!L410&amp;"")&lt;&gt;"Por comprobar")),0,1),0))))),2)</f>
      </c>
      <c r="R410" s="29">
        <f>IFERROR(IF(N410=0,"",IF(OR(NOT(AND(LEN(TRIM('DATOS'!D410&amp;""))&gt;0,TRIM('DATOS'!D410&amp;"")&lt;&gt;"Pendiente",TRIM('DATOS'!D410&amp;"")&lt;&gt;"Por confirmar",TRIM('DATOS'!D410&amp;"")&lt;&gt;"No consta",TRIM('DATOS'!D410&amp;"")&lt;&gt;"Desconocido",TRIM('DATOS'!D410&amp;"")&lt;&gt;"Sin confirmar",TRIM('DATOS'!D410&amp;"")&lt;&gt;"Por decidir",TRIM('DATOS'!D410&amp;"")&lt;&gt;"Por comprobar")),NOT(AND(LEN(TRIM('DATOS'!E410&amp;""))&gt;0,TRIM('DATOS'!E410&amp;"")&lt;&gt;"Pendiente",TRIM('DATOS'!E410&amp;"")&lt;&gt;"Por confirmar",TRIM('DATOS'!E410&amp;"")&lt;&gt;"No consta",TRIM('DATOS'!E410&amp;"")&lt;&gt;"Desconocido",TRIM('DATOS'!E410&amp;"")&lt;&gt;"Sin confirmar",TRIM('DATOS'!E410&amp;"")&lt;&gt;"Por decidir",TRIM('DATOS'!E410&amp;"")&lt;&gt;"Por comprobar"))),2,IF('DATOS'!M410="No",2,IF('DATOS'!M410="Sí",0,IF(OR('DATOS'!D410&lt;&gt;'DATOS'!E410,LEN('DATOS'!E410)&gt;300,RIGHT(TRIM('DATOS'!E410),3)="...",RIGHT(TRIM('DATOS'!E410),1)="…"),1,0))))),2)</f>
      </c>
      <c r="S410" s="29">
        <f>IFERROR(IF(N410=0,"",IF('REFERENCIAS'!$Q$8&lt;&gt;1,2,IF(NOT(Y410=1),1,IF(OR(ABS('DATOS'!G410-ROUND('DATOS'!G410,'REFERENCIAS'!$E$8))&gt;0.00000001,ABS('DATOS'!H410-ROUND('DATOS'!H410,'REFERENCIAS'!$H$8))&gt;0.00000001,ABS('DATOS'!J410-ROUND('DATOS'!J410,'REFERENCIAS'!$K$8))&gt;0.00000001,IF(ISNUMBER('DATOS'!I410),ABS('DATOS'!I410-ROUND('DATOS'!I410,'REFERENCIAS'!$H$8))&gt;0.00000001,FALSE)),1,0)))),2)</f>
      </c>
      <c r="T410" s="29">
        <f>IFERROR(IF(N410=0,"",IF(NOT(AND(LEN(TRIM('DATOS'!F410&amp;""))&gt;0,TRIM('DATOS'!F410&amp;"")&lt;&gt;"Pendiente",TRIM('DATOS'!F410&amp;"")&lt;&gt;"Por confirmar",TRIM('DATOS'!F410&amp;"")&lt;&gt;"No consta",TRIM('DATOS'!F410&amp;"")&lt;&gt;"Desconocido",TRIM('DATOS'!F410&amp;"")&lt;&gt;"Sin confirmar",TRIM('DATOS'!F410&amp;"")&lt;&gt;"Por decidir",TRIM('DATOS'!F410&amp;"")&lt;&gt;"Por comprobar")),2,IF(COUNTIFS('REFERENCIAS'!$T$15:$T$34,"ID:"&amp;SUBSTITUTE(SUBSTITUTE(SUBSTITUTE(SUBSTITUTE(UPPER(TRIM('DATOS'!F410&amp;"")),"!","!E"),"*","!A"),"?","!B"),"~","!C"),'REFERENCIAS'!$H$15:$H$34,"&lt;&gt;")&gt;0,0,1))),2)</f>
      </c>
      <c r="U410" s="29" t="str">
        <f>'DATOS'!R410</f>
        <v>ID:</v>
      </c>
      <c r="V410" s="29" t="str">
        <f>'DATOS'!S410</f>
        <v>ID:</v>
      </c>
      <c r="W410" s="29" t="n">
        <f>IF(N410=0,0,COUNTIFS('REFERENCIAS'!$R$15:$R$64,U410))</f>
        <v>0</v>
      </c>
      <c r="X410" s="29" t="n">
        <f>IF(N410=0,0,COUNTIFS('DATOS'!$R$10:$R$509,U410,'DATOS'!$S$10:$S$509,V410))</f>
        <v>0</v>
      </c>
      <c r="Y410" s="29" t="n">
        <f>IF(AND(ISNUMBER('DATOS'!G410),ISNUMBER('DATOS'!H410),ISNUMBER('DATOS'!J410)),1,0)</f>
        <v>0</v>
      </c>
    </row>
    <row r="411" ht="64" customHeight="1">
      <c r="B411" s="26">
        <f>IF(N411=1,402,"")</f>
      </c>
      <c r="C411" s="26">
        <f>IF(AND(N411=1,LEN(TRIM('DATOS'!B411&amp;""))&gt;0),'DATOS'!B411,"")</f>
      </c>
      <c r="D411" s="26">
        <f>IF(AND(N411=1,LEN(TRIM('DATOS'!C411&amp;""))&gt;0),'DATOS'!C411,"")</f>
      </c>
      <c r="E411" s="26">
        <f>IF(NOT(ISNUMBER(P411)),"",IF(P411=2,"ROJO",IF(P411=1,"ÁMBAR","VERDE")))</f>
      </c>
      <c r="F411" s="26">
        <f>IF(NOT(ISNUMBER(Q411)),"",IF(Q411=2,"ROJO",IF(Q411=1,"ÁMBAR","VERDE")))</f>
      </c>
      <c r="G411" s="26">
        <f>IF(NOT(ISNUMBER(R411)),"",IF(R411=2,"ROJO",IF(R411=1,"ÁMBAR","VERDE")))</f>
      </c>
      <c r="H411" s="26">
        <f>IF(NOT(ISNUMBER(S411)),"",IF(S411=2,"ROJO",IF(S411=1,"ÁMBAR","VERDE")))</f>
      </c>
      <c r="I411" s="26">
        <f>IF(NOT(ISNUMBER(T411)),"",IF(T411=2,"ROJO",IF(T411=1,"ÁMBAR","VERDE")))</f>
      </c>
      <c r="J411" s="26">
        <f>IF(NOT(ISNUMBER(O411)),"",IF(O411=2,"ROJO",IF(O411=1,"ÁMBAR","VERDE")))</f>
      </c>
      <c r="K411" s="26">
        <f>IFERROR(IF(AND(N411=1,LEN(TRIM('DATOS'!N411&amp;""))&gt;0),'DATOS'!N411,""),"Hay una entrada con error. Corregimos el dato antes de cerrar la comprobación.")</f>
      </c>
      <c r="L411" s="26">
        <f>IFERROR(IF(N411=0,"",IF(O411&gt;0,"Completamos datos, claves o motivo. ","")&amp;IF(P411&gt;0,"Cotejamos precios e importe. ","")&amp;IF(Q411&gt;0,"Aclaramos el cero. ","")&amp;IF(R411&gt;0,"Comprobamos el texto. ","")&amp;IF(S411&gt;0,"Revisamos decimales visibles. ","")&amp;IF(T411&gt;0,"Confirmamos la unidad.","")),"Hay una entrada con error. Corregimos el dato antes de cerrar la comprobación.")</f>
      </c>
      <c r="N411" s="29" t="n">
        <f>IF(COUNTA('DATOS'!B411:O411)&gt;0,1,0)</f>
        <v>0</v>
      </c>
      <c r="O411" s="29">
        <f>IFERROR(IF(N411=0,"",IF(OR(NOT(AND(LEN(TRIM('DATOS'!B411&amp;""))&gt;0,TRIM('DATOS'!B411&amp;"")&lt;&gt;"Pendiente",TRIM('DATOS'!B411&amp;"")&lt;&gt;"Por confirmar",TRIM('DATOS'!B411&amp;"")&lt;&gt;"No consta",TRIM('DATOS'!B411&amp;"")&lt;&gt;"Desconocido",TRIM('DATOS'!B411&amp;"")&lt;&gt;"Sin confirmar",TRIM('DATOS'!B411&amp;"")&lt;&gt;"Por decidir",TRIM('DATOS'!B411&amp;"")&lt;&gt;"Por comprobar")),NOT(AND(LEN(TRIM('DATOS'!C411&amp;""))&gt;0,TRIM('DATOS'!C411&amp;"")&lt;&gt;"Pendiente",TRIM('DATOS'!C411&amp;"")&lt;&gt;"Por confirmar",TRIM('DATOS'!C411&amp;"")&lt;&gt;"No consta",TRIM('DATOS'!C411&amp;"")&lt;&gt;"Desconocido",TRIM('DATOS'!C411&amp;"")&lt;&gt;"Sin confirmar",TRIM('DATOS'!C411&amp;"")&lt;&gt;"Por decidir",TRIM('DATOS'!C411&amp;"")&lt;&gt;"Por comprobar")),NOT(AND(LEN(TRIM('DATOS'!D411&amp;""))&gt;0,TRIM('DATOS'!D411&amp;"")&lt;&gt;"Pendiente",TRIM('DATOS'!D411&amp;"")&lt;&gt;"Por confirmar",TRIM('DATOS'!D411&amp;"")&lt;&gt;"No consta",TRIM('DATOS'!D411&amp;"")&lt;&gt;"Desconocido",TRIM('DATOS'!D411&amp;"")&lt;&gt;"Sin confirmar",TRIM('DATOS'!D411&amp;"")&lt;&gt;"Por decidir",TRIM('DATOS'!D411&amp;"")&lt;&gt;"Por comprobar")),NOT(AND(LEN(TRIM('DATOS'!E411&amp;""))&gt;0,TRIM('DATOS'!E411&amp;"")&lt;&gt;"Pendiente",TRIM('DATOS'!E411&amp;"")&lt;&gt;"Por confirmar",TRIM('DATOS'!E411&amp;"")&lt;&gt;"No consta",TRIM('DATOS'!E411&amp;"")&lt;&gt;"Desconocido",TRIM('DATOS'!E411&amp;"")&lt;&gt;"Sin confirmar",TRIM('DATOS'!E411&amp;"")&lt;&gt;"Por decidir",TRIM('DATOS'!E411&amp;"")&lt;&gt;"Por comprobar")),NOT(AND(LEN(TRIM('DATOS'!F411&amp;""))&gt;0,TRIM('DATOS'!F411&amp;"")&lt;&gt;"Pendiente",TRIM('DATOS'!F411&amp;"")&lt;&gt;"Por confirmar",TRIM('DATOS'!F411&amp;"")&lt;&gt;"No consta",TRIM('DATOS'!F411&amp;"")&lt;&gt;"Desconocido",TRIM('DATOS'!F411&amp;"")&lt;&gt;"Sin confirmar",TRIM('DATOS'!F411&amp;"")&lt;&gt;"Por decidir",TRIM('DATOS'!F411&amp;"")&lt;&gt;"Por comprobar")),NOT(AND(LEN(TRIM('DATOS'!N411&amp;""))&gt;0,TRIM('DATOS'!N411&amp;"")&lt;&gt;"Pendiente",TRIM('DATOS'!N411&amp;"")&lt;&gt;"Por confirmar",TRIM('DATOS'!N411&amp;"")&lt;&gt;"No consta",TRIM('DATOS'!N411&amp;"")&lt;&gt;"Desconocido",TRIM('DATOS'!N411&amp;"")&lt;&gt;"Sin confirmar",TRIM('DATOS'!N411&amp;"")&lt;&gt;"Por decidir",TRIM('DATOS'!N411&amp;"")&lt;&gt;"Por comprobar")),NOT(Y411=1),W411&lt;&gt;1,X411&gt;1,NOT(OR(LEN(TRIM('DATOS'!K411&amp;""))=0,'DATOS'!K411="Sin valorar",'DATOS'!K411="Sin coste documentado",'DATOS'!K411="Incluido en otra partida",'DATOS'!K411="Por confirmar")),NOT(OR(LEN(TRIM('DATOS'!M411&amp;""))=0,'DATOS'!M411="Sí",'DATOS'!M411="No",'DATOS'!M411="Por confirmar")),NOT(OR(LEN(TRIM('DATOS'!O411&amp;""))=0,'DATOS'!O411="Comparamos",'DATOS'!O411="No existe",'DATOS'!O411="Por confirmar"))),2,IF(AND(OR('DATOS'!G411&lt;0,'DATOS'!H411&lt;0,'DATOS'!J411&lt;0),NOT(AND(LEN(TRIM('DATOS'!L411&amp;""))&gt;0,TRIM('DATOS'!L411&amp;"")&lt;&gt;"Pendiente",TRIM('DATOS'!L411&amp;"")&lt;&gt;"Por confirmar",TRIM('DATOS'!L411&amp;"")&lt;&gt;"No consta",TRIM('DATOS'!L411&amp;"")&lt;&gt;"Desconocido",TRIM('DATOS'!L411&amp;"")&lt;&gt;"Sin confirmar",TRIM('DATOS'!L411&amp;"")&lt;&gt;"Por decidir",TRIM('DATOS'!L411&amp;"")&lt;&gt;"Por comprobar"))),1,0))),2)</f>
      </c>
      <c r="P411" s="29">
        <f>IFERROR(IF(N411=0,"",IF(NOT(Y411=1),1,IF('REFERENCIAS'!$Q$8&lt;&gt;1,2,IF(ABS('DATOS'!J411-ROUND('DATOS'!G411*'DATOS'!H411,'REFERENCIAS'!$K$8))&gt;0.00000001,2,IF('DATOS'!O411="No existe",IF(LEN(TRIM('DATOS'!I411&amp;""))=0,0,2),IF('DATOS'!O411="Comparamos",IF(LEN(TRIM('DATOS'!I411&amp;""))=0,1,IF(ISNUMBER('DATOS'!I411),IF(ABS('DATOS'!H411-'DATOS'!I411)&gt;0.00000001,2,0),2)),1)))))),2)</f>
      </c>
      <c r="Q411" s="29">
        <f>IFERROR(IF(N411=0,"",IF(NOT(Y411=1),1,IF('DATOS'!K411="Sin valorar",2,IF('DATOS'!G411=0,1,IF(OR('DATOS'!H411=0,'DATOS'!J411=0),IF(AND(OR('DATOS'!K411="Sin coste documentado",'DATOS'!K411="Incluido en otra partida"),AND(LEN(TRIM('DATOS'!L411&amp;""))&gt;0,TRIM('DATOS'!L411&amp;"")&lt;&gt;"Pendiente",TRIM('DATOS'!L411&amp;"")&lt;&gt;"Por confirmar",TRIM('DATOS'!L411&amp;"")&lt;&gt;"No consta",TRIM('DATOS'!L411&amp;"")&lt;&gt;"Desconocido",TRIM('DATOS'!L411&amp;"")&lt;&gt;"Sin confirmar",TRIM('DATOS'!L411&amp;"")&lt;&gt;"Por decidir",TRIM('DATOS'!L411&amp;"")&lt;&gt;"Por comprobar")),0,1),0))))),2)</f>
      </c>
      <c r="R411" s="29">
        <f>IFERROR(IF(N411=0,"",IF(OR(NOT(AND(LEN(TRIM('DATOS'!D411&amp;""))&gt;0,TRIM('DATOS'!D411&amp;"")&lt;&gt;"Pendiente",TRIM('DATOS'!D411&amp;"")&lt;&gt;"Por confirmar",TRIM('DATOS'!D411&amp;"")&lt;&gt;"No consta",TRIM('DATOS'!D411&amp;"")&lt;&gt;"Desconocido",TRIM('DATOS'!D411&amp;"")&lt;&gt;"Sin confirmar",TRIM('DATOS'!D411&amp;"")&lt;&gt;"Por decidir",TRIM('DATOS'!D411&amp;"")&lt;&gt;"Por comprobar")),NOT(AND(LEN(TRIM('DATOS'!E411&amp;""))&gt;0,TRIM('DATOS'!E411&amp;"")&lt;&gt;"Pendiente",TRIM('DATOS'!E411&amp;"")&lt;&gt;"Por confirmar",TRIM('DATOS'!E411&amp;"")&lt;&gt;"No consta",TRIM('DATOS'!E411&amp;"")&lt;&gt;"Desconocido",TRIM('DATOS'!E411&amp;"")&lt;&gt;"Sin confirmar",TRIM('DATOS'!E411&amp;"")&lt;&gt;"Por decidir",TRIM('DATOS'!E411&amp;"")&lt;&gt;"Por comprobar"))),2,IF('DATOS'!M411="No",2,IF('DATOS'!M411="Sí",0,IF(OR('DATOS'!D411&lt;&gt;'DATOS'!E411,LEN('DATOS'!E411)&gt;300,RIGHT(TRIM('DATOS'!E411),3)="...",RIGHT(TRIM('DATOS'!E411),1)="…"),1,0))))),2)</f>
      </c>
      <c r="S411" s="29">
        <f>IFERROR(IF(N411=0,"",IF('REFERENCIAS'!$Q$8&lt;&gt;1,2,IF(NOT(Y411=1),1,IF(OR(ABS('DATOS'!G411-ROUND('DATOS'!G411,'REFERENCIAS'!$E$8))&gt;0.00000001,ABS('DATOS'!H411-ROUND('DATOS'!H411,'REFERENCIAS'!$H$8))&gt;0.00000001,ABS('DATOS'!J411-ROUND('DATOS'!J411,'REFERENCIAS'!$K$8))&gt;0.00000001,IF(ISNUMBER('DATOS'!I411),ABS('DATOS'!I411-ROUND('DATOS'!I411,'REFERENCIAS'!$H$8))&gt;0.00000001,FALSE)),1,0)))),2)</f>
      </c>
      <c r="T411" s="29">
        <f>IFERROR(IF(N411=0,"",IF(NOT(AND(LEN(TRIM('DATOS'!F411&amp;""))&gt;0,TRIM('DATOS'!F411&amp;"")&lt;&gt;"Pendiente",TRIM('DATOS'!F411&amp;"")&lt;&gt;"Por confirmar",TRIM('DATOS'!F411&amp;"")&lt;&gt;"No consta",TRIM('DATOS'!F411&amp;"")&lt;&gt;"Desconocido",TRIM('DATOS'!F411&amp;"")&lt;&gt;"Sin confirmar",TRIM('DATOS'!F411&amp;"")&lt;&gt;"Por decidir",TRIM('DATOS'!F411&amp;"")&lt;&gt;"Por comprobar")),2,IF(COUNTIFS('REFERENCIAS'!$T$15:$T$34,"ID:"&amp;SUBSTITUTE(SUBSTITUTE(SUBSTITUTE(SUBSTITUTE(UPPER(TRIM('DATOS'!F411&amp;"")),"!","!E"),"*","!A"),"?","!B"),"~","!C"),'REFERENCIAS'!$H$15:$H$34,"&lt;&gt;")&gt;0,0,1))),2)</f>
      </c>
      <c r="U411" s="29" t="str">
        <f>'DATOS'!R411</f>
        <v>ID:</v>
      </c>
      <c r="V411" s="29" t="str">
        <f>'DATOS'!S411</f>
        <v>ID:</v>
      </c>
      <c r="W411" s="29" t="n">
        <f>IF(N411=0,0,COUNTIFS('REFERENCIAS'!$R$15:$R$64,U411))</f>
        <v>0</v>
      </c>
      <c r="X411" s="29" t="n">
        <f>IF(N411=0,0,COUNTIFS('DATOS'!$R$10:$R$509,U411,'DATOS'!$S$10:$S$509,V411))</f>
        <v>0</v>
      </c>
      <c r="Y411" s="29" t="n">
        <f>IF(AND(ISNUMBER('DATOS'!G411),ISNUMBER('DATOS'!H411),ISNUMBER('DATOS'!J411)),1,0)</f>
        <v>0</v>
      </c>
    </row>
    <row r="412" ht="64" customHeight="1">
      <c r="B412" s="26">
        <f>IF(N412=1,403,"")</f>
      </c>
      <c r="C412" s="26">
        <f>IF(AND(N412=1,LEN(TRIM('DATOS'!B412&amp;""))&gt;0),'DATOS'!B412,"")</f>
      </c>
      <c r="D412" s="26">
        <f>IF(AND(N412=1,LEN(TRIM('DATOS'!C412&amp;""))&gt;0),'DATOS'!C412,"")</f>
      </c>
      <c r="E412" s="26">
        <f>IF(NOT(ISNUMBER(P412)),"",IF(P412=2,"ROJO",IF(P412=1,"ÁMBAR","VERDE")))</f>
      </c>
      <c r="F412" s="26">
        <f>IF(NOT(ISNUMBER(Q412)),"",IF(Q412=2,"ROJO",IF(Q412=1,"ÁMBAR","VERDE")))</f>
      </c>
      <c r="G412" s="26">
        <f>IF(NOT(ISNUMBER(R412)),"",IF(R412=2,"ROJO",IF(R412=1,"ÁMBAR","VERDE")))</f>
      </c>
      <c r="H412" s="26">
        <f>IF(NOT(ISNUMBER(S412)),"",IF(S412=2,"ROJO",IF(S412=1,"ÁMBAR","VERDE")))</f>
      </c>
      <c r="I412" s="26">
        <f>IF(NOT(ISNUMBER(T412)),"",IF(T412=2,"ROJO",IF(T412=1,"ÁMBAR","VERDE")))</f>
      </c>
      <c r="J412" s="26">
        <f>IF(NOT(ISNUMBER(O412)),"",IF(O412=2,"ROJO",IF(O412=1,"ÁMBAR","VERDE")))</f>
      </c>
      <c r="K412" s="26">
        <f>IFERROR(IF(AND(N412=1,LEN(TRIM('DATOS'!N412&amp;""))&gt;0),'DATOS'!N412,""),"Hay una entrada con error. Corregimos el dato antes de cerrar la comprobación.")</f>
      </c>
      <c r="L412" s="26">
        <f>IFERROR(IF(N412=0,"",IF(O412&gt;0,"Completamos datos, claves o motivo. ","")&amp;IF(P412&gt;0,"Cotejamos precios e importe. ","")&amp;IF(Q412&gt;0,"Aclaramos el cero. ","")&amp;IF(R412&gt;0,"Comprobamos el texto. ","")&amp;IF(S412&gt;0,"Revisamos decimales visibles. ","")&amp;IF(T412&gt;0,"Confirmamos la unidad.","")),"Hay una entrada con error. Corregimos el dato antes de cerrar la comprobación.")</f>
      </c>
      <c r="N412" s="29" t="n">
        <f>IF(COUNTA('DATOS'!B412:O412)&gt;0,1,0)</f>
        <v>0</v>
      </c>
      <c r="O412" s="29">
        <f>IFERROR(IF(N412=0,"",IF(OR(NOT(AND(LEN(TRIM('DATOS'!B412&amp;""))&gt;0,TRIM('DATOS'!B412&amp;"")&lt;&gt;"Pendiente",TRIM('DATOS'!B412&amp;"")&lt;&gt;"Por confirmar",TRIM('DATOS'!B412&amp;"")&lt;&gt;"No consta",TRIM('DATOS'!B412&amp;"")&lt;&gt;"Desconocido",TRIM('DATOS'!B412&amp;"")&lt;&gt;"Sin confirmar",TRIM('DATOS'!B412&amp;"")&lt;&gt;"Por decidir",TRIM('DATOS'!B412&amp;"")&lt;&gt;"Por comprobar")),NOT(AND(LEN(TRIM('DATOS'!C412&amp;""))&gt;0,TRIM('DATOS'!C412&amp;"")&lt;&gt;"Pendiente",TRIM('DATOS'!C412&amp;"")&lt;&gt;"Por confirmar",TRIM('DATOS'!C412&amp;"")&lt;&gt;"No consta",TRIM('DATOS'!C412&amp;"")&lt;&gt;"Desconocido",TRIM('DATOS'!C412&amp;"")&lt;&gt;"Sin confirmar",TRIM('DATOS'!C412&amp;"")&lt;&gt;"Por decidir",TRIM('DATOS'!C412&amp;"")&lt;&gt;"Por comprobar")),NOT(AND(LEN(TRIM('DATOS'!D412&amp;""))&gt;0,TRIM('DATOS'!D412&amp;"")&lt;&gt;"Pendiente",TRIM('DATOS'!D412&amp;"")&lt;&gt;"Por confirmar",TRIM('DATOS'!D412&amp;"")&lt;&gt;"No consta",TRIM('DATOS'!D412&amp;"")&lt;&gt;"Desconocido",TRIM('DATOS'!D412&amp;"")&lt;&gt;"Sin confirmar",TRIM('DATOS'!D412&amp;"")&lt;&gt;"Por decidir",TRIM('DATOS'!D412&amp;"")&lt;&gt;"Por comprobar")),NOT(AND(LEN(TRIM('DATOS'!E412&amp;""))&gt;0,TRIM('DATOS'!E412&amp;"")&lt;&gt;"Pendiente",TRIM('DATOS'!E412&amp;"")&lt;&gt;"Por confirmar",TRIM('DATOS'!E412&amp;"")&lt;&gt;"No consta",TRIM('DATOS'!E412&amp;"")&lt;&gt;"Desconocido",TRIM('DATOS'!E412&amp;"")&lt;&gt;"Sin confirmar",TRIM('DATOS'!E412&amp;"")&lt;&gt;"Por decidir",TRIM('DATOS'!E412&amp;"")&lt;&gt;"Por comprobar")),NOT(AND(LEN(TRIM('DATOS'!F412&amp;""))&gt;0,TRIM('DATOS'!F412&amp;"")&lt;&gt;"Pendiente",TRIM('DATOS'!F412&amp;"")&lt;&gt;"Por confirmar",TRIM('DATOS'!F412&amp;"")&lt;&gt;"No consta",TRIM('DATOS'!F412&amp;"")&lt;&gt;"Desconocido",TRIM('DATOS'!F412&amp;"")&lt;&gt;"Sin confirmar",TRIM('DATOS'!F412&amp;"")&lt;&gt;"Por decidir",TRIM('DATOS'!F412&amp;"")&lt;&gt;"Por comprobar")),NOT(AND(LEN(TRIM('DATOS'!N412&amp;""))&gt;0,TRIM('DATOS'!N412&amp;"")&lt;&gt;"Pendiente",TRIM('DATOS'!N412&amp;"")&lt;&gt;"Por confirmar",TRIM('DATOS'!N412&amp;"")&lt;&gt;"No consta",TRIM('DATOS'!N412&amp;"")&lt;&gt;"Desconocido",TRIM('DATOS'!N412&amp;"")&lt;&gt;"Sin confirmar",TRIM('DATOS'!N412&amp;"")&lt;&gt;"Por decidir",TRIM('DATOS'!N412&amp;"")&lt;&gt;"Por comprobar")),NOT(Y412=1),W412&lt;&gt;1,X412&gt;1,NOT(OR(LEN(TRIM('DATOS'!K412&amp;""))=0,'DATOS'!K412="Sin valorar",'DATOS'!K412="Sin coste documentado",'DATOS'!K412="Incluido en otra partida",'DATOS'!K412="Por confirmar")),NOT(OR(LEN(TRIM('DATOS'!M412&amp;""))=0,'DATOS'!M412="Sí",'DATOS'!M412="No",'DATOS'!M412="Por confirmar")),NOT(OR(LEN(TRIM('DATOS'!O412&amp;""))=0,'DATOS'!O412="Comparamos",'DATOS'!O412="No existe",'DATOS'!O412="Por confirmar"))),2,IF(AND(OR('DATOS'!G412&lt;0,'DATOS'!H412&lt;0,'DATOS'!J412&lt;0),NOT(AND(LEN(TRIM('DATOS'!L412&amp;""))&gt;0,TRIM('DATOS'!L412&amp;"")&lt;&gt;"Pendiente",TRIM('DATOS'!L412&amp;"")&lt;&gt;"Por confirmar",TRIM('DATOS'!L412&amp;"")&lt;&gt;"No consta",TRIM('DATOS'!L412&amp;"")&lt;&gt;"Desconocido",TRIM('DATOS'!L412&amp;"")&lt;&gt;"Sin confirmar",TRIM('DATOS'!L412&amp;"")&lt;&gt;"Por decidir",TRIM('DATOS'!L412&amp;"")&lt;&gt;"Por comprobar"))),1,0))),2)</f>
      </c>
      <c r="P412" s="29">
        <f>IFERROR(IF(N412=0,"",IF(NOT(Y412=1),1,IF('REFERENCIAS'!$Q$8&lt;&gt;1,2,IF(ABS('DATOS'!J412-ROUND('DATOS'!G412*'DATOS'!H412,'REFERENCIAS'!$K$8))&gt;0.00000001,2,IF('DATOS'!O412="No existe",IF(LEN(TRIM('DATOS'!I412&amp;""))=0,0,2),IF('DATOS'!O412="Comparamos",IF(LEN(TRIM('DATOS'!I412&amp;""))=0,1,IF(ISNUMBER('DATOS'!I412),IF(ABS('DATOS'!H412-'DATOS'!I412)&gt;0.00000001,2,0),2)),1)))))),2)</f>
      </c>
      <c r="Q412" s="29">
        <f>IFERROR(IF(N412=0,"",IF(NOT(Y412=1),1,IF('DATOS'!K412="Sin valorar",2,IF('DATOS'!G412=0,1,IF(OR('DATOS'!H412=0,'DATOS'!J412=0),IF(AND(OR('DATOS'!K412="Sin coste documentado",'DATOS'!K412="Incluido en otra partida"),AND(LEN(TRIM('DATOS'!L412&amp;""))&gt;0,TRIM('DATOS'!L412&amp;"")&lt;&gt;"Pendiente",TRIM('DATOS'!L412&amp;"")&lt;&gt;"Por confirmar",TRIM('DATOS'!L412&amp;"")&lt;&gt;"No consta",TRIM('DATOS'!L412&amp;"")&lt;&gt;"Desconocido",TRIM('DATOS'!L412&amp;"")&lt;&gt;"Sin confirmar",TRIM('DATOS'!L412&amp;"")&lt;&gt;"Por decidir",TRIM('DATOS'!L412&amp;"")&lt;&gt;"Por comprobar")),0,1),0))))),2)</f>
      </c>
      <c r="R412" s="29">
        <f>IFERROR(IF(N412=0,"",IF(OR(NOT(AND(LEN(TRIM('DATOS'!D412&amp;""))&gt;0,TRIM('DATOS'!D412&amp;"")&lt;&gt;"Pendiente",TRIM('DATOS'!D412&amp;"")&lt;&gt;"Por confirmar",TRIM('DATOS'!D412&amp;"")&lt;&gt;"No consta",TRIM('DATOS'!D412&amp;"")&lt;&gt;"Desconocido",TRIM('DATOS'!D412&amp;"")&lt;&gt;"Sin confirmar",TRIM('DATOS'!D412&amp;"")&lt;&gt;"Por decidir",TRIM('DATOS'!D412&amp;"")&lt;&gt;"Por comprobar")),NOT(AND(LEN(TRIM('DATOS'!E412&amp;""))&gt;0,TRIM('DATOS'!E412&amp;"")&lt;&gt;"Pendiente",TRIM('DATOS'!E412&amp;"")&lt;&gt;"Por confirmar",TRIM('DATOS'!E412&amp;"")&lt;&gt;"No consta",TRIM('DATOS'!E412&amp;"")&lt;&gt;"Desconocido",TRIM('DATOS'!E412&amp;"")&lt;&gt;"Sin confirmar",TRIM('DATOS'!E412&amp;"")&lt;&gt;"Por decidir",TRIM('DATOS'!E412&amp;"")&lt;&gt;"Por comprobar"))),2,IF('DATOS'!M412="No",2,IF('DATOS'!M412="Sí",0,IF(OR('DATOS'!D412&lt;&gt;'DATOS'!E412,LEN('DATOS'!E412)&gt;300,RIGHT(TRIM('DATOS'!E412),3)="...",RIGHT(TRIM('DATOS'!E412),1)="…"),1,0))))),2)</f>
      </c>
      <c r="S412" s="29">
        <f>IFERROR(IF(N412=0,"",IF('REFERENCIAS'!$Q$8&lt;&gt;1,2,IF(NOT(Y412=1),1,IF(OR(ABS('DATOS'!G412-ROUND('DATOS'!G412,'REFERENCIAS'!$E$8))&gt;0.00000001,ABS('DATOS'!H412-ROUND('DATOS'!H412,'REFERENCIAS'!$H$8))&gt;0.00000001,ABS('DATOS'!J412-ROUND('DATOS'!J412,'REFERENCIAS'!$K$8))&gt;0.00000001,IF(ISNUMBER('DATOS'!I412),ABS('DATOS'!I412-ROUND('DATOS'!I412,'REFERENCIAS'!$H$8))&gt;0.00000001,FALSE)),1,0)))),2)</f>
      </c>
      <c r="T412" s="29">
        <f>IFERROR(IF(N412=0,"",IF(NOT(AND(LEN(TRIM('DATOS'!F412&amp;""))&gt;0,TRIM('DATOS'!F412&amp;"")&lt;&gt;"Pendiente",TRIM('DATOS'!F412&amp;"")&lt;&gt;"Por confirmar",TRIM('DATOS'!F412&amp;"")&lt;&gt;"No consta",TRIM('DATOS'!F412&amp;"")&lt;&gt;"Desconocido",TRIM('DATOS'!F412&amp;"")&lt;&gt;"Sin confirmar",TRIM('DATOS'!F412&amp;"")&lt;&gt;"Por decidir",TRIM('DATOS'!F412&amp;"")&lt;&gt;"Por comprobar")),2,IF(COUNTIFS('REFERENCIAS'!$T$15:$T$34,"ID:"&amp;SUBSTITUTE(SUBSTITUTE(SUBSTITUTE(SUBSTITUTE(UPPER(TRIM('DATOS'!F412&amp;"")),"!","!E"),"*","!A"),"?","!B"),"~","!C"),'REFERENCIAS'!$H$15:$H$34,"&lt;&gt;")&gt;0,0,1))),2)</f>
      </c>
      <c r="U412" s="29" t="str">
        <f>'DATOS'!R412</f>
        <v>ID:</v>
      </c>
      <c r="V412" s="29" t="str">
        <f>'DATOS'!S412</f>
        <v>ID:</v>
      </c>
      <c r="W412" s="29" t="n">
        <f>IF(N412=0,0,COUNTIFS('REFERENCIAS'!$R$15:$R$64,U412))</f>
        <v>0</v>
      </c>
      <c r="X412" s="29" t="n">
        <f>IF(N412=0,0,COUNTIFS('DATOS'!$R$10:$R$509,U412,'DATOS'!$S$10:$S$509,V412))</f>
        <v>0</v>
      </c>
      <c r="Y412" s="29" t="n">
        <f>IF(AND(ISNUMBER('DATOS'!G412),ISNUMBER('DATOS'!H412),ISNUMBER('DATOS'!J412)),1,0)</f>
        <v>0</v>
      </c>
    </row>
    <row r="413" ht="64" customHeight="1">
      <c r="B413" s="26">
        <f>IF(N413=1,404,"")</f>
      </c>
      <c r="C413" s="26">
        <f>IF(AND(N413=1,LEN(TRIM('DATOS'!B413&amp;""))&gt;0),'DATOS'!B413,"")</f>
      </c>
      <c r="D413" s="26">
        <f>IF(AND(N413=1,LEN(TRIM('DATOS'!C413&amp;""))&gt;0),'DATOS'!C413,"")</f>
      </c>
      <c r="E413" s="26">
        <f>IF(NOT(ISNUMBER(P413)),"",IF(P413=2,"ROJO",IF(P413=1,"ÁMBAR","VERDE")))</f>
      </c>
      <c r="F413" s="26">
        <f>IF(NOT(ISNUMBER(Q413)),"",IF(Q413=2,"ROJO",IF(Q413=1,"ÁMBAR","VERDE")))</f>
      </c>
      <c r="G413" s="26">
        <f>IF(NOT(ISNUMBER(R413)),"",IF(R413=2,"ROJO",IF(R413=1,"ÁMBAR","VERDE")))</f>
      </c>
      <c r="H413" s="26">
        <f>IF(NOT(ISNUMBER(S413)),"",IF(S413=2,"ROJO",IF(S413=1,"ÁMBAR","VERDE")))</f>
      </c>
      <c r="I413" s="26">
        <f>IF(NOT(ISNUMBER(T413)),"",IF(T413=2,"ROJO",IF(T413=1,"ÁMBAR","VERDE")))</f>
      </c>
      <c r="J413" s="26">
        <f>IF(NOT(ISNUMBER(O413)),"",IF(O413=2,"ROJO",IF(O413=1,"ÁMBAR","VERDE")))</f>
      </c>
      <c r="K413" s="26">
        <f>IFERROR(IF(AND(N413=1,LEN(TRIM('DATOS'!N413&amp;""))&gt;0),'DATOS'!N413,""),"Hay una entrada con error. Corregimos el dato antes de cerrar la comprobación.")</f>
      </c>
      <c r="L413" s="26">
        <f>IFERROR(IF(N413=0,"",IF(O413&gt;0,"Completamos datos, claves o motivo. ","")&amp;IF(P413&gt;0,"Cotejamos precios e importe. ","")&amp;IF(Q413&gt;0,"Aclaramos el cero. ","")&amp;IF(R413&gt;0,"Comprobamos el texto. ","")&amp;IF(S413&gt;0,"Revisamos decimales visibles. ","")&amp;IF(T413&gt;0,"Confirmamos la unidad.","")),"Hay una entrada con error. Corregimos el dato antes de cerrar la comprobación.")</f>
      </c>
      <c r="N413" s="29" t="n">
        <f>IF(COUNTA('DATOS'!B413:O413)&gt;0,1,0)</f>
        <v>0</v>
      </c>
      <c r="O413" s="29">
        <f>IFERROR(IF(N413=0,"",IF(OR(NOT(AND(LEN(TRIM('DATOS'!B413&amp;""))&gt;0,TRIM('DATOS'!B413&amp;"")&lt;&gt;"Pendiente",TRIM('DATOS'!B413&amp;"")&lt;&gt;"Por confirmar",TRIM('DATOS'!B413&amp;"")&lt;&gt;"No consta",TRIM('DATOS'!B413&amp;"")&lt;&gt;"Desconocido",TRIM('DATOS'!B413&amp;"")&lt;&gt;"Sin confirmar",TRIM('DATOS'!B413&amp;"")&lt;&gt;"Por decidir",TRIM('DATOS'!B413&amp;"")&lt;&gt;"Por comprobar")),NOT(AND(LEN(TRIM('DATOS'!C413&amp;""))&gt;0,TRIM('DATOS'!C413&amp;"")&lt;&gt;"Pendiente",TRIM('DATOS'!C413&amp;"")&lt;&gt;"Por confirmar",TRIM('DATOS'!C413&amp;"")&lt;&gt;"No consta",TRIM('DATOS'!C413&amp;"")&lt;&gt;"Desconocido",TRIM('DATOS'!C413&amp;"")&lt;&gt;"Sin confirmar",TRIM('DATOS'!C413&amp;"")&lt;&gt;"Por decidir",TRIM('DATOS'!C413&amp;"")&lt;&gt;"Por comprobar")),NOT(AND(LEN(TRIM('DATOS'!D413&amp;""))&gt;0,TRIM('DATOS'!D413&amp;"")&lt;&gt;"Pendiente",TRIM('DATOS'!D413&amp;"")&lt;&gt;"Por confirmar",TRIM('DATOS'!D413&amp;"")&lt;&gt;"No consta",TRIM('DATOS'!D413&amp;"")&lt;&gt;"Desconocido",TRIM('DATOS'!D413&amp;"")&lt;&gt;"Sin confirmar",TRIM('DATOS'!D413&amp;"")&lt;&gt;"Por decidir",TRIM('DATOS'!D413&amp;"")&lt;&gt;"Por comprobar")),NOT(AND(LEN(TRIM('DATOS'!E413&amp;""))&gt;0,TRIM('DATOS'!E413&amp;"")&lt;&gt;"Pendiente",TRIM('DATOS'!E413&amp;"")&lt;&gt;"Por confirmar",TRIM('DATOS'!E413&amp;"")&lt;&gt;"No consta",TRIM('DATOS'!E413&amp;"")&lt;&gt;"Desconocido",TRIM('DATOS'!E413&amp;"")&lt;&gt;"Sin confirmar",TRIM('DATOS'!E413&amp;"")&lt;&gt;"Por decidir",TRIM('DATOS'!E413&amp;"")&lt;&gt;"Por comprobar")),NOT(AND(LEN(TRIM('DATOS'!F413&amp;""))&gt;0,TRIM('DATOS'!F413&amp;"")&lt;&gt;"Pendiente",TRIM('DATOS'!F413&amp;"")&lt;&gt;"Por confirmar",TRIM('DATOS'!F413&amp;"")&lt;&gt;"No consta",TRIM('DATOS'!F413&amp;"")&lt;&gt;"Desconocido",TRIM('DATOS'!F413&amp;"")&lt;&gt;"Sin confirmar",TRIM('DATOS'!F413&amp;"")&lt;&gt;"Por decidir",TRIM('DATOS'!F413&amp;"")&lt;&gt;"Por comprobar")),NOT(AND(LEN(TRIM('DATOS'!N413&amp;""))&gt;0,TRIM('DATOS'!N413&amp;"")&lt;&gt;"Pendiente",TRIM('DATOS'!N413&amp;"")&lt;&gt;"Por confirmar",TRIM('DATOS'!N413&amp;"")&lt;&gt;"No consta",TRIM('DATOS'!N413&amp;"")&lt;&gt;"Desconocido",TRIM('DATOS'!N413&amp;"")&lt;&gt;"Sin confirmar",TRIM('DATOS'!N413&amp;"")&lt;&gt;"Por decidir",TRIM('DATOS'!N413&amp;"")&lt;&gt;"Por comprobar")),NOT(Y413=1),W413&lt;&gt;1,X413&gt;1,NOT(OR(LEN(TRIM('DATOS'!K413&amp;""))=0,'DATOS'!K413="Sin valorar",'DATOS'!K413="Sin coste documentado",'DATOS'!K413="Incluido en otra partida",'DATOS'!K413="Por confirmar")),NOT(OR(LEN(TRIM('DATOS'!M413&amp;""))=0,'DATOS'!M413="Sí",'DATOS'!M413="No",'DATOS'!M413="Por confirmar")),NOT(OR(LEN(TRIM('DATOS'!O413&amp;""))=0,'DATOS'!O413="Comparamos",'DATOS'!O413="No existe",'DATOS'!O413="Por confirmar"))),2,IF(AND(OR('DATOS'!G413&lt;0,'DATOS'!H413&lt;0,'DATOS'!J413&lt;0),NOT(AND(LEN(TRIM('DATOS'!L413&amp;""))&gt;0,TRIM('DATOS'!L413&amp;"")&lt;&gt;"Pendiente",TRIM('DATOS'!L413&amp;"")&lt;&gt;"Por confirmar",TRIM('DATOS'!L413&amp;"")&lt;&gt;"No consta",TRIM('DATOS'!L413&amp;"")&lt;&gt;"Desconocido",TRIM('DATOS'!L413&amp;"")&lt;&gt;"Sin confirmar",TRIM('DATOS'!L413&amp;"")&lt;&gt;"Por decidir",TRIM('DATOS'!L413&amp;"")&lt;&gt;"Por comprobar"))),1,0))),2)</f>
      </c>
      <c r="P413" s="29">
        <f>IFERROR(IF(N413=0,"",IF(NOT(Y413=1),1,IF('REFERENCIAS'!$Q$8&lt;&gt;1,2,IF(ABS('DATOS'!J413-ROUND('DATOS'!G413*'DATOS'!H413,'REFERENCIAS'!$K$8))&gt;0.00000001,2,IF('DATOS'!O413="No existe",IF(LEN(TRIM('DATOS'!I413&amp;""))=0,0,2),IF('DATOS'!O413="Comparamos",IF(LEN(TRIM('DATOS'!I413&amp;""))=0,1,IF(ISNUMBER('DATOS'!I413),IF(ABS('DATOS'!H413-'DATOS'!I413)&gt;0.00000001,2,0),2)),1)))))),2)</f>
      </c>
      <c r="Q413" s="29">
        <f>IFERROR(IF(N413=0,"",IF(NOT(Y413=1),1,IF('DATOS'!K413="Sin valorar",2,IF('DATOS'!G413=0,1,IF(OR('DATOS'!H413=0,'DATOS'!J413=0),IF(AND(OR('DATOS'!K413="Sin coste documentado",'DATOS'!K413="Incluido en otra partida"),AND(LEN(TRIM('DATOS'!L413&amp;""))&gt;0,TRIM('DATOS'!L413&amp;"")&lt;&gt;"Pendiente",TRIM('DATOS'!L413&amp;"")&lt;&gt;"Por confirmar",TRIM('DATOS'!L413&amp;"")&lt;&gt;"No consta",TRIM('DATOS'!L413&amp;"")&lt;&gt;"Desconocido",TRIM('DATOS'!L413&amp;"")&lt;&gt;"Sin confirmar",TRIM('DATOS'!L413&amp;"")&lt;&gt;"Por decidir",TRIM('DATOS'!L413&amp;"")&lt;&gt;"Por comprobar")),0,1),0))))),2)</f>
      </c>
      <c r="R413" s="29">
        <f>IFERROR(IF(N413=0,"",IF(OR(NOT(AND(LEN(TRIM('DATOS'!D413&amp;""))&gt;0,TRIM('DATOS'!D413&amp;"")&lt;&gt;"Pendiente",TRIM('DATOS'!D413&amp;"")&lt;&gt;"Por confirmar",TRIM('DATOS'!D413&amp;"")&lt;&gt;"No consta",TRIM('DATOS'!D413&amp;"")&lt;&gt;"Desconocido",TRIM('DATOS'!D413&amp;"")&lt;&gt;"Sin confirmar",TRIM('DATOS'!D413&amp;"")&lt;&gt;"Por decidir",TRIM('DATOS'!D413&amp;"")&lt;&gt;"Por comprobar")),NOT(AND(LEN(TRIM('DATOS'!E413&amp;""))&gt;0,TRIM('DATOS'!E413&amp;"")&lt;&gt;"Pendiente",TRIM('DATOS'!E413&amp;"")&lt;&gt;"Por confirmar",TRIM('DATOS'!E413&amp;"")&lt;&gt;"No consta",TRIM('DATOS'!E413&amp;"")&lt;&gt;"Desconocido",TRIM('DATOS'!E413&amp;"")&lt;&gt;"Sin confirmar",TRIM('DATOS'!E413&amp;"")&lt;&gt;"Por decidir",TRIM('DATOS'!E413&amp;"")&lt;&gt;"Por comprobar"))),2,IF('DATOS'!M413="No",2,IF('DATOS'!M413="Sí",0,IF(OR('DATOS'!D413&lt;&gt;'DATOS'!E413,LEN('DATOS'!E413)&gt;300,RIGHT(TRIM('DATOS'!E413),3)="...",RIGHT(TRIM('DATOS'!E413),1)="…"),1,0))))),2)</f>
      </c>
      <c r="S413" s="29">
        <f>IFERROR(IF(N413=0,"",IF('REFERENCIAS'!$Q$8&lt;&gt;1,2,IF(NOT(Y413=1),1,IF(OR(ABS('DATOS'!G413-ROUND('DATOS'!G413,'REFERENCIAS'!$E$8))&gt;0.00000001,ABS('DATOS'!H413-ROUND('DATOS'!H413,'REFERENCIAS'!$H$8))&gt;0.00000001,ABS('DATOS'!J413-ROUND('DATOS'!J413,'REFERENCIAS'!$K$8))&gt;0.00000001,IF(ISNUMBER('DATOS'!I413),ABS('DATOS'!I413-ROUND('DATOS'!I413,'REFERENCIAS'!$H$8))&gt;0.00000001,FALSE)),1,0)))),2)</f>
      </c>
      <c r="T413" s="29">
        <f>IFERROR(IF(N413=0,"",IF(NOT(AND(LEN(TRIM('DATOS'!F413&amp;""))&gt;0,TRIM('DATOS'!F413&amp;"")&lt;&gt;"Pendiente",TRIM('DATOS'!F413&amp;"")&lt;&gt;"Por confirmar",TRIM('DATOS'!F413&amp;"")&lt;&gt;"No consta",TRIM('DATOS'!F413&amp;"")&lt;&gt;"Desconocido",TRIM('DATOS'!F413&amp;"")&lt;&gt;"Sin confirmar",TRIM('DATOS'!F413&amp;"")&lt;&gt;"Por decidir",TRIM('DATOS'!F413&amp;"")&lt;&gt;"Por comprobar")),2,IF(COUNTIFS('REFERENCIAS'!$T$15:$T$34,"ID:"&amp;SUBSTITUTE(SUBSTITUTE(SUBSTITUTE(SUBSTITUTE(UPPER(TRIM('DATOS'!F413&amp;"")),"!","!E"),"*","!A"),"?","!B"),"~","!C"),'REFERENCIAS'!$H$15:$H$34,"&lt;&gt;")&gt;0,0,1))),2)</f>
      </c>
      <c r="U413" s="29" t="str">
        <f>'DATOS'!R413</f>
        <v>ID:</v>
      </c>
      <c r="V413" s="29" t="str">
        <f>'DATOS'!S413</f>
        <v>ID:</v>
      </c>
      <c r="W413" s="29" t="n">
        <f>IF(N413=0,0,COUNTIFS('REFERENCIAS'!$R$15:$R$64,U413))</f>
        <v>0</v>
      </c>
      <c r="X413" s="29" t="n">
        <f>IF(N413=0,0,COUNTIFS('DATOS'!$R$10:$R$509,U413,'DATOS'!$S$10:$S$509,V413))</f>
        <v>0</v>
      </c>
      <c r="Y413" s="29" t="n">
        <f>IF(AND(ISNUMBER('DATOS'!G413),ISNUMBER('DATOS'!H413),ISNUMBER('DATOS'!J413)),1,0)</f>
        <v>0</v>
      </c>
    </row>
    <row r="414" ht="64" customHeight="1">
      <c r="B414" s="26">
        <f>IF(N414=1,405,"")</f>
      </c>
      <c r="C414" s="26">
        <f>IF(AND(N414=1,LEN(TRIM('DATOS'!B414&amp;""))&gt;0),'DATOS'!B414,"")</f>
      </c>
      <c r="D414" s="26">
        <f>IF(AND(N414=1,LEN(TRIM('DATOS'!C414&amp;""))&gt;0),'DATOS'!C414,"")</f>
      </c>
      <c r="E414" s="26">
        <f>IF(NOT(ISNUMBER(P414)),"",IF(P414=2,"ROJO",IF(P414=1,"ÁMBAR","VERDE")))</f>
      </c>
      <c r="F414" s="26">
        <f>IF(NOT(ISNUMBER(Q414)),"",IF(Q414=2,"ROJO",IF(Q414=1,"ÁMBAR","VERDE")))</f>
      </c>
      <c r="G414" s="26">
        <f>IF(NOT(ISNUMBER(R414)),"",IF(R414=2,"ROJO",IF(R414=1,"ÁMBAR","VERDE")))</f>
      </c>
      <c r="H414" s="26">
        <f>IF(NOT(ISNUMBER(S414)),"",IF(S414=2,"ROJO",IF(S414=1,"ÁMBAR","VERDE")))</f>
      </c>
      <c r="I414" s="26">
        <f>IF(NOT(ISNUMBER(T414)),"",IF(T414=2,"ROJO",IF(T414=1,"ÁMBAR","VERDE")))</f>
      </c>
      <c r="J414" s="26">
        <f>IF(NOT(ISNUMBER(O414)),"",IF(O414=2,"ROJO",IF(O414=1,"ÁMBAR","VERDE")))</f>
      </c>
      <c r="K414" s="26">
        <f>IFERROR(IF(AND(N414=1,LEN(TRIM('DATOS'!N414&amp;""))&gt;0),'DATOS'!N414,""),"Hay una entrada con error. Corregimos el dato antes de cerrar la comprobación.")</f>
      </c>
      <c r="L414" s="26">
        <f>IFERROR(IF(N414=0,"",IF(O414&gt;0,"Completamos datos, claves o motivo. ","")&amp;IF(P414&gt;0,"Cotejamos precios e importe. ","")&amp;IF(Q414&gt;0,"Aclaramos el cero. ","")&amp;IF(R414&gt;0,"Comprobamos el texto. ","")&amp;IF(S414&gt;0,"Revisamos decimales visibles. ","")&amp;IF(T414&gt;0,"Confirmamos la unidad.","")),"Hay una entrada con error. Corregimos el dato antes de cerrar la comprobación.")</f>
      </c>
      <c r="N414" s="29" t="n">
        <f>IF(COUNTA('DATOS'!B414:O414)&gt;0,1,0)</f>
        <v>0</v>
      </c>
      <c r="O414" s="29">
        <f>IFERROR(IF(N414=0,"",IF(OR(NOT(AND(LEN(TRIM('DATOS'!B414&amp;""))&gt;0,TRIM('DATOS'!B414&amp;"")&lt;&gt;"Pendiente",TRIM('DATOS'!B414&amp;"")&lt;&gt;"Por confirmar",TRIM('DATOS'!B414&amp;"")&lt;&gt;"No consta",TRIM('DATOS'!B414&amp;"")&lt;&gt;"Desconocido",TRIM('DATOS'!B414&amp;"")&lt;&gt;"Sin confirmar",TRIM('DATOS'!B414&amp;"")&lt;&gt;"Por decidir",TRIM('DATOS'!B414&amp;"")&lt;&gt;"Por comprobar")),NOT(AND(LEN(TRIM('DATOS'!C414&amp;""))&gt;0,TRIM('DATOS'!C414&amp;"")&lt;&gt;"Pendiente",TRIM('DATOS'!C414&amp;"")&lt;&gt;"Por confirmar",TRIM('DATOS'!C414&amp;"")&lt;&gt;"No consta",TRIM('DATOS'!C414&amp;"")&lt;&gt;"Desconocido",TRIM('DATOS'!C414&amp;"")&lt;&gt;"Sin confirmar",TRIM('DATOS'!C414&amp;"")&lt;&gt;"Por decidir",TRIM('DATOS'!C414&amp;"")&lt;&gt;"Por comprobar")),NOT(AND(LEN(TRIM('DATOS'!D414&amp;""))&gt;0,TRIM('DATOS'!D414&amp;"")&lt;&gt;"Pendiente",TRIM('DATOS'!D414&amp;"")&lt;&gt;"Por confirmar",TRIM('DATOS'!D414&amp;"")&lt;&gt;"No consta",TRIM('DATOS'!D414&amp;"")&lt;&gt;"Desconocido",TRIM('DATOS'!D414&amp;"")&lt;&gt;"Sin confirmar",TRIM('DATOS'!D414&amp;"")&lt;&gt;"Por decidir",TRIM('DATOS'!D414&amp;"")&lt;&gt;"Por comprobar")),NOT(AND(LEN(TRIM('DATOS'!E414&amp;""))&gt;0,TRIM('DATOS'!E414&amp;"")&lt;&gt;"Pendiente",TRIM('DATOS'!E414&amp;"")&lt;&gt;"Por confirmar",TRIM('DATOS'!E414&amp;"")&lt;&gt;"No consta",TRIM('DATOS'!E414&amp;"")&lt;&gt;"Desconocido",TRIM('DATOS'!E414&amp;"")&lt;&gt;"Sin confirmar",TRIM('DATOS'!E414&amp;"")&lt;&gt;"Por decidir",TRIM('DATOS'!E414&amp;"")&lt;&gt;"Por comprobar")),NOT(AND(LEN(TRIM('DATOS'!F414&amp;""))&gt;0,TRIM('DATOS'!F414&amp;"")&lt;&gt;"Pendiente",TRIM('DATOS'!F414&amp;"")&lt;&gt;"Por confirmar",TRIM('DATOS'!F414&amp;"")&lt;&gt;"No consta",TRIM('DATOS'!F414&amp;"")&lt;&gt;"Desconocido",TRIM('DATOS'!F414&amp;"")&lt;&gt;"Sin confirmar",TRIM('DATOS'!F414&amp;"")&lt;&gt;"Por decidir",TRIM('DATOS'!F414&amp;"")&lt;&gt;"Por comprobar")),NOT(AND(LEN(TRIM('DATOS'!N414&amp;""))&gt;0,TRIM('DATOS'!N414&amp;"")&lt;&gt;"Pendiente",TRIM('DATOS'!N414&amp;"")&lt;&gt;"Por confirmar",TRIM('DATOS'!N414&amp;"")&lt;&gt;"No consta",TRIM('DATOS'!N414&amp;"")&lt;&gt;"Desconocido",TRIM('DATOS'!N414&amp;"")&lt;&gt;"Sin confirmar",TRIM('DATOS'!N414&amp;"")&lt;&gt;"Por decidir",TRIM('DATOS'!N414&amp;"")&lt;&gt;"Por comprobar")),NOT(Y414=1),W414&lt;&gt;1,X414&gt;1,NOT(OR(LEN(TRIM('DATOS'!K414&amp;""))=0,'DATOS'!K414="Sin valorar",'DATOS'!K414="Sin coste documentado",'DATOS'!K414="Incluido en otra partida",'DATOS'!K414="Por confirmar")),NOT(OR(LEN(TRIM('DATOS'!M414&amp;""))=0,'DATOS'!M414="Sí",'DATOS'!M414="No",'DATOS'!M414="Por confirmar")),NOT(OR(LEN(TRIM('DATOS'!O414&amp;""))=0,'DATOS'!O414="Comparamos",'DATOS'!O414="No existe",'DATOS'!O414="Por confirmar"))),2,IF(AND(OR('DATOS'!G414&lt;0,'DATOS'!H414&lt;0,'DATOS'!J414&lt;0),NOT(AND(LEN(TRIM('DATOS'!L414&amp;""))&gt;0,TRIM('DATOS'!L414&amp;"")&lt;&gt;"Pendiente",TRIM('DATOS'!L414&amp;"")&lt;&gt;"Por confirmar",TRIM('DATOS'!L414&amp;"")&lt;&gt;"No consta",TRIM('DATOS'!L414&amp;"")&lt;&gt;"Desconocido",TRIM('DATOS'!L414&amp;"")&lt;&gt;"Sin confirmar",TRIM('DATOS'!L414&amp;"")&lt;&gt;"Por decidir",TRIM('DATOS'!L414&amp;"")&lt;&gt;"Por comprobar"))),1,0))),2)</f>
      </c>
      <c r="P414" s="29">
        <f>IFERROR(IF(N414=0,"",IF(NOT(Y414=1),1,IF('REFERENCIAS'!$Q$8&lt;&gt;1,2,IF(ABS('DATOS'!J414-ROUND('DATOS'!G414*'DATOS'!H414,'REFERENCIAS'!$K$8))&gt;0.00000001,2,IF('DATOS'!O414="No existe",IF(LEN(TRIM('DATOS'!I414&amp;""))=0,0,2),IF('DATOS'!O414="Comparamos",IF(LEN(TRIM('DATOS'!I414&amp;""))=0,1,IF(ISNUMBER('DATOS'!I414),IF(ABS('DATOS'!H414-'DATOS'!I414)&gt;0.00000001,2,0),2)),1)))))),2)</f>
      </c>
      <c r="Q414" s="29">
        <f>IFERROR(IF(N414=0,"",IF(NOT(Y414=1),1,IF('DATOS'!K414="Sin valorar",2,IF('DATOS'!G414=0,1,IF(OR('DATOS'!H414=0,'DATOS'!J414=0),IF(AND(OR('DATOS'!K414="Sin coste documentado",'DATOS'!K414="Incluido en otra partida"),AND(LEN(TRIM('DATOS'!L414&amp;""))&gt;0,TRIM('DATOS'!L414&amp;"")&lt;&gt;"Pendiente",TRIM('DATOS'!L414&amp;"")&lt;&gt;"Por confirmar",TRIM('DATOS'!L414&amp;"")&lt;&gt;"No consta",TRIM('DATOS'!L414&amp;"")&lt;&gt;"Desconocido",TRIM('DATOS'!L414&amp;"")&lt;&gt;"Sin confirmar",TRIM('DATOS'!L414&amp;"")&lt;&gt;"Por decidir",TRIM('DATOS'!L414&amp;"")&lt;&gt;"Por comprobar")),0,1),0))))),2)</f>
      </c>
      <c r="R414" s="29">
        <f>IFERROR(IF(N414=0,"",IF(OR(NOT(AND(LEN(TRIM('DATOS'!D414&amp;""))&gt;0,TRIM('DATOS'!D414&amp;"")&lt;&gt;"Pendiente",TRIM('DATOS'!D414&amp;"")&lt;&gt;"Por confirmar",TRIM('DATOS'!D414&amp;"")&lt;&gt;"No consta",TRIM('DATOS'!D414&amp;"")&lt;&gt;"Desconocido",TRIM('DATOS'!D414&amp;"")&lt;&gt;"Sin confirmar",TRIM('DATOS'!D414&amp;"")&lt;&gt;"Por decidir",TRIM('DATOS'!D414&amp;"")&lt;&gt;"Por comprobar")),NOT(AND(LEN(TRIM('DATOS'!E414&amp;""))&gt;0,TRIM('DATOS'!E414&amp;"")&lt;&gt;"Pendiente",TRIM('DATOS'!E414&amp;"")&lt;&gt;"Por confirmar",TRIM('DATOS'!E414&amp;"")&lt;&gt;"No consta",TRIM('DATOS'!E414&amp;"")&lt;&gt;"Desconocido",TRIM('DATOS'!E414&amp;"")&lt;&gt;"Sin confirmar",TRIM('DATOS'!E414&amp;"")&lt;&gt;"Por decidir",TRIM('DATOS'!E414&amp;"")&lt;&gt;"Por comprobar"))),2,IF('DATOS'!M414="No",2,IF('DATOS'!M414="Sí",0,IF(OR('DATOS'!D414&lt;&gt;'DATOS'!E414,LEN('DATOS'!E414)&gt;300,RIGHT(TRIM('DATOS'!E414),3)="...",RIGHT(TRIM('DATOS'!E414),1)="…"),1,0))))),2)</f>
      </c>
      <c r="S414" s="29">
        <f>IFERROR(IF(N414=0,"",IF('REFERENCIAS'!$Q$8&lt;&gt;1,2,IF(NOT(Y414=1),1,IF(OR(ABS('DATOS'!G414-ROUND('DATOS'!G414,'REFERENCIAS'!$E$8))&gt;0.00000001,ABS('DATOS'!H414-ROUND('DATOS'!H414,'REFERENCIAS'!$H$8))&gt;0.00000001,ABS('DATOS'!J414-ROUND('DATOS'!J414,'REFERENCIAS'!$K$8))&gt;0.00000001,IF(ISNUMBER('DATOS'!I414),ABS('DATOS'!I414-ROUND('DATOS'!I414,'REFERENCIAS'!$H$8))&gt;0.00000001,FALSE)),1,0)))),2)</f>
      </c>
      <c r="T414" s="29">
        <f>IFERROR(IF(N414=0,"",IF(NOT(AND(LEN(TRIM('DATOS'!F414&amp;""))&gt;0,TRIM('DATOS'!F414&amp;"")&lt;&gt;"Pendiente",TRIM('DATOS'!F414&amp;"")&lt;&gt;"Por confirmar",TRIM('DATOS'!F414&amp;"")&lt;&gt;"No consta",TRIM('DATOS'!F414&amp;"")&lt;&gt;"Desconocido",TRIM('DATOS'!F414&amp;"")&lt;&gt;"Sin confirmar",TRIM('DATOS'!F414&amp;"")&lt;&gt;"Por decidir",TRIM('DATOS'!F414&amp;"")&lt;&gt;"Por comprobar")),2,IF(COUNTIFS('REFERENCIAS'!$T$15:$T$34,"ID:"&amp;SUBSTITUTE(SUBSTITUTE(SUBSTITUTE(SUBSTITUTE(UPPER(TRIM('DATOS'!F414&amp;"")),"!","!E"),"*","!A"),"?","!B"),"~","!C"),'REFERENCIAS'!$H$15:$H$34,"&lt;&gt;")&gt;0,0,1))),2)</f>
      </c>
      <c r="U414" s="29" t="str">
        <f>'DATOS'!R414</f>
        <v>ID:</v>
      </c>
      <c r="V414" s="29" t="str">
        <f>'DATOS'!S414</f>
        <v>ID:</v>
      </c>
      <c r="W414" s="29" t="n">
        <f>IF(N414=0,0,COUNTIFS('REFERENCIAS'!$R$15:$R$64,U414))</f>
        <v>0</v>
      </c>
      <c r="X414" s="29" t="n">
        <f>IF(N414=0,0,COUNTIFS('DATOS'!$R$10:$R$509,U414,'DATOS'!$S$10:$S$509,V414))</f>
        <v>0</v>
      </c>
      <c r="Y414" s="29" t="n">
        <f>IF(AND(ISNUMBER('DATOS'!G414),ISNUMBER('DATOS'!H414),ISNUMBER('DATOS'!J414)),1,0)</f>
        <v>0</v>
      </c>
    </row>
    <row r="415" ht="64" customHeight="1">
      <c r="B415" s="26">
        <f>IF(N415=1,406,"")</f>
      </c>
      <c r="C415" s="26">
        <f>IF(AND(N415=1,LEN(TRIM('DATOS'!B415&amp;""))&gt;0),'DATOS'!B415,"")</f>
      </c>
      <c r="D415" s="26">
        <f>IF(AND(N415=1,LEN(TRIM('DATOS'!C415&amp;""))&gt;0),'DATOS'!C415,"")</f>
      </c>
      <c r="E415" s="26">
        <f>IF(NOT(ISNUMBER(P415)),"",IF(P415=2,"ROJO",IF(P415=1,"ÁMBAR","VERDE")))</f>
      </c>
      <c r="F415" s="26">
        <f>IF(NOT(ISNUMBER(Q415)),"",IF(Q415=2,"ROJO",IF(Q415=1,"ÁMBAR","VERDE")))</f>
      </c>
      <c r="G415" s="26">
        <f>IF(NOT(ISNUMBER(R415)),"",IF(R415=2,"ROJO",IF(R415=1,"ÁMBAR","VERDE")))</f>
      </c>
      <c r="H415" s="26">
        <f>IF(NOT(ISNUMBER(S415)),"",IF(S415=2,"ROJO",IF(S415=1,"ÁMBAR","VERDE")))</f>
      </c>
      <c r="I415" s="26">
        <f>IF(NOT(ISNUMBER(T415)),"",IF(T415=2,"ROJO",IF(T415=1,"ÁMBAR","VERDE")))</f>
      </c>
      <c r="J415" s="26">
        <f>IF(NOT(ISNUMBER(O415)),"",IF(O415=2,"ROJO",IF(O415=1,"ÁMBAR","VERDE")))</f>
      </c>
      <c r="K415" s="26">
        <f>IFERROR(IF(AND(N415=1,LEN(TRIM('DATOS'!N415&amp;""))&gt;0),'DATOS'!N415,""),"Hay una entrada con error. Corregimos el dato antes de cerrar la comprobación.")</f>
      </c>
      <c r="L415" s="26">
        <f>IFERROR(IF(N415=0,"",IF(O415&gt;0,"Completamos datos, claves o motivo. ","")&amp;IF(P415&gt;0,"Cotejamos precios e importe. ","")&amp;IF(Q415&gt;0,"Aclaramos el cero. ","")&amp;IF(R415&gt;0,"Comprobamos el texto. ","")&amp;IF(S415&gt;0,"Revisamos decimales visibles. ","")&amp;IF(T415&gt;0,"Confirmamos la unidad.","")),"Hay una entrada con error. Corregimos el dato antes de cerrar la comprobación.")</f>
      </c>
      <c r="N415" s="29" t="n">
        <f>IF(COUNTA('DATOS'!B415:O415)&gt;0,1,0)</f>
        <v>0</v>
      </c>
      <c r="O415" s="29">
        <f>IFERROR(IF(N415=0,"",IF(OR(NOT(AND(LEN(TRIM('DATOS'!B415&amp;""))&gt;0,TRIM('DATOS'!B415&amp;"")&lt;&gt;"Pendiente",TRIM('DATOS'!B415&amp;"")&lt;&gt;"Por confirmar",TRIM('DATOS'!B415&amp;"")&lt;&gt;"No consta",TRIM('DATOS'!B415&amp;"")&lt;&gt;"Desconocido",TRIM('DATOS'!B415&amp;"")&lt;&gt;"Sin confirmar",TRIM('DATOS'!B415&amp;"")&lt;&gt;"Por decidir",TRIM('DATOS'!B415&amp;"")&lt;&gt;"Por comprobar")),NOT(AND(LEN(TRIM('DATOS'!C415&amp;""))&gt;0,TRIM('DATOS'!C415&amp;"")&lt;&gt;"Pendiente",TRIM('DATOS'!C415&amp;"")&lt;&gt;"Por confirmar",TRIM('DATOS'!C415&amp;"")&lt;&gt;"No consta",TRIM('DATOS'!C415&amp;"")&lt;&gt;"Desconocido",TRIM('DATOS'!C415&amp;"")&lt;&gt;"Sin confirmar",TRIM('DATOS'!C415&amp;"")&lt;&gt;"Por decidir",TRIM('DATOS'!C415&amp;"")&lt;&gt;"Por comprobar")),NOT(AND(LEN(TRIM('DATOS'!D415&amp;""))&gt;0,TRIM('DATOS'!D415&amp;"")&lt;&gt;"Pendiente",TRIM('DATOS'!D415&amp;"")&lt;&gt;"Por confirmar",TRIM('DATOS'!D415&amp;"")&lt;&gt;"No consta",TRIM('DATOS'!D415&amp;"")&lt;&gt;"Desconocido",TRIM('DATOS'!D415&amp;"")&lt;&gt;"Sin confirmar",TRIM('DATOS'!D415&amp;"")&lt;&gt;"Por decidir",TRIM('DATOS'!D415&amp;"")&lt;&gt;"Por comprobar")),NOT(AND(LEN(TRIM('DATOS'!E415&amp;""))&gt;0,TRIM('DATOS'!E415&amp;"")&lt;&gt;"Pendiente",TRIM('DATOS'!E415&amp;"")&lt;&gt;"Por confirmar",TRIM('DATOS'!E415&amp;"")&lt;&gt;"No consta",TRIM('DATOS'!E415&amp;"")&lt;&gt;"Desconocido",TRIM('DATOS'!E415&amp;"")&lt;&gt;"Sin confirmar",TRIM('DATOS'!E415&amp;"")&lt;&gt;"Por decidir",TRIM('DATOS'!E415&amp;"")&lt;&gt;"Por comprobar")),NOT(AND(LEN(TRIM('DATOS'!F415&amp;""))&gt;0,TRIM('DATOS'!F415&amp;"")&lt;&gt;"Pendiente",TRIM('DATOS'!F415&amp;"")&lt;&gt;"Por confirmar",TRIM('DATOS'!F415&amp;"")&lt;&gt;"No consta",TRIM('DATOS'!F415&amp;"")&lt;&gt;"Desconocido",TRIM('DATOS'!F415&amp;"")&lt;&gt;"Sin confirmar",TRIM('DATOS'!F415&amp;"")&lt;&gt;"Por decidir",TRIM('DATOS'!F415&amp;"")&lt;&gt;"Por comprobar")),NOT(AND(LEN(TRIM('DATOS'!N415&amp;""))&gt;0,TRIM('DATOS'!N415&amp;"")&lt;&gt;"Pendiente",TRIM('DATOS'!N415&amp;"")&lt;&gt;"Por confirmar",TRIM('DATOS'!N415&amp;"")&lt;&gt;"No consta",TRIM('DATOS'!N415&amp;"")&lt;&gt;"Desconocido",TRIM('DATOS'!N415&amp;"")&lt;&gt;"Sin confirmar",TRIM('DATOS'!N415&amp;"")&lt;&gt;"Por decidir",TRIM('DATOS'!N415&amp;"")&lt;&gt;"Por comprobar")),NOT(Y415=1),W415&lt;&gt;1,X415&gt;1,NOT(OR(LEN(TRIM('DATOS'!K415&amp;""))=0,'DATOS'!K415="Sin valorar",'DATOS'!K415="Sin coste documentado",'DATOS'!K415="Incluido en otra partida",'DATOS'!K415="Por confirmar")),NOT(OR(LEN(TRIM('DATOS'!M415&amp;""))=0,'DATOS'!M415="Sí",'DATOS'!M415="No",'DATOS'!M415="Por confirmar")),NOT(OR(LEN(TRIM('DATOS'!O415&amp;""))=0,'DATOS'!O415="Comparamos",'DATOS'!O415="No existe",'DATOS'!O415="Por confirmar"))),2,IF(AND(OR('DATOS'!G415&lt;0,'DATOS'!H415&lt;0,'DATOS'!J415&lt;0),NOT(AND(LEN(TRIM('DATOS'!L415&amp;""))&gt;0,TRIM('DATOS'!L415&amp;"")&lt;&gt;"Pendiente",TRIM('DATOS'!L415&amp;"")&lt;&gt;"Por confirmar",TRIM('DATOS'!L415&amp;"")&lt;&gt;"No consta",TRIM('DATOS'!L415&amp;"")&lt;&gt;"Desconocido",TRIM('DATOS'!L415&amp;"")&lt;&gt;"Sin confirmar",TRIM('DATOS'!L415&amp;"")&lt;&gt;"Por decidir",TRIM('DATOS'!L415&amp;"")&lt;&gt;"Por comprobar"))),1,0))),2)</f>
      </c>
      <c r="P415" s="29">
        <f>IFERROR(IF(N415=0,"",IF(NOT(Y415=1),1,IF('REFERENCIAS'!$Q$8&lt;&gt;1,2,IF(ABS('DATOS'!J415-ROUND('DATOS'!G415*'DATOS'!H415,'REFERENCIAS'!$K$8))&gt;0.00000001,2,IF('DATOS'!O415="No existe",IF(LEN(TRIM('DATOS'!I415&amp;""))=0,0,2),IF('DATOS'!O415="Comparamos",IF(LEN(TRIM('DATOS'!I415&amp;""))=0,1,IF(ISNUMBER('DATOS'!I415),IF(ABS('DATOS'!H415-'DATOS'!I415)&gt;0.00000001,2,0),2)),1)))))),2)</f>
      </c>
      <c r="Q415" s="29">
        <f>IFERROR(IF(N415=0,"",IF(NOT(Y415=1),1,IF('DATOS'!K415="Sin valorar",2,IF('DATOS'!G415=0,1,IF(OR('DATOS'!H415=0,'DATOS'!J415=0),IF(AND(OR('DATOS'!K415="Sin coste documentado",'DATOS'!K415="Incluido en otra partida"),AND(LEN(TRIM('DATOS'!L415&amp;""))&gt;0,TRIM('DATOS'!L415&amp;"")&lt;&gt;"Pendiente",TRIM('DATOS'!L415&amp;"")&lt;&gt;"Por confirmar",TRIM('DATOS'!L415&amp;"")&lt;&gt;"No consta",TRIM('DATOS'!L415&amp;"")&lt;&gt;"Desconocido",TRIM('DATOS'!L415&amp;"")&lt;&gt;"Sin confirmar",TRIM('DATOS'!L415&amp;"")&lt;&gt;"Por decidir",TRIM('DATOS'!L415&amp;"")&lt;&gt;"Por comprobar")),0,1),0))))),2)</f>
      </c>
      <c r="R415" s="29">
        <f>IFERROR(IF(N415=0,"",IF(OR(NOT(AND(LEN(TRIM('DATOS'!D415&amp;""))&gt;0,TRIM('DATOS'!D415&amp;"")&lt;&gt;"Pendiente",TRIM('DATOS'!D415&amp;"")&lt;&gt;"Por confirmar",TRIM('DATOS'!D415&amp;"")&lt;&gt;"No consta",TRIM('DATOS'!D415&amp;"")&lt;&gt;"Desconocido",TRIM('DATOS'!D415&amp;"")&lt;&gt;"Sin confirmar",TRIM('DATOS'!D415&amp;"")&lt;&gt;"Por decidir",TRIM('DATOS'!D415&amp;"")&lt;&gt;"Por comprobar")),NOT(AND(LEN(TRIM('DATOS'!E415&amp;""))&gt;0,TRIM('DATOS'!E415&amp;"")&lt;&gt;"Pendiente",TRIM('DATOS'!E415&amp;"")&lt;&gt;"Por confirmar",TRIM('DATOS'!E415&amp;"")&lt;&gt;"No consta",TRIM('DATOS'!E415&amp;"")&lt;&gt;"Desconocido",TRIM('DATOS'!E415&amp;"")&lt;&gt;"Sin confirmar",TRIM('DATOS'!E415&amp;"")&lt;&gt;"Por decidir",TRIM('DATOS'!E415&amp;"")&lt;&gt;"Por comprobar"))),2,IF('DATOS'!M415="No",2,IF('DATOS'!M415="Sí",0,IF(OR('DATOS'!D415&lt;&gt;'DATOS'!E415,LEN('DATOS'!E415)&gt;300,RIGHT(TRIM('DATOS'!E415),3)="...",RIGHT(TRIM('DATOS'!E415),1)="…"),1,0))))),2)</f>
      </c>
      <c r="S415" s="29">
        <f>IFERROR(IF(N415=0,"",IF('REFERENCIAS'!$Q$8&lt;&gt;1,2,IF(NOT(Y415=1),1,IF(OR(ABS('DATOS'!G415-ROUND('DATOS'!G415,'REFERENCIAS'!$E$8))&gt;0.00000001,ABS('DATOS'!H415-ROUND('DATOS'!H415,'REFERENCIAS'!$H$8))&gt;0.00000001,ABS('DATOS'!J415-ROUND('DATOS'!J415,'REFERENCIAS'!$K$8))&gt;0.00000001,IF(ISNUMBER('DATOS'!I415),ABS('DATOS'!I415-ROUND('DATOS'!I415,'REFERENCIAS'!$H$8))&gt;0.00000001,FALSE)),1,0)))),2)</f>
      </c>
      <c r="T415" s="29">
        <f>IFERROR(IF(N415=0,"",IF(NOT(AND(LEN(TRIM('DATOS'!F415&amp;""))&gt;0,TRIM('DATOS'!F415&amp;"")&lt;&gt;"Pendiente",TRIM('DATOS'!F415&amp;"")&lt;&gt;"Por confirmar",TRIM('DATOS'!F415&amp;"")&lt;&gt;"No consta",TRIM('DATOS'!F415&amp;"")&lt;&gt;"Desconocido",TRIM('DATOS'!F415&amp;"")&lt;&gt;"Sin confirmar",TRIM('DATOS'!F415&amp;"")&lt;&gt;"Por decidir",TRIM('DATOS'!F415&amp;"")&lt;&gt;"Por comprobar")),2,IF(COUNTIFS('REFERENCIAS'!$T$15:$T$34,"ID:"&amp;SUBSTITUTE(SUBSTITUTE(SUBSTITUTE(SUBSTITUTE(UPPER(TRIM('DATOS'!F415&amp;"")),"!","!E"),"*","!A"),"?","!B"),"~","!C"),'REFERENCIAS'!$H$15:$H$34,"&lt;&gt;")&gt;0,0,1))),2)</f>
      </c>
      <c r="U415" s="29" t="str">
        <f>'DATOS'!R415</f>
        <v>ID:</v>
      </c>
      <c r="V415" s="29" t="str">
        <f>'DATOS'!S415</f>
        <v>ID:</v>
      </c>
      <c r="W415" s="29" t="n">
        <f>IF(N415=0,0,COUNTIFS('REFERENCIAS'!$R$15:$R$64,U415))</f>
        <v>0</v>
      </c>
      <c r="X415" s="29" t="n">
        <f>IF(N415=0,0,COUNTIFS('DATOS'!$R$10:$R$509,U415,'DATOS'!$S$10:$S$509,V415))</f>
        <v>0</v>
      </c>
      <c r="Y415" s="29" t="n">
        <f>IF(AND(ISNUMBER('DATOS'!G415),ISNUMBER('DATOS'!H415),ISNUMBER('DATOS'!J415)),1,0)</f>
        <v>0</v>
      </c>
    </row>
    <row r="416" ht="64" customHeight="1">
      <c r="B416" s="26">
        <f>IF(N416=1,407,"")</f>
      </c>
      <c r="C416" s="26">
        <f>IF(AND(N416=1,LEN(TRIM('DATOS'!B416&amp;""))&gt;0),'DATOS'!B416,"")</f>
      </c>
      <c r="D416" s="26">
        <f>IF(AND(N416=1,LEN(TRIM('DATOS'!C416&amp;""))&gt;0),'DATOS'!C416,"")</f>
      </c>
      <c r="E416" s="26">
        <f>IF(NOT(ISNUMBER(P416)),"",IF(P416=2,"ROJO",IF(P416=1,"ÁMBAR","VERDE")))</f>
      </c>
      <c r="F416" s="26">
        <f>IF(NOT(ISNUMBER(Q416)),"",IF(Q416=2,"ROJO",IF(Q416=1,"ÁMBAR","VERDE")))</f>
      </c>
      <c r="G416" s="26">
        <f>IF(NOT(ISNUMBER(R416)),"",IF(R416=2,"ROJO",IF(R416=1,"ÁMBAR","VERDE")))</f>
      </c>
      <c r="H416" s="26">
        <f>IF(NOT(ISNUMBER(S416)),"",IF(S416=2,"ROJO",IF(S416=1,"ÁMBAR","VERDE")))</f>
      </c>
      <c r="I416" s="26">
        <f>IF(NOT(ISNUMBER(T416)),"",IF(T416=2,"ROJO",IF(T416=1,"ÁMBAR","VERDE")))</f>
      </c>
      <c r="J416" s="26">
        <f>IF(NOT(ISNUMBER(O416)),"",IF(O416=2,"ROJO",IF(O416=1,"ÁMBAR","VERDE")))</f>
      </c>
      <c r="K416" s="26">
        <f>IFERROR(IF(AND(N416=1,LEN(TRIM('DATOS'!N416&amp;""))&gt;0),'DATOS'!N416,""),"Hay una entrada con error. Corregimos el dato antes de cerrar la comprobación.")</f>
      </c>
      <c r="L416" s="26">
        <f>IFERROR(IF(N416=0,"",IF(O416&gt;0,"Completamos datos, claves o motivo. ","")&amp;IF(P416&gt;0,"Cotejamos precios e importe. ","")&amp;IF(Q416&gt;0,"Aclaramos el cero. ","")&amp;IF(R416&gt;0,"Comprobamos el texto. ","")&amp;IF(S416&gt;0,"Revisamos decimales visibles. ","")&amp;IF(T416&gt;0,"Confirmamos la unidad.","")),"Hay una entrada con error. Corregimos el dato antes de cerrar la comprobación.")</f>
      </c>
      <c r="N416" s="29" t="n">
        <f>IF(COUNTA('DATOS'!B416:O416)&gt;0,1,0)</f>
        <v>0</v>
      </c>
      <c r="O416" s="29">
        <f>IFERROR(IF(N416=0,"",IF(OR(NOT(AND(LEN(TRIM('DATOS'!B416&amp;""))&gt;0,TRIM('DATOS'!B416&amp;"")&lt;&gt;"Pendiente",TRIM('DATOS'!B416&amp;"")&lt;&gt;"Por confirmar",TRIM('DATOS'!B416&amp;"")&lt;&gt;"No consta",TRIM('DATOS'!B416&amp;"")&lt;&gt;"Desconocido",TRIM('DATOS'!B416&amp;"")&lt;&gt;"Sin confirmar",TRIM('DATOS'!B416&amp;"")&lt;&gt;"Por decidir",TRIM('DATOS'!B416&amp;"")&lt;&gt;"Por comprobar")),NOT(AND(LEN(TRIM('DATOS'!C416&amp;""))&gt;0,TRIM('DATOS'!C416&amp;"")&lt;&gt;"Pendiente",TRIM('DATOS'!C416&amp;"")&lt;&gt;"Por confirmar",TRIM('DATOS'!C416&amp;"")&lt;&gt;"No consta",TRIM('DATOS'!C416&amp;"")&lt;&gt;"Desconocido",TRIM('DATOS'!C416&amp;"")&lt;&gt;"Sin confirmar",TRIM('DATOS'!C416&amp;"")&lt;&gt;"Por decidir",TRIM('DATOS'!C416&amp;"")&lt;&gt;"Por comprobar")),NOT(AND(LEN(TRIM('DATOS'!D416&amp;""))&gt;0,TRIM('DATOS'!D416&amp;"")&lt;&gt;"Pendiente",TRIM('DATOS'!D416&amp;"")&lt;&gt;"Por confirmar",TRIM('DATOS'!D416&amp;"")&lt;&gt;"No consta",TRIM('DATOS'!D416&amp;"")&lt;&gt;"Desconocido",TRIM('DATOS'!D416&amp;"")&lt;&gt;"Sin confirmar",TRIM('DATOS'!D416&amp;"")&lt;&gt;"Por decidir",TRIM('DATOS'!D416&amp;"")&lt;&gt;"Por comprobar")),NOT(AND(LEN(TRIM('DATOS'!E416&amp;""))&gt;0,TRIM('DATOS'!E416&amp;"")&lt;&gt;"Pendiente",TRIM('DATOS'!E416&amp;"")&lt;&gt;"Por confirmar",TRIM('DATOS'!E416&amp;"")&lt;&gt;"No consta",TRIM('DATOS'!E416&amp;"")&lt;&gt;"Desconocido",TRIM('DATOS'!E416&amp;"")&lt;&gt;"Sin confirmar",TRIM('DATOS'!E416&amp;"")&lt;&gt;"Por decidir",TRIM('DATOS'!E416&amp;"")&lt;&gt;"Por comprobar")),NOT(AND(LEN(TRIM('DATOS'!F416&amp;""))&gt;0,TRIM('DATOS'!F416&amp;"")&lt;&gt;"Pendiente",TRIM('DATOS'!F416&amp;"")&lt;&gt;"Por confirmar",TRIM('DATOS'!F416&amp;"")&lt;&gt;"No consta",TRIM('DATOS'!F416&amp;"")&lt;&gt;"Desconocido",TRIM('DATOS'!F416&amp;"")&lt;&gt;"Sin confirmar",TRIM('DATOS'!F416&amp;"")&lt;&gt;"Por decidir",TRIM('DATOS'!F416&amp;"")&lt;&gt;"Por comprobar")),NOT(AND(LEN(TRIM('DATOS'!N416&amp;""))&gt;0,TRIM('DATOS'!N416&amp;"")&lt;&gt;"Pendiente",TRIM('DATOS'!N416&amp;"")&lt;&gt;"Por confirmar",TRIM('DATOS'!N416&amp;"")&lt;&gt;"No consta",TRIM('DATOS'!N416&amp;"")&lt;&gt;"Desconocido",TRIM('DATOS'!N416&amp;"")&lt;&gt;"Sin confirmar",TRIM('DATOS'!N416&amp;"")&lt;&gt;"Por decidir",TRIM('DATOS'!N416&amp;"")&lt;&gt;"Por comprobar")),NOT(Y416=1),W416&lt;&gt;1,X416&gt;1,NOT(OR(LEN(TRIM('DATOS'!K416&amp;""))=0,'DATOS'!K416="Sin valorar",'DATOS'!K416="Sin coste documentado",'DATOS'!K416="Incluido en otra partida",'DATOS'!K416="Por confirmar")),NOT(OR(LEN(TRIM('DATOS'!M416&amp;""))=0,'DATOS'!M416="Sí",'DATOS'!M416="No",'DATOS'!M416="Por confirmar")),NOT(OR(LEN(TRIM('DATOS'!O416&amp;""))=0,'DATOS'!O416="Comparamos",'DATOS'!O416="No existe",'DATOS'!O416="Por confirmar"))),2,IF(AND(OR('DATOS'!G416&lt;0,'DATOS'!H416&lt;0,'DATOS'!J416&lt;0),NOT(AND(LEN(TRIM('DATOS'!L416&amp;""))&gt;0,TRIM('DATOS'!L416&amp;"")&lt;&gt;"Pendiente",TRIM('DATOS'!L416&amp;"")&lt;&gt;"Por confirmar",TRIM('DATOS'!L416&amp;"")&lt;&gt;"No consta",TRIM('DATOS'!L416&amp;"")&lt;&gt;"Desconocido",TRIM('DATOS'!L416&amp;"")&lt;&gt;"Sin confirmar",TRIM('DATOS'!L416&amp;"")&lt;&gt;"Por decidir",TRIM('DATOS'!L416&amp;"")&lt;&gt;"Por comprobar"))),1,0))),2)</f>
      </c>
      <c r="P416" s="29">
        <f>IFERROR(IF(N416=0,"",IF(NOT(Y416=1),1,IF('REFERENCIAS'!$Q$8&lt;&gt;1,2,IF(ABS('DATOS'!J416-ROUND('DATOS'!G416*'DATOS'!H416,'REFERENCIAS'!$K$8))&gt;0.00000001,2,IF('DATOS'!O416="No existe",IF(LEN(TRIM('DATOS'!I416&amp;""))=0,0,2),IF('DATOS'!O416="Comparamos",IF(LEN(TRIM('DATOS'!I416&amp;""))=0,1,IF(ISNUMBER('DATOS'!I416),IF(ABS('DATOS'!H416-'DATOS'!I416)&gt;0.00000001,2,0),2)),1)))))),2)</f>
      </c>
      <c r="Q416" s="29">
        <f>IFERROR(IF(N416=0,"",IF(NOT(Y416=1),1,IF('DATOS'!K416="Sin valorar",2,IF('DATOS'!G416=0,1,IF(OR('DATOS'!H416=0,'DATOS'!J416=0),IF(AND(OR('DATOS'!K416="Sin coste documentado",'DATOS'!K416="Incluido en otra partida"),AND(LEN(TRIM('DATOS'!L416&amp;""))&gt;0,TRIM('DATOS'!L416&amp;"")&lt;&gt;"Pendiente",TRIM('DATOS'!L416&amp;"")&lt;&gt;"Por confirmar",TRIM('DATOS'!L416&amp;"")&lt;&gt;"No consta",TRIM('DATOS'!L416&amp;"")&lt;&gt;"Desconocido",TRIM('DATOS'!L416&amp;"")&lt;&gt;"Sin confirmar",TRIM('DATOS'!L416&amp;"")&lt;&gt;"Por decidir",TRIM('DATOS'!L416&amp;"")&lt;&gt;"Por comprobar")),0,1),0))))),2)</f>
      </c>
      <c r="R416" s="29">
        <f>IFERROR(IF(N416=0,"",IF(OR(NOT(AND(LEN(TRIM('DATOS'!D416&amp;""))&gt;0,TRIM('DATOS'!D416&amp;"")&lt;&gt;"Pendiente",TRIM('DATOS'!D416&amp;"")&lt;&gt;"Por confirmar",TRIM('DATOS'!D416&amp;"")&lt;&gt;"No consta",TRIM('DATOS'!D416&amp;"")&lt;&gt;"Desconocido",TRIM('DATOS'!D416&amp;"")&lt;&gt;"Sin confirmar",TRIM('DATOS'!D416&amp;"")&lt;&gt;"Por decidir",TRIM('DATOS'!D416&amp;"")&lt;&gt;"Por comprobar")),NOT(AND(LEN(TRIM('DATOS'!E416&amp;""))&gt;0,TRIM('DATOS'!E416&amp;"")&lt;&gt;"Pendiente",TRIM('DATOS'!E416&amp;"")&lt;&gt;"Por confirmar",TRIM('DATOS'!E416&amp;"")&lt;&gt;"No consta",TRIM('DATOS'!E416&amp;"")&lt;&gt;"Desconocido",TRIM('DATOS'!E416&amp;"")&lt;&gt;"Sin confirmar",TRIM('DATOS'!E416&amp;"")&lt;&gt;"Por decidir",TRIM('DATOS'!E416&amp;"")&lt;&gt;"Por comprobar"))),2,IF('DATOS'!M416="No",2,IF('DATOS'!M416="Sí",0,IF(OR('DATOS'!D416&lt;&gt;'DATOS'!E416,LEN('DATOS'!E416)&gt;300,RIGHT(TRIM('DATOS'!E416),3)="...",RIGHT(TRIM('DATOS'!E416),1)="…"),1,0))))),2)</f>
      </c>
      <c r="S416" s="29">
        <f>IFERROR(IF(N416=0,"",IF('REFERENCIAS'!$Q$8&lt;&gt;1,2,IF(NOT(Y416=1),1,IF(OR(ABS('DATOS'!G416-ROUND('DATOS'!G416,'REFERENCIAS'!$E$8))&gt;0.00000001,ABS('DATOS'!H416-ROUND('DATOS'!H416,'REFERENCIAS'!$H$8))&gt;0.00000001,ABS('DATOS'!J416-ROUND('DATOS'!J416,'REFERENCIAS'!$K$8))&gt;0.00000001,IF(ISNUMBER('DATOS'!I416),ABS('DATOS'!I416-ROUND('DATOS'!I416,'REFERENCIAS'!$H$8))&gt;0.00000001,FALSE)),1,0)))),2)</f>
      </c>
      <c r="T416" s="29">
        <f>IFERROR(IF(N416=0,"",IF(NOT(AND(LEN(TRIM('DATOS'!F416&amp;""))&gt;0,TRIM('DATOS'!F416&amp;"")&lt;&gt;"Pendiente",TRIM('DATOS'!F416&amp;"")&lt;&gt;"Por confirmar",TRIM('DATOS'!F416&amp;"")&lt;&gt;"No consta",TRIM('DATOS'!F416&amp;"")&lt;&gt;"Desconocido",TRIM('DATOS'!F416&amp;"")&lt;&gt;"Sin confirmar",TRIM('DATOS'!F416&amp;"")&lt;&gt;"Por decidir",TRIM('DATOS'!F416&amp;"")&lt;&gt;"Por comprobar")),2,IF(COUNTIFS('REFERENCIAS'!$T$15:$T$34,"ID:"&amp;SUBSTITUTE(SUBSTITUTE(SUBSTITUTE(SUBSTITUTE(UPPER(TRIM('DATOS'!F416&amp;"")),"!","!E"),"*","!A"),"?","!B"),"~","!C"),'REFERENCIAS'!$H$15:$H$34,"&lt;&gt;")&gt;0,0,1))),2)</f>
      </c>
      <c r="U416" s="29" t="str">
        <f>'DATOS'!R416</f>
        <v>ID:</v>
      </c>
      <c r="V416" s="29" t="str">
        <f>'DATOS'!S416</f>
        <v>ID:</v>
      </c>
      <c r="W416" s="29" t="n">
        <f>IF(N416=0,0,COUNTIFS('REFERENCIAS'!$R$15:$R$64,U416))</f>
        <v>0</v>
      </c>
      <c r="X416" s="29" t="n">
        <f>IF(N416=0,0,COUNTIFS('DATOS'!$R$10:$R$509,U416,'DATOS'!$S$10:$S$509,V416))</f>
        <v>0</v>
      </c>
      <c r="Y416" s="29" t="n">
        <f>IF(AND(ISNUMBER('DATOS'!G416),ISNUMBER('DATOS'!H416),ISNUMBER('DATOS'!J416)),1,0)</f>
        <v>0</v>
      </c>
    </row>
    <row r="417" ht="64" customHeight="1">
      <c r="B417" s="26">
        <f>IF(N417=1,408,"")</f>
      </c>
      <c r="C417" s="26">
        <f>IF(AND(N417=1,LEN(TRIM('DATOS'!B417&amp;""))&gt;0),'DATOS'!B417,"")</f>
      </c>
      <c r="D417" s="26">
        <f>IF(AND(N417=1,LEN(TRIM('DATOS'!C417&amp;""))&gt;0),'DATOS'!C417,"")</f>
      </c>
      <c r="E417" s="26">
        <f>IF(NOT(ISNUMBER(P417)),"",IF(P417=2,"ROJO",IF(P417=1,"ÁMBAR","VERDE")))</f>
      </c>
      <c r="F417" s="26">
        <f>IF(NOT(ISNUMBER(Q417)),"",IF(Q417=2,"ROJO",IF(Q417=1,"ÁMBAR","VERDE")))</f>
      </c>
      <c r="G417" s="26">
        <f>IF(NOT(ISNUMBER(R417)),"",IF(R417=2,"ROJO",IF(R417=1,"ÁMBAR","VERDE")))</f>
      </c>
      <c r="H417" s="26">
        <f>IF(NOT(ISNUMBER(S417)),"",IF(S417=2,"ROJO",IF(S417=1,"ÁMBAR","VERDE")))</f>
      </c>
      <c r="I417" s="26">
        <f>IF(NOT(ISNUMBER(T417)),"",IF(T417=2,"ROJO",IF(T417=1,"ÁMBAR","VERDE")))</f>
      </c>
      <c r="J417" s="26">
        <f>IF(NOT(ISNUMBER(O417)),"",IF(O417=2,"ROJO",IF(O417=1,"ÁMBAR","VERDE")))</f>
      </c>
      <c r="K417" s="26">
        <f>IFERROR(IF(AND(N417=1,LEN(TRIM('DATOS'!N417&amp;""))&gt;0),'DATOS'!N417,""),"Hay una entrada con error. Corregimos el dato antes de cerrar la comprobación.")</f>
      </c>
      <c r="L417" s="26">
        <f>IFERROR(IF(N417=0,"",IF(O417&gt;0,"Completamos datos, claves o motivo. ","")&amp;IF(P417&gt;0,"Cotejamos precios e importe. ","")&amp;IF(Q417&gt;0,"Aclaramos el cero. ","")&amp;IF(R417&gt;0,"Comprobamos el texto. ","")&amp;IF(S417&gt;0,"Revisamos decimales visibles. ","")&amp;IF(T417&gt;0,"Confirmamos la unidad.","")),"Hay una entrada con error. Corregimos el dato antes de cerrar la comprobación.")</f>
      </c>
      <c r="N417" s="29" t="n">
        <f>IF(COUNTA('DATOS'!B417:O417)&gt;0,1,0)</f>
        <v>0</v>
      </c>
      <c r="O417" s="29">
        <f>IFERROR(IF(N417=0,"",IF(OR(NOT(AND(LEN(TRIM('DATOS'!B417&amp;""))&gt;0,TRIM('DATOS'!B417&amp;"")&lt;&gt;"Pendiente",TRIM('DATOS'!B417&amp;"")&lt;&gt;"Por confirmar",TRIM('DATOS'!B417&amp;"")&lt;&gt;"No consta",TRIM('DATOS'!B417&amp;"")&lt;&gt;"Desconocido",TRIM('DATOS'!B417&amp;"")&lt;&gt;"Sin confirmar",TRIM('DATOS'!B417&amp;"")&lt;&gt;"Por decidir",TRIM('DATOS'!B417&amp;"")&lt;&gt;"Por comprobar")),NOT(AND(LEN(TRIM('DATOS'!C417&amp;""))&gt;0,TRIM('DATOS'!C417&amp;"")&lt;&gt;"Pendiente",TRIM('DATOS'!C417&amp;"")&lt;&gt;"Por confirmar",TRIM('DATOS'!C417&amp;"")&lt;&gt;"No consta",TRIM('DATOS'!C417&amp;"")&lt;&gt;"Desconocido",TRIM('DATOS'!C417&amp;"")&lt;&gt;"Sin confirmar",TRIM('DATOS'!C417&amp;"")&lt;&gt;"Por decidir",TRIM('DATOS'!C417&amp;"")&lt;&gt;"Por comprobar")),NOT(AND(LEN(TRIM('DATOS'!D417&amp;""))&gt;0,TRIM('DATOS'!D417&amp;"")&lt;&gt;"Pendiente",TRIM('DATOS'!D417&amp;"")&lt;&gt;"Por confirmar",TRIM('DATOS'!D417&amp;"")&lt;&gt;"No consta",TRIM('DATOS'!D417&amp;"")&lt;&gt;"Desconocido",TRIM('DATOS'!D417&amp;"")&lt;&gt;"Sin confirmar",TRIM('DATOS'!D417&amp;"")&lt;&gt;"Por decidir",TRIM('DATOS'!D417&amp;"")&lt;&gt;"Por comprobar")),NOT(AND(LEN(TRIM('DATOS'!E417&amp;""))&gt;0,TRIM('DATOS'!E417&amp;"")&lt;&gt;"Pendiente",TRIM('DATOS'!E417&amp;"")&lt;&gt;"Por confirmar",TRIM('DATOS'!E417&amp;"")&lt;&gt;"No consta",TRIM('DATOS'!E417&amp;"")&lt;&gt;"Desconocido",TRIM('DATOS'!E417&amp;"")&lt;&gt;"Sin confirmar",TRIM('DATOS'!E417&amp;"")&lt;&gt;"Por decidir",TRIM('DATOS'!E417&amp;"")&lt;&gt;"Por comprobar")),NOT(AND(LEN(TRIM('DATOS'!F417&amp;""))&gt;0,TRIM('DATOS'!F417&amp;"")&lt;&gt;"Pendiente",TRIM('DATOS'!F417&amp;"")&lt;&gt;"Por confirmar",TRIM('DATOS'!F417&amp;"")&lt;&gt;"No consta",TRIM('DATOS'!F417&amp;"")&lt;&gt;"Desconocido",TRIM('DATOS'!F417&amp;"")&lt;&gt;"Sin confirmar",TRIM('DATOS'!F417&amp;"")&lt;&gt;"Por decidir",TRIM('DATOS'!F417&amp;"")&lt;&gt;"Por comprobar")),NOT(AND(LEN(TRIM('DATOS'!N417&amp;""))&gt;0,TRIM('DATOS'!N417&amp;"")&lt;&gt;"Pendiente",TRIM('DATOS'!N417&amp;"")&lt;&gt;"Por confirmar",TRIM('DATOS'!N417&amp;"")&lt;&gt;"No consta",TRIM('DATOS'!N417&amp;"")&lt;&gt;"Desconocido",TRIM('DATOS'!N417&amp;"")&lt;&gt;"Sin confirmar",TRIM('DATOS'!N417&amp;"")&lt;&gt;"Por decidir",TRIM('DATOS'!N417&amp;"")&lt;&gt;"Por comprobar")),NOT(Y417=1),W417&lt;&gt;1,X417&gt;1,NOT(OR(LEN(TRIM('DATOS'!K417&amp;""))=0,'DATOS'!K417="Sin valorar",'DATOS'!K417="Sin coste documentado",'DATOS'!K417="Incluido en otra partida",'DATOS'!K417="Por confirmar")),NOT(OR(LEN(TRIM('DATOS'!M417&amp;""))=0,'DATOS'!M417="Sí",'DATOS'!M417="No",'DATOS'!M417="Por confirmar")),NOT(OR(LEN(TRIM('DATOS'!O417&amp;""))=0,'DATOS'!O417="Comparamos",'DATOS'!O417="No existe",'DATOS'!O417="Por confirmar"))),2,IF(AND(OR('DATOS'!G417&lt;0,'DATOS'!H417&lt;0,'DATOS'!J417&lt;0),NOT(AND(LEN(TRIM('DATOS'!L417&amp;""))&gt;0,TRIM('DATOS'!L417&amp;"")&lt;&gt;"Pendiente",TRIM('DATOS'!L417&amp;"")&lt;&gt;"Por confirmar",TRIM('DATOS'!L417&amp;"")&lt;&gt;"No consta",TRIM('DATOS'!L417&amp;"")&lt;&gt;"Desconocido",TRIM('DATOS'!L417&amp;"")&lt;&gt;"Sin confirmar",TRIM('DATOS'!L417&amp;"")&lt;&gt;"Por decidir",TRIM('DATOS'!L417&amp;"")&lt;&gt;"Por comprobar"))),1,0))),2)</f>
      </c>
      <c r="P417" s="29">
        <f>IFERROR(IF(N417=0,"",IF(NOT(Y417=1),1,IF('REFERENCIAS'!$Q$8&lt;&gt;1,2,IF(ABS('DATOS'!J417-ROUND('DATOS'!G417*'DATOS'!H417,'REFERENCIAS'!$K$8))&gt;0.00000001,2,IF('DATOS'!O417="No existe",IF(LEN(TRIM('DATOS'!I417&amp;""))=0,0,2),IF('DATOS'!O417="Comparamos",IF(LEN(TRIM('DATOS'!I417&amp;""))=0,1,IF(ISNUMBER('DATOS'!I417),IF(ABS('DATOS'!H417-'DATOS'!I417)&gt;0.00000001,2,0),2)),1)))))),2)</f>
      </c>
      <c r="Q417" s="29">
        <f>IFERROR(IF(N417=0,"",IF(NOT(Y417=1),1,IF('DATOS'!K417="Sin valorar",2,IF('DATOS'!G417=0,1,IF(OR('DATOS'!H417=0,'DATOS'!J417=0),IF(AND(OR('DATOS'!K417="Sin coste documentado",'DATOS'!K417="Incluido en otra partida"),AND(LEN(TRIM('DATOS'!L417&amp;""))&gt;0,TRIM('DATOS'!L417&amp;"")&lt;&gt;"Pendiente",TRIM('DATOS'!L417&amp;"")&lt;&gt;"Por confirmar",TRIM('DATOS'!L417&amp;"")&lt;&gt;"No consta",TRIM('DATOS'!L417&amp;"")&lt;&gt;"Desconocido",TRIM('DATOS'!L417&amp;"")&lt;&gt;"Sin confirmar",TRIM('DATOS'!L417&amp;"")&lt;&gt;"Por decidir",TRIM('DATOS'!L417&amp;"")&lt;&gt;"Por comprobar")),0,1),0))))),2)</f>
      </c>
      <c r="R417" s="29">
        <f>IFERROR(IF(N417=0,"",IF(OR(NOT(AND(LEN(TRIM('DATOS'!D417&amp;""))&gt;0,TRIM('DATOS'!D417&amp;"")&lt;&gt;"Pendiente",TRIM('DATOS'!D417&amp;"")&lt;&gt;"Por confirmar",TRIM('DATOS'!D417&amp;"")&lt;&gt;"No consta",TRIM('DATOS'!D417&amp;"")&lt;&gt;"Desconocido",TRIM('DATOS'!D417&amp;"")&lt;&gt;"Sin confirmar",TRIM('DATOS'!D417&amp;"")&lt;&gt;"Por decidir",TRIM('DATOS'!D417&amp;"")&lt;&gt;"Por comprobar")),NOT(AND(LEN(TRIM('DATOS'!E417&amp;""))&gt;0,TRIM('DATOS'!E417&amp;"")&lt;&gt;"Pendiente",TRIM('DATOS'!E417&amp;"")&lt;&gt;"Por confirmar",TRIM('DATOS'!E417&amp;"")&lt;&gt;"No consta",TRIM('DATOS'!E417&amp;"")&lt;&gt;"Desconocido",TRIM('DATOS'!E417&amp;"")&lt;&gt;"Sin confirmar",TRIM('DATOS'!E417&amp;"")&lt;&gt;"Por decidir",TRIM('DATOS'!E417&amp;"")&lt;&gt;"Por comprobar"))),2,IF('DATOS'!M417="No",2,IF('DATOS'!M417="Sí",0,IF(OR('DATOS'!D417&lt;&gt;'DATOS'!E417,LEN('DATOS'!E417)&gt;300,RIGHT(TRIM('DATOS'!E417),3)="...",RIGHT(TRIM('DATOS'!E417),1)="…"),1,0))))),2)</f>
      </c>
      <c r="S417" s="29">
        <f>IFERROR(IF(N417=0,"",IF('REFERENCIAS'!$Q$8&lt;&gt;1,2,IF(NOT(Y417=1),1,IF(OR(ABS('DATOS'!G417-ROUND('DATOS'!G417,'REFERENCIAS'!$E$8))&gt;0.00000001,ABS('DATOS'!H417-ROUND('DATOS'!H417,'REFERENCIAS'!$H$8))&gt;0.00000001,ABS('DATOS'!J417-ROUND('DATOS'!J417,'REFERENCIAS'!$K$8))&gt;0.00000001,IF(ISNUMBER('DATOS'!I417),ABS('DATOS'!I417-ROUND('DATOS'!I417,'REFERENCIAS'!$H$8))&gt;0.00000001,FALSE)),1,0)))),2)</f>
      </c>
      <c r="T417" s="29">
        <f>IFERROR(IF(N417=0,"",IF(NOT(AND(LEN(TRIM('DATOS'!F417&amp;""))&gt;0,TRIM('DATOS'!F417&amp;"")&lt;&gt;"Pendiente",TRIM('DATOS'!F417&amp;"")&lt;&gt;"Por confirmar",TRIM('DATOS'!F417&amp;"")&lt;&gt;"No consta",TRIM('DATOS'!F417&amp;"")&lt;&gt;"Desconocido",TRIM('DATOS'!F417&amp;"")&lt;&gt;"Sin confirmar",TRIM('DATOS'!F417&amp;"")&lt;&gt;"Por decidir",TRIM('DATOS'!F417&amp;"")&lt;&gt;"Por comprobar")),2,IF(COUNTIFS('REFERENCIAS'!$T$15:$T$34,"ID:"&amp;SUBSTITUTE(SUBSTITUTE(SUBSTITUTE(SUBSTITUTE(UPPER(TRIM('DATOS'!F417&amp;"")),"!","!E"),"*","!A"),"?","!B"),"~","!C"),'REFERENCIAS'!$H$15:$H$34,"&lt;&gt;")&gt;0,0,1))),2)</f>
      </c>
      <c r="U417" s="29" t="str">
        <f>'DATOS'!R417</f>
        <v>ID:</v>
      </c>
      <c r="V417" s="29" t="str">
        <f>'DATOS'!S417</f>
        <v>ID:</v>
      </c>
      <c r="W417" s="29" t="n">
        <f>IF(N417=0,0,COUNTIFS('REFERENCIAS'!$R$15:$R$64,U417))</f>
        <v>0</v>
      </c>
      <c r="X417" s="29" t="n">
        <f>IF(N417=0,0,COUNTIFS('DATOS'!$R$10:$R$509,U417,'DATOS'!$S$10:$S$509,V417))</f>
        <v>0</v>
      </c>
      <c r="Y417" s="29" t="n">
        <f>IF(AND(ISNUMBER('DATOS'!G417),ISNUMBER('DATOS'!H417),ISNUMBER('DATOS'!J417)),1,0)</f>
        <v>0</v>
      </c>
    </row>
    <row r="418" ht="64" customHeight="1">
      <c r="B418" s="26">
        <f>IF(N418=1,409,"")</f>
      </c>
      <c r="C418" s="26">
        <f>IF(AND(N418=1,LEN(TRIM('DATOS'!B418&amp;""))&gt;0),'DATOS'!B418,"")</f>
      </c>
      <c r="D418" s="26">
        <f>IF(AND(N418=1,LEN(TRIM('DATOS'!C418&amp;""))&gt;0),'DATOS'!C418,"")</f>
      </c>
      <c r="E418" s="26">
        <f>IF(NOT(ISNUMBER(P418)),"",IF(P418=2,"ROJO",IF(P418=1,"ÁMBAR","VERDE")))</f>
      </c>
      <c r="F418" s="26">
        <f>IF(NOT(ISNUMBER(Q418)),"",IF(Q418=2,"ROJO",IF(Q418=1,"ÁMBAR","VERDE")))</f>
      </c>
      <c r="G418" s="26">
        <f>IF(NOT(ISNUMBER(R418)),"",IF(R418=2,"ROJO",IF(R418=1,"ÁMBAR","VERDE")))</f>
      </c>
      <c r="H418" s="26">
        <f>IF(NOT(ISNUMBER(S418)),"",IF(S418=2,"ROJO",IF(S418=1,"ÁMBAR","VERDE")))</f>
      </c>
      <c r="I418" s="26">
        <f>IF(NOT(ISNUMBER(T418)),"",IF(T418=2,"ROJO",IF(T418=1,"ÁMBAR","VERDE")))</f>
      </c>
      <c r="J418" s="26">
        <f>IF(NOT(ISNUMBER(O418)),"",IF(O418=2,"ROJO",IF(O418=1,"ÁMBAR","VERDE")))</f>
      </c>
      <c r="K418" s="26">
        <f>IFERROR(IF(AND(N418=1,LEN(TRIM('DATOS'!N418&amp;""))&gt;0),'DATOS'!N418,""),"Hay una entrada con error. Corregimos el dato antes de cerrar la comprobación.")</f>
      </c>
      <c r="L418" s="26">
        <f>IFERROR(IF(N418=0,"",IF(O418&gt;0,"Completamos datos, claves o motivo. ","")&amp;IF(P418&gt;0,"Cotejamos precios e importe. ","")&amp;IF(Q418&gt;0,"Aclaramos el cero. ","")&amp;IF(R418&gt;0,"Comprobamos el texto. ","")&amp;IF(S418&gt;0,"Revisamos decimales visibles. ","")&amp;IF(T418&gt;0,"Confirmamos la unidad.","")),"Hay una entrada con error. Corregimos el dato antes de cerrar la comprobación.")</f>
      </c>
      <c r="N418" s="29" t="n">
        <f>IF(COUNTA('DATOS'!B418:O418)&gt;0,1,0)</f>
        <v>0</v>
      </c>
      <c r="O418" s="29">
        <f>IFERROR(IF(N418=0,"",IF(OR(NOT(AND(LEN(TRIM('DATOS'!B418&amp;""))&gt;0,TRIM('DATOS'!B418&amp;"")&lt;&gt;"Pendiente",TRIM('DATOS'!B418&amp;"")&lt;&gt;"Por confirmar",TRIM('DATOS'!B418&amp;"")&lt;&gt;"No consta",TRIM('DATOS'!B418&amp;"")&lt;&gt;"Desconocido",TRIM('DATOS'!B418&amp;"")&lt;&gt;"Sin confirmar",TRIM('DATOS'!B418&amp;"")&lt;&gt;"Por decidir",TRIM('DATOS'!B418&amp;"")&lt;&gt;"Por comprobar")),NOT(AND(LEN(TRIM('DATOS'!C418&amp;""))&gt;0,TRIM('DATOS'!C418&amp;"")&lt;&gt;"Pendiente",TRIM('DATOS'!C418&amp;"")&lt;&gt;"Por confirmar",TRIM('DATOS'!C418&amp;"")&lt;&gt;"No consta",TRIM('DATOS'!C418&amp;"")&lt;&gt;"Desconocido",TRIM('DATOS'!C418&amp;"")&lt;&gt;"Sin confirmar",TRIM('DATOS'!C418&amp;"")&lt;&gt;"Por decidir",TRIM('DATOS'!C418&amp;"")&lt;&gt;"Por comprobar")),NOT(AND(LEN(TRIM('DATOS'!D418&amp;""))&gt;0,TRIM('DATOS'!D418&amp;"")&lt;&gt;"Pendiente",TRIM('DATOS'!D418&amp;"")&lt;&gt;"Por confirmar",TRIM('DATOS'!D418&amp;"")&lt;&gt;"No consta",TRIM('DATOS'!D418&amp;"")&lt;&gt;"Desconocido",TRIM('DATOS'!D418&amp;"")&lt;&gt;"Sin confirmar",TRIM('DATOS'!D418&amp;"")&lt;&gt;"Por decidir",TRIM('DATOS'!D418&amp;"")&lt;&gt;"Por comprobar")),NOT(AND(LEN(TRIM('DATOS'!E418&amp;""))&gt;0,TRIM('DATOS'!E418&amp;"")&lt;&gt;"Pendiente",TRIM('DATOS'!E418&amp;"")&lt;&gt;"Por confirmar",TRIM('DATOS'!E418&amp;"")&lt;&gt;"No consta",TRIM('DATOS'!E418&amp;"")&lt;&gt;"Desconocido",TRIM('DATOS'!E418&amp;"")&lt;&gt;"Sin confirmar",TRIM('DATOS'!E418&amp;"")&lt;&gt;"Por decidir",TRIM('DATOS'!E418&amp;"")&lt;&gt;"Por comprobar")),NOT(AND(LEN(TRIM('DATOS'!F418&amp;""))&gt;0,TRIM('DATOS'!F418&amp;"")&lt;&gt;"Pendiente",TRIM('DATOS'!F418&amp;"")&lt;&gt;"Por confirmar",TRIM('DATOS'!F418&amp;"")&lt;&gt;"No consta",TRIM('DATOS'!F418&amp;"")&lt;&gt;"Desconocido",TRIM('DATOS'!F418&amp;"")&lt;&gt;"Sin confirmar",TRIM('DATOS'!F418&amp;"")&lt;&gt;"Por decidir",TRIM('DATOS'!F418&amp;"")&lt;&gt;"Por comprobar")),NOT(AND(LEN(TRIM('DATOS'!N418&amp;""))&gt;0,TRIM('DATOS'!N418&amp;"")&lt;&gt;"Pendiente",TRIM('DATOS'!N418&amp;"")&lt;&gt;"Por confirmar",TRIM('DATOS'!N418&amp;"")&lt;&gt;"No consta",TRIM('DATOS'!N418&amp;"")&lt;&gt;"Desconocido",TRIM('DATOS'!N418&amp;"")&lt;&gt;"Sin confirmar",TRIM('DATOS'!N418&amp;"")&lt;&gt;"Por decidir",TRIM('DATOS'!N418&amp;"")&lt;&gt;"Por comprobar")),NOT(Y418=1),W418&lt;&gt;1,X418&gt;1,NOT(OR(LEN(TRIM('DATOS'!K418&amp;""))=0,'DATOS'!K418="Sin valorar",'DATOS'!K418="Sin coste documentado",'DATOS'!K418="Incluido en otra partida",'DATOS'!K418="Por confirmar")),NOT(OR(LEN(TRIM('DATOS'!M418&amp;""))=0,'DATOS'!M418="Sí",'DATOS'!M418="No",'DATOS'!M418="Por confirmar")),NOT(OR(LEN(TRIM('DATOS'!O418&amp;""))=0,'DATOS'!O418="Comparamos",'DATOS'!O418="No existe",'DATOS'!O418="Por confirmar"))),2,IF(AND(OR('DATOS'!G418&lt;0,'DATOS'!H418&lt;0,'DATOS'!J418&lt;0),NOT(AND(LEN(TRIM('DATOS'!L418&amp;""))&gt;0,TRIM('DATOS'!L418&amp;"")&lt;&gt;"Pendiente",TRIM('DATOS'!L418&amp;"")&lt;&gt;"Por confirmar",TRIM('DATOS'!L418&amp;"")&lt;&gt;"No consta",TRIM('DATOS'!L418&amp;"")&lt;&gt;"Desconocido",TRIM('DATOS'!L418&amp;"")&lt;&gt;"Sin confirmar",TRIM('DATOS'!L418&amp;"")&lt;&gt;"Por decidir",TRIM('DATOS'!L418&amp;"")&lt;&gt;"Por comprobar"))),1,0))),2)</f>
      </c>
      <c r="P418" s="29">
        <f>IFERROR(IF(N418=0,"",IF(NOT(Y418=1),1,IF('REFERENCIAS'!$Q$8&lt;&gt;1,2,IF(ABS('DATOS'!J418-ROUND('DATOS'!G418*'DATOS'!H418,'REFERENCIAS'!$K$8))&gt;0.00000001,2,IF('DATOS'!O418="No existe",IF(LEN(TRIM('DATOS'!I418&amp;""))=0,0,2),IF('DATOS'!O418="Comparamos",IF(LEN(TRIM('DATOS'!I418&amp;""))=0,1,IF(ISNUMBER('DATOS'!I418),IF(ABS('DATOS'!H418-'DATOS'!I418)&gt;0.00000001,2,0),2)),1)))))),2)</f>
      </c>
      <c r="Q418" s="29">
        <f>IFERROR(IF(N418=0,"",IF(NOT(Y418=1),1,IF('DATOS'!K418="Sin valorar",2,IF('DATOS'!G418=0,1,IF(OR('DATOS'!H418=0,'DATOS'!J418=0),IF(AND(OR('DATOS'!K418="Sin coste documentado",'DATOS'!K418="Incluido en otra partida"),AND(LEN(TRIM('DATOS'!L418&amp;""))&gt;0,TRIM('DATOS'!L418&amp;"")&lt;&gt;"Pendiente",TRIM('DATOS'!L418&amp;"")&lt;&gt;"Por confirmar",TRIM('DATOS'!L418&amp;"")&lt;&gt;"No consta",TRIM('DATOS'!L418&amp;"")&lt;&gt;"Desconocido",TRIM('DATOS'!L418&amp;"")&lt;&gt;"Sin confirmar",TRIM('DATOS'!L418&amp;"")&lt;&gt;"Por decidir",TRIM('DATOS'!L418&amp;"")&lt;&gt;"Por comprobar")),0,1),0))))),2)</f>
      </c>
      <c r="R418" s="29">
        <f>IFERROR(IF(N418=0,"",IF(OR(NOT(AND(LEN(TRIM('DATOS'!D418&amp;""))&gt;0,TRIM('DATOS'!D418&amp;"")&lt;&gt;"Pendiente",TRIM('DATOS'!D418&amp;"")&lt;&gt;"Por confirmar",TRIM('DATOS'!D418&amp;"")&lt;&gt;"No consta",TRIM('DATOS'!D418&amp;"")&lt;&gt;"Desconocido",TRIM('DATOS'!D418&amp;"")&lt;&gt;"Sin confirmar",TRIM('DATOS'!D418&amp;"")&lt;&gt;"Por decidir",TRIM('DATOS'!D418&amp;"")&lt;&gt;"Por comprobar")),NOT(AND(LEN(TRIM('DATOS'!E418&amp;""))&gt;0,TRIM('DATOS'!E418&amp;"")&lt;&gt;"Pendiente",TRIM('DATOS'!E418&amp;"")&lt;&gt;"Por confirmar",TRIM('DATOS'!E418&amp;"")&lt;&gt;"No consta",TRIM('DATOS'!E418&amp;"")&lt;&gt;"Desconocido",TRIM('DATOS'!E418&amp;"")&lt;&gt;"Sin confirmar",TRIM('DATOS'!E418&amp;"")&lt;&gt;"Por decidir",TRIM('DATOS'!E418&amp;"")&lt;&gt;"Por comprobar"))),2,IF('DATOS'!M418="No",2,IF('DATOS'!M418="Sí",0,IF(OR('DATOS'!D418&lt;&gt;'DATOS'!E418,LEN('DATOS'!E418)&gt;300,RIGHT(TRIM('DATOS'!E418),3)="...",RIGHT(TRIM('DATOS'!E418),1)="…"),1,0))))),2)</f>
      </c>
      <c r="S418" s="29">
        <f>IFERROR(IF(N418=0,"",IF('REFERENCIAS'!$Q$8&lt;&gt;1,2,IF(NOT(Y418=1),1,IF(OR(ABS('DATOS'!G418-ROUND('DATOS'!G418,'REFERENCIAS'!$E$8))&gt;0.00000001,ABS('DATOS'!H418-ROUND('DATOS'!H418,'REFERENCIAS'!$H$8))&gt;0.00000001,ABS('DATOS'!J418-ROUND('DATOS'!J418,'REFERENCIAS'!$K$8))&gt;0.00000001,IF(ISNUMBER('DATOS'!I418),ABS('DATOS'!I418-ROUND('DATOS'!I418,'REFERENCIAS'!$H$8))&gt;0.00000001,FALSE)),1,0)))),2)</f>
      </c>
      <c r="T418" s="29">
        <f>IFERROR(IF(N418=0,"",IF(NOT(AND(LEN(TRIM('DATOS'!F418&amp;""))&gt;0,TRIM('DATOS'!F418&amp;"")&lt;&gt;"Pendiente",TRIM('DATOS'!F418&amp;"")&lt;&gt;"Por confirmar",TRIM('DATOS'!F418&amp;"")&lt;&gt;"No consta",TRIM('DATOS'!F418&amp;"")&lt;&gt;"Desconocido",TRIM('DATOS'!F418&amp;"")&lt;&gt;"Sin confirmar",TRIM('DATOS'!F418&amp;"")&lt;&gt;"Por decidir",TRIM('DATOS'!F418&amp;"")&lt;&gt;"Por comprobar")),2,IF(COUNTIFS('REFERENCIAS'!$T$15:$T$34,"ID:"&amp;SUBSTITUTE(SUBSTITUTE(SUBSTITUTE(SUBSTITUTE(UPPER(TRIM('DATOS'!F418&amp;"")),"!","!E"),"*","!A"),"?","!B"),"~","!C"),'REFERENCIAS'!$H$15:$H$34,"&lt;&gt;")&gt;0,0,1))),2)</f>
      </c>
      <c r="U418" s="29" t="str">
        <f>'DATOS'!R418</f>
        <v>ID:</v>
      </c>
      <c r="V418" s="29" t="str">
        <f>'DATOS'!S418</f>
        <v>ID:</v>
      </c>
      <c r="W418" s="29" t="n">
        <f>IF(N418=0,0,COUNTIFS('REFERENCIAS'!$R$15:$R$64,U418))</f>
        <v>0</v>
      </c>
      <c r="X418" s="29" t="n">
        <f>IF(N418=0,0,COUNTIFS('DATOS'!$R$10:$R$509,U418,'DATOS'!$S$10:$S$509,V418))</f>
        <v>0</v>
      </c>
      <c r="Y418" s="29" t="n">
        <f>IF(AND(ISNUMBER('DATOS'!G418),ISNUMBER('DATOS'!H418),ISNUMBER('DATOS'!J418)),1,0)</f>
        <v>0</v>
      </c>
    </row>
    <row r="419" ht="64" customHeight="1">
      <c r="B419" s="26">
        <f>IF(N419=1,410,"")</f>
      </c>
      <c r="C419" s="26">
        <f>IF(AND(N419=1,LEN(TRIM('DATOS'!B419&amp;""))&gt;0),'DATOS'!B419,"")</f>
      </c>
      <c r="D419" s="26">
        <f>IF(AND(N419=1,LEN(TRIM('DATOS'!C419&amp;""))&gt;0),'DATOS'!C419,"")</f>
      </c>
      <c r="E419" s="26">
        <f>IF(NOT(ISNUMBER(P419)),"",IF(P419=2,"ROJO",IF(P419=1,"ÁMBAR","VERDE")))</f>
      </c>
      <c r="F419" s="26">
        <f>IF(NOT(ISNUMBER(Q419)),"",IF(Q419=2,"ROJO",IF(Q419=1,"ÁMBAR","VERDE")))</f>
      </c>
      <c r="G419" s="26">
        <f>IF(NOT(ISNUMBER(R419)),"",IF(R419=2,"ROJO",IF(R419=1,"ÁMBAR","VERDE")))</f>
      </c>
      <c r="H419" s="26">
        <f>IF(NOT(ISNUMBER(S419)),"",IF(S419=2,"ROJO",IF(S419=1,"ÁMBAR","VERDE")))</f>
      </c>
      <c r="I419" s="26">
        <f>IF(NOT(ISNUMBER(T419)),"",IF(T419=2,"ROJO",IF(T419=1,"ÁMBAR","VERDE")))</f>
      </c>
      <c r="J419" s="26">
        <f>IF(NOT(ISNUMBER(O419)),"",IF(O419=2,"ROJO",IF(O419=1,"ÁMBAR","VERDE")))</f>
      </c>
      <c r="K419" s="26">
        <f>IFERROR(IF(AND(N419=1,LEN(TRIM('DATOS'!N419&amp;""))&gt;0),'DATOS'!N419,""),"Hay una entrada con error. Corregimos el dato antes de cerrar la comprobación.")</f>
      </c>
      <c r="L419" s="26">
        <f>IFERROR(IF(N419=0,"",IF(O419&gt;0,"Completamos datos, claves o motivo. ","")&amp;IF(P419&gt;0,"Cotejamos precios e importe. ","")&amp;IF(Q419&gt;0,"Aclaramos el cero. ","")&amp;IF(R419&gt;0,"Comprobamos el texto. ","")&amp;IF(S419&gt;0,"Revisamos decimales visibles. ","")&amp;IF(T419&gt;0,"Confirmamos la unidad.","")),"Hay una entrada con error. Corregimos el dato antes de cerrar la comprobación.")</f>
      </c>
      <c r="N419" s="29" t="n">
        <f>IF(COUNTA('DATOS'!B419:O419)&gt;0,1,0)</f>
        <v>0</v>
      </c>
      <c r="O419" s="29">
        <f>IFERROR(IF(N419=0,"",IF(OR(NOT(AND(LEN(TRIM('DATOS'!B419&amp;""))&gt;0,TRIM('DATOS'!B419&amp;"")&lt;&gt;"Pendiente",TRIM('DATOS'!B419&amp;"")&lt;&gt;"Por confirmar",TRIM('DATOS'!B419&amp;"")&lt;&gt;"No consta",TRIM('DATOS'!B419&amp;"")&lt;&gt;"Desconocido",TRIM('DATOS'!B419&amp;"")&lt;&gt;"Sin confirmar",TRIM('DATOS'!B419&amp;"")&lt;&gt;"Por decidir",TRIM('DATOS'!B419&amp;"")&lt;&gt;"Por comprobar")),NOT(AND(LEN(TRIM('DATOS'!C419&amp;""))&gt;0,TRIM('DATOS'!C419&amp;"")&lt;&gt;"Pendiente",TRIM('DATOS'!C419&amp;"")&lt;&gt;"Por confirmar",TRIM('DATOS'!C419&amp;"")&lt;&gt;"No consta",TRIM('DATOS'!C419&amp;"")&lt;&gt;"Desconocido",TRIM('DATOS'!C419&amp;"")&lt;&gt;"Sin confirmar",TRIM('DATOS'!C419&amp;"")&lt;&gt;"Por decidir",TRIM('DATOS'!C419&amp;"")&lt;&gt;"Por comprobar")),NOT(AND(LEN(TRIM('DATOS'!D419&amp;""))&gt;0,TRIM('DATOS'!D419&amp;"")&lt;&gt;"Pendiente",TRIM('DATOS'!D419&amp;"")&lt;&gt;"Por confirmar",TRIM('DATOS'!D419&amp;"")&lt;&gt;"No consta",TRIM('DATOS'!D419&amp;"")&lt;&gt;"Desconocido",TRIM('DATOS'!D419&amp;"")&lt;&gt;"Sin confirmar",TRIM('DATOS'!D419&amp;"")&lt;&gt;"Por decidir",TRIM('DATOS'!D419&amp;"")&lt;&gt;"Por comprobar")),NOT(AND(LEN(TRIM('DATOS'!E419&amp;""))&gt;0,TRIM('DATOS'!E419&amp;"")&lt;&gt;"Pendiente",TRIM('DATOS'!E419&amp;"")&lt;&gt;"Por confirmar",TRIM('DATOS'!E419&amp;"")&lt;&gt;"No consta",TRIM('DATOS'!E419&amp;"")&lt;&gt;"Desconocido",TRIM('DATOS'!E419&amp;"")&lt;&gt;"Sin confirmar",TRIM('DATOS'!E419&amp;"")&lt;&gt;"Por decidir",TRIM('DATOS'!E419&amp;"")&lt;&gt;"Por comprobar")),NOT(AND(LEN(TRIM('DATOS'!F419&amp;""))&gt;0,TRIM('DATOS'!F419&amp;"")&lt;&gt;"Pendiente",TRIM('DATOS'!F419&amp;"")&lt;&gt;"Por confirmar",TRIM('DATOS'!F419&amp;"")&lt;&gt;"No consta",TRIM('DATOS'!F419&amp;"")&lt;&gt;"Desconocido",TRIM('DATOS'!F419&amp;"")&lt;&gt;"Sin confirmar",TRIM('DATOS'!F419&amp;"")&lt;&gt;"Por decidir",TRIM('DATOS'!F419&amp;"")&lt;&gt;"Por comprobar")),NOT(AND(LEN(TRIM('DATOS'!N419&amp;""))&gt;0,TRIM('DATOS'!N419&amp;"")&lt;&gt;"Pendiente",TRIM('DATOS'!N419&amp;"")&lt;&gt;"Por confirmar",TRIM('DATOS'!N419&amp;"")&lt;&gt;"No consta",TRIM('DATOS'!N419&amp;"")&lt;&gt;"Desconocido",TRIM('DATOS'!N419&amp;"")&lt;&gt;"Sin confirmar",TRIM('DATOS'!N419&amp;"")&lt;&gt;"Por decidir",TRIM('DATOS'!N419&amp;"")&lt;&gt;"Por comprobar")),NOT(Y419=1),W419&lt;&gt;1,X419&gt;1,NOT(OR(LEN(TRIM('DATOS'!K419&amp;""))=0,'DATOS'!K419="Sin valorar",'DATOS'!K419="Sin coste documentado",'DATOS'!K419="Incluido en otra partida",'DATOS'!K419="Por confirmar")),NOT(OR(LEN(TRIM('DATOS'!M419&amp;""))=0,'DATOS'!M419="Sí",'DATOS'!M419="No",'DATOS'!M419="Por confirmar")),NOT(OR(LEN(TRIM('DATOS'!O419&amp;""))=0,'DATOS'!O419="Comparamos",'DATOS'!O419="No existe",'DATOS'!O419="Por confirmar"))),2,IF(AND(OR('DATOS'!G419&lt;0,'DATOS'!H419&lt;0,'DATOS'!J419&lt;0),NOT(AND(LEN(TRIM('DATOS'!L419&amp;""))&gt;0,TRIM('DATOS'!L419&amp;"")&lt;&gt;"Pendiente",TRIM('DATOS'!L419&amp;"")&lt;&gt;"Por confirmar",TRIM('DATOS'!L419&amp;"")&lt;&gt;"No consta",TRIM('DATOS'!L419&amp;"")&lt;&gt;"Desconocido",TRIM('DATOS'!L419&amp;"")&lt;&gt;"Sin confirmar",TRIM('DATOS'!L419&amp;"")&lt;&gt;"Por decidir",TRIM('DATOS'!L419&amp;"")&lt;&gt;"Por comprobar"))),1,0))),2)</f>
      </c>
      <c r="P419" s="29">
        <f>IFERROR(IF(N419=0,"",IF(NOT(Y419=1),1,IF('REFERENCIAS'!$Q$8&lt;&gt;1,2,IF(ABS('DATOS'!J419-ROUND('DATOS'!G419*'DATOS'!H419,'REFERENCIAS'!$K$8))&gt;0.00000001,2,IF('DATOS'!O419="No existe",IF(LEN(TRIM('DATOS'!I419&amp;""))=0,0,2),IF('DATOS'!O419="Comparamos",IF(LEN(TRIM('DATOS'!I419&amp;""))=0,1,IF(ISNUMBER('DATOS'!I419),IF(ABS('DATOS'!H419-'DATOS'!I419)&gt;0.00000001,2,0),2)),1)))))),2)</f>
      </c>
      <c r="Q419" s="29">
        <f>IFERROR(IF(N419=0,"",IF(NOT(Y419=1),1,IF('DATOS'!K419="Sin valorar",2,IF('DATOS'!G419=0,1,IF(OR('DATOS'!H419=0,'DATOS'!J419=0),IF(AND(OR('DATOS'!K419="Sin coste documentado",'DATOS'!K419="Incluido en otra partida"),AND(LEN(TRIM('DATOS'!L419&amp;""))&gt;0,TRIM('DATOS'!L419&amp;"")&lt;&gt;"Pendiente",TRIM('DATOS'!L419&amp;"")&lt;&gt;"Por confirmar",TRIM('DATOS'!L419&amp;"")&lt;&gt;"No consta",TRIM('DATOS'!L419&amp;"")&lt;&gt;"Desconocido",TRIM('DATOS'!L419&amp;"")&lt;&gt;"Sin confirmar",TRIM('DATOS'!L419&amp;"")&lt;&gt;"Por decidir",TRIM('DATOS'!L419&amp;"")&lt;&gt;"Por comprobar")),0,1),0))))),2)</f>
      </c>
      <c r="R419" s="29">
        <f>IFERROR(IF(N419=0,"",IF(OR(NOT(AND(LEN(TRIM('DATOS'!D419&amp;""))&gt;0,TRIM('DATOS'!D419&amp;"")&lt;&gt;"Pendiente",TRIM('DATOS'!D419&amp;"")&lt;&gt;"Por confirmar",TRIM('DATOS'!D419&amp;"")&lt;&gt;"No consta",TRIM('DATOS'!D419&amp;"")&lt;&gt;"Desconocido",TRIM('DATOS'!D419&amp;"")&lt;&gt;"Sin confirmar",TRIM('DATOS'!D419&amp;"")&lt;&gt;"Por decidir",TRIM('DATOS'!D419&amp;"")&lt;&gt;"Por comprobar")),NOT(AND(LEN(TRIM('DATOS'!E419&amp;""))&gt;0,TRIM('DATOS'!E419&amp;"")&lt;&gt;"Pendiente",TRIM('DATOS'!E419&amp;"")&lt;&gt;"Por confirmar",TRIM('DATOS'!E419&amp;"")&lt;&gt;"No consta",TRIM('DATOS'!E419&amp;"")&lt;&gt;"Desconocido",TRIM('DATOS'!E419&amp;"")&lt;&gt;"Sin confirmar",TRIM('DATOS'!E419&amp;"")&lt;&gt;"Por decidir",TRIM('DATOS'!E419&amp;"")&lt;&gt;"Por comprobar"))),2,IF('DATOS'!M419="No",2,IF('DATOS'!M419="Sí",0,IF(OR('DATOS'!D419&lt;&gt;'DATOS'!E419,LEN('DATOS'!E419)&gt;300,RIGHT(TRIM('DATOS'!E419),3)="...",RIGHT(TRIM('DATOS'!E419),1)="…"),1,0))))),2)</f>
      </c>
      <c r="S419" s="29">
        <f>IFERROR(IF(N419=0,"",IF('REFERENCIAS'!$Q$8&lt;&gt;1,2,IF(NOT(Y419=1),1,IF(OR(ABS('DATOS'!G419-ROUND('DATOS'!G419,'REFERENCIAS'!$E$8))&gt;0.00000001,ABS('DATOS'!H419-ROUND('DATOS'!H419,'REFERENCIAS'!$H$8))&gt;0.00000001,ABS('DATOS'!J419-ROUND('DATOS'!J419,'REFERENCIAS'!$K$8))&gt;0.00000001,IF(ISNUMBER('DATOS'!I419),ABS('DATOS'!I419-ROUND('DATOS'!I419,'REFERENCIAS'!$H$8))&gt;0.00000001,FALSE)),1,0)))),2)</f>
      </c>
      <c r="T419" s="29">
        <f>IFERROR(IF(N419=0,"",IF(NOT(AND(LEN(TRIM('DATOS'!F419&amp;""))&gt;0,TRIM('DATOS'!F419&amp;"")&lt;&gt;"Pendiente",TRIM('DATOS'!F419&amp;"")&lt;&gt;"Por confirmar",TRIM('DATOS'!F419&amp;"")&lt;&gt;"No consta",TRIM('DATOS'!F419&amp;"")&lt;&gt;"Desconocido",TRIM('DATOS'!F419&amp;"")&lt;&gt;"Sin confirmar",TRIM('DATOS'!F419&amp;"")&lt;&gt;"Por decidir",TRIM('DATOS'!F419&amp;"")&lt;&gt;"Por comprobar")),2,IF(COUNTIFS('REFERENCIAS'!$T$15:$T$34,"ID:"&amp;SUBSTITUTE(SUBSTITUTE(SUBSTITUTE(SUBSTITUTE(UPPER(TRIM('DATOS'!F419&amp;"")),"!","!E"),"*","!A"),"?","!B"),"~","!C"),'REFERENCIAS'!$H$15:$H$34,"&lt;&gt;")&gt;0,0,1))),2)</f>
      </c>
      <c r="U419" s="29" t="str">
        <f>'DATOS'!R419</f>
        <v>ID:</v>
      </c>
      <c r="V419" s="29" t="str">
        <f>'DATOS'!S419</f>
        <v>ID:</v>
      </c>
      <c r="W419" s="29" t="n">
        <f>IF(N419=0,0,COUNTIFS('REFERENCIAS'!$R$15:$R$64,U419))</f>
        <v>0</v>
      </c>
      <c r="X419" s="29" t="n">
        <f>IF(N419=0,0,COUNTIFS('DATOS'!$R$10:$R$509,U419,'DATOS'!$S$10:$S$509,V419))</f>
        <v>0</v>
      </c>
      <c r="Y419" s="29" t="n">
        <f>IF(AND(ISNUMBER('DATOS'!G419),ISNUMBER('DATOS'!H419),ISNUMBER('DATOS'!J419)),1,0)</f>
        <v>0</v>
      </c>
    </row>
    <row r="420" ht="64" customHeight="1">
      <c r="B420" s="26">
        <f>IF(N420=1,411,"")</f>
      </c>
      <c r="C420" s="26">
        <f>IF(AND(N420=1,LEN(TRIM('DATOS'!B420&amp;""))&gt;0),'DATOS'!B420,"")</f>
      </c>
      <c r="D420" s="26">
        <f>IF(AND(N420=1,LEN(TRIM('DATOS'!C420&amp;""))&gt;0),'DATOS'!C420,"")</f>
      </c>
      <c r="E420" s="26">
        <f>IF(NOT(ISNUMBER(P420)),"",IF(P420=2,"ROJO",IF(P420=1,"ÁMBAR","VERDE")))</f>
      </c>
      <c r="F420" s="26">
        <f>IF(NOT(ISNUMBER(Q420)),"",IF(Q420=2,"ROJO",IF(Q420=1,"ÁMBAR","VERDE")))</f>
      </c>
      <c r="G420" s="26">
        <f>IF(NOT(ISNUMBER(R420)),"",IF(R420=2,"ROJO",IF(R420=1,"ÁMBAR","VERDE")))</f>
      </c>
      <c r="H420" s="26">
        <f>IF(NOT(ISNUMBER(S420)),"",IF(S420=2,"ROJO",IF(S420=1,"ÁMBAR","VERDE")))</f>
      </c>
      <c r="I420" s="26">
        <f>IF(NOT(ISNUMBER(T420)),"",IF(T420=2,"ROJO",IF(T420=1,"ÁMBAR","VERDE")))</f>
      </c>
      <c r="J420" s="26">
        <f>IF(NOT(ISNUMBER(O420)),"",IF(O420=2,"ROJO",IF(O420=1,"ÁMBAR","VERDE")))</f>
      </c>
      <c r="K420" s="26">
        <f>IFERROR(IF(AND(N420=1,LEN(TRIM('DATOS'!N420&amp;""))&gt;0),'DATOS'!N420,""),"Hay una entrada con error. Corregimos el dato antes de cerrar la comprobación.")</f>
      </c>
      <c r="L420" s="26">
        <f>IFERROR(IF(N420=0,"",IF(O420&gt;0,"Completamos datos, claves o motivo. ","")&amp;IF(P420&gt;0,"Cotejamos precios e importe. ","")&amp;IF(Q420&gt;0,"Aclaramos el cero. ","")&amp;IF(R420&gt;0,"Comprobamos el texto. ","")&amp;IF(S420&gt;0,"Revisamos decimales visibles. ","")&amp;IF(T420&gt;0,"Confirmamos la unidad.","")),"Hay una entrada con error. Corregimos el dato antes de cerrar la comprobación.")</f>
      </c>
      <c r="N420" s="29" t="n">
        <f>IF(COUNTA('DATOS'!B420:O420)&gt;0,1,0)</f>
        <v>0</v>
      </c>
      <c r="O420" s="29">
        <f>IFERROR(IF(N420=0,"",IF(OR(NOT(AND(LEN(TRIM('DATOS'!B420&amp;""))&gt;0,TRIM('DATOS'!B420&amp;"")&lt;&gt;"Pendiente",TRIM('DATOS'!B420&amp;"")&lt;&gt;"Por confirmar",TRIM('DATOS'!B420&amp;"")&lt;&gt;"No consta",TRIM('DATOS'!B420&amp;"")&lt;&gt;"Desconocido",TRIM('DATOS'!B420&amp;"")&lt;&gt;"Sin confirmar",TRIM('DATOS'!B420&amp;"")&lt;&gt;"Por decidir",TRIM('DATOS'!B420&amp;"")&lt;&gt;"Por comprobar")),NOT(AND(LEN(TRIM('DATOS'!C420&amp;""))&gt;0,TRIM('DATOS'!C420&amp;"")&lt;&gt;"Pendiente",TRIM('DATOS'!C420&amp;"")&lt;&gt;"Por confirmar",TRIM('DATOS'!C420&amp;"")&lt;&gt;"No consta",TRIM('DATOS'!C420&amp;"")&lt;&gt;"Desconocido",TRIM('DATOS'!C420&amp;"")&lt;&gt;"Sin confirmar",TRIM('DATOS'!C420&amp;"")&lt;&gt;"Por decidir",TRIM('DATOS'!C420&amp;"")&lt;&gt;"Por comprobar")),NOT(AND(LEN(TRIM('DATOS'!D420&amp;""))&gt;0,TRIM('DATOS'!D420&amp;"")&lt;&gt;"Pendiente",TRIM('DATOS'!D420&amp;"")&lt;&gt;"Por confirmar",TRIM('DATOS'!D420&amp;"")&lt;&gt;"No consta",TRIM('DATOS'!D420&amp;"")&lt;&gt;"Desconocido",TRIM('DATOS'!D420&amp;"")&lt;&gt;"Sin confirmar",TRIM('DATOS'!D420&amp;"")&lt;&gt;"Por decidir",TRIM('DATOS'!D420&amp;"")&lt;&gt;"Por comprobar")),NOT(AND(LEN(TRIM('DATOS'!E420&amp;""))&gt;0,TRIM('DATOS'!E420&amp;"")&lt;&gt;"Pendiente",TRIM('DATOS'!E420&amp;"")&lt;&gt;"Por confirmar",TRIM('DATOS'!E420&amp;"")&lt;&gt;"No consta",TRIM('DATOS'!E420&amp;"")&lt;&gt;"Desconocido",TRIM('DATOS'!E420&amp;"")&lt;&gt;"Sin confirmar",TRIM('DATOS'!E420&amp;"")&lt;&gt;"Por decidir",TRIM('DATOS'!E420&amp;"")&lt;&gt;"Por comprobar")),NOT(AND(LEN(TRIM('DATOS'!F420&amp;""))&gt;0,TRIM('DATOS'!F420&amp;"")&lt;&gt;"Pendiente",TRIM('DATOS'!F420&amp;"")&lt;&gt;"Por confirmar",TRIM('DATOS'!F420&amp;"")&lt;&gt;"No consta",TRIM('DATOS'!F420&amp;"")&lt;&gt;"Desconocido",TRIM('DATOS'!F420&amp;"")&lt;&gt;"Sin confirmar",TRIM('DATOS'!F420&amp;"")&lt;&gt;"Por decidir",TRIM('DATOS'!F420&amp;"")&lt;&gt;"Por comprobar")),NOT(AND(LEN(TRIM('DATOS'!N420&amp;""))&gt;0,TRIM('DATOS'!N420&amp;"")&lt;&gt;"Pendiente",TRIM('DATOS'!N420&amp;"")&lt;&gt;"Por confirmar",TRIM('DATOS'!N420&amp;"")&lt;&gt;"No consta",TRIM('DATOS'!N420&amp;"")&lt;&gt;"Desconocido",TRIM('DATOS'!N420&amp;"")&lt;&gt;"Sin confirmar",TRIM('DATOS'!N420&amp;"")&lt;&gt;"Por decidir",TRIM('DATOS'!N420&amp;"")&lt;&gt;"Por comprobar")),NOT(Y420=1),W420&lt;&gt;1,X420&gt;1,NOT(OR(LEN(TRIM('DATOS'!K420&amp;""))=0,'DATOS'!K420="Sin valorar",'DATOS'!K420="Sin coste documentado",'DATOS'!K420="Incluido en otra partida",'DATOS'!K420="Por confirmar")),NOT(OR(LEN(TRIM('DATOS'!M420&amp;""))=0,'DATOS'!M420="Sí",'DATOS'!M420="No",'DATOS'!M420="Por confirmar")),NOT(OR(LEN(TRIM('DATOS'!O420&amp;""))=0,'DATOS'!O420="Comparamos",'DATOS'!O420="No existe",'DATOS'!O420="Por confirmar"))),2,IF(AND(OR('DATOS'!G420&lt;0,'DATOS'!H420&lt;0,'DATOS'!J420&lt;0),NOT(AND(LEN(TRIM('DATOS'!L420&amp;""))&gt;0,TRIM('DATOS'!L420&amp;"")&lt;&gt;"Pendiente",TRIM('DATOS'!L420&amp;"")&lt;&gt;"Por confirmar",TRIM('DATOS'!L420&amp;"")&lt;&gt;"No consta",TRIM('DATOS'!L420&amp;"")&lt;&gt;"Desconocido",TRIM('DATOS'!L420&amp;"")&lt;&gt;"Sin confirmar",TRIM('DATOS'!L420&amp;"")&lt;&gt;"Por decidir",TRIM('DATOS'!L420&amp;"")&lt;&gt;"Por comprobar"))),1,0))),2)</f>
      </c>
      <c r="P420" s="29">
        <f>IFERROR(IF(N420=0,"",IF(NOT(Y420=1),1,IF('REFERENCIAS'!$Q$8&lt;&gt;1,2,IF(ABS('DATOS'!J420-ROUND('DATOS'!G420*'DATOS'!H420,'REFERENCIAS'!$K$8))&gt;0.00000001,2,IF('DATOS'!O420="No existe",IF(LEN(TRIM('DATOS'!I420&amp;""))=0,0,2),IF('DATOS'!O420="Comparamos",IF(LEN(TRIM('DATOS'!I420&amp;""))=0,1,IF(ISNUMBER('DATOS'!I420),IF(ABS('DATOS'!H420-'DATOS'!I420)&gt;0.00000001,2,0),2)),1)))))),2)</f>
      </c>
      <c r="Q420" s="29">
        <f>IFERROR(IF(N420=0,"",IF(NOT(Y420=1),1,IF('DATOS'!K420="Sin valorar",2,IF('DATOS'!G420=0,1,IF(OR('DATOS'!H420=0,'DATOS'!J420=0),IF(AND(OR('DATOS'!K420="Sin coste documentado",'DATOS'!K420="Incluido en otra partida"),AND(LEN(TRIM('DATOS'!L420&amp;""))&gt;0,TRIM('DATOS'!L420&amp;"")&lt;&gt;"Pendiente",TRIM('DATOS'!L420&amp;"")&lt;&gt;"Por confirmar",TRIM('DATOS'!L420&amp;"")&lt;&gt;"No consta",TRIM('DATOS'!L420&amp;"")&lt;&gt;"Desconocido",TRIM('DATOS'!L420&amp;"")&lt;&gt;"Sin confirmar",TRIM('DATOS'!L420&amp;"")&lt;&gt;"Por decidir",TRIM('DATOS'!L420&amp;"")&lt;&gt;"Por comprobar")),0,1),0))))),2)</f>
      </c>
      <c r="R420" s="29">
        <f>IFERROR(IF(N420=0,"",IF(OR(NOT(AND(LEN(TRIM('DATOS'!D420&amp;""))&gt;0,TRIM('DATOS'!D420&amp;"")&lt;&gt;"Pendiente",TRIM('DATOS'!D420&amp;"")&lt;&gt;"Por confirmar",TRIM('DATOS'!D420&amp;"")&lt;&gt;"No consta",TRIM('DATOS'!D420&amp;"")&lt;&gt;"Desconocido",TRIM('DATOS'!D420&amp;"")&lt;&gt;"Sin confirmar",TRIM('DATOS'!D420&amp;"")&lt;&gt;"Por decidir",TRIM('DATOS'!D420&amp;"")&lt;&gt;"Por comprobar")),NOT(AND(LEN(TRIM('DATOS'!E420&amp;""))&gt;0,TRIM('DATOS'!E420&amp;"")&lt;&gt;"Pendiente",TRIM('DATOS'!E420&amp;"")&lt;&gt;"Por confirmar",TRIM('DATOS'!E420&amp;"")&lt;&gt;"No consta",TRIM('DATOS'!E420&amp;"")&lt;&gt;"Desconocido",TRIM('DATOS'!E420&amp;"")&lt;&gt;"Sin confirmar",TRIM('DATOS'!E420&amp;"")&lt;&gt;"Por decidir",TRIM('DATOS'!E420&amp;"")&lt;&gt;"Por comprobar"))),2,IF('DATOS'!M420="No",2,IF('DATOS'!M420="Sí",0,IF(OR('DATOS'!D420&lt;&gt;'DATOS'!E420,LEN('DATOS'!E420)&gt;300,RIGHT(TRIM('DATOS'!E420),3)="...",RIGHT(TRIM('DATOS'!E420),1)="…"),1,0))))),2)</f>
      </c>
      <c r="S420" s="29">
        <f>IFERROR(IF(N420=0,"",IF('REFERENCIAS'!$Q$8&lt;&gt;1,2,IF(NOT(Y420=1),1,IF(OR(ABS('DATOS'!G420-ROUND('DATOS'!G420,'REFERENCIAS'!$E$8))&gt;0.00000001,ABS('DATOS'!H420-ROUND('DATOS'!H420,'REFERENCIAS'!$H$8))&gt;0.00000001,ABS('DATOS'!J420-ROUND('DATOS'!J420,'REFERENCIAS'!$K$8))&gt;0.00000001,IF(ISNUMBER('DATOS'!I420),ABS('DATOS'!I420-ROUND('DATOS'!I420,'REFERENCIAS'!$H$8))&gt;0.00000001,FALSE)),1,0)))),2)</f>
      </c>
      <c r="T420" s="29">
        <f>IFERROR(IF(N420=0,"",IF(NOT(AND(LEN(TRIM('DATOS'!F420&amp;""))&gt;0,TRIM('DATOS'!F420&amp;"")&lt;&gt;"Pendiente",TRIM('DATOS'!F420&amp;"")&lt;&gt;"Por confirmar",TRIM('DATOS'!F420&amp;"")&lt;&gt;"No consta",TRIM('DATOS'!F420&amp;"")&lt;&gt;"Desconocido",TRIM('DATOS'!F420&amp;"")&lt;&gt;"Sin confirmar",TRIM('DATOS'!F420&amp;"")&lt;&gt;"Por decidir",TRIM('DATOS'!F420&amp;"")&lt;&gt;"Por comprobar")),2,IF(COUNTIFS('REFERENCIAS'!$T$15:$T$34,"ID:"&amp;SUBSTITUTE(SUBSTITUTE(SUBSTITUTE(SUBSTITUTE(UPPER(TRIM('DATOS'!F420&amp;"")),"!","!E"),"*","!A"),"?","!B"),"~","!C"),'REFERENCIAS'!$H$15:$H$34,"&lt;&gt;")&gt;0,0,1))),2)</f>
      </c>
      <c r="U420" s="29" t="str">
        <f>'DATOS'!R420</f>
        <v>ID:</v>
      </c>
      <c r="V420" s="29" t="str">
        <f>'DATOS'!S420</f>
        <v>ID:</v>
      </c>
      <c r="W420" s="29" t="n">
        <f>IF(N420=0,0,COUNTIFS('REFERENCIAS'!$R$15:$R$64,U420))</f>
        <v>0</v>
      </c>
      <c r="X420" s="29" t="n">
        <f>IF(N420=0,0,COUNTIFS('DATOS'!$R$10:$R$509,U420,'DATOS'!$S$10:$S$509,V420))</f>
        <v>0</v>
      </c>
      <c r="Y420" s="29" t="n">
        <f>IF(AND(ISNUMBER('DATOS'!G420),ISNUMBER('DATOS'!H420),ISNUMBER('DATOS'!J420)),1,0)</f>
        <v>0</v>
      </c>
    </row>
    <row r="421" ht="64" customHeight="1">
      <c r="B421" s="26">
        <f>IF(N421=1,412,"")</f>
      </c>
      <c r="C421" s="26">
        <f>IF(AND(N421=1,LEN(TRIM('DATOS'!B421&amp;""))&gt;0),'DATOS'!B421,"")</f>
      </c>
      <c r="D421" s="26">
        <f>IF(AND(N421=1,LEN(TRIM('DATOS'!C421&amp;""))&gt;0),'DATOS'!C421,"")</f>
      </c>
      <c r="E421" s="26">
        <f>IF(NOT(ISNUMBER(P421)),"",IF(P421=2,"ROJO",IF(P421=1,"ÁMBAR","VERDE")))</f>
      </c>
      <c r="F421" s="26">
        <f>IF(NOT(ISNUMBER(Q421)),"",IF(Q421=2,"ROJO",IF(Q421=1,"ÁMBAR","VERDE")))</f>
      </c>
      <c r="G421" s="26">
        <f>IF(NOT(ISNUMBER(R421)),"",IF(R421=2,"ROJO",IF(R421=1,"ÁMBAR","VERDE")))</f>
      </c>
      <c r="H421" s="26">
        <f>IF(NOT(ISNUMBER(S421)),"",IF(S421=2,"ROJO",IF(S421=1,"ÁMBAR","VERDE")))</f>
      </c>
      <c r="I421" s="26">
        <f>IF(NOT(ISNUMBER(T421)),"",IF(T421=2,"ROJO",IF(T421=1,"ÁMBAR","VERDE")))</f>
      </c>
      <c r="J421" s="26">
        <f>IF(NOT(ISNUMBER(O421)),"",IF(O421=2,"ROJO",IF(O421=1,"ÁMBAR","VERDE")))</f>
      </c>
      <c r="K421" s="26">
        <f>IFERROR(IF(AND(N421=1,LEN(TRIM('DATOS'!N421&amp;""))&gt;0),'DATOS'!N421,""),"Hay una entrada con error. Corregimos el dato antes de cerrar la comprobación.")</f>
      </c>
      <c r="L421" s="26">
        <f>IFERROR(IF(N421=0,"",IF(O421&gt;0,"Completamos datos, claves o motivo. ","")&amp;IF(P421&gt;0,"Cotejamos precios e importe. ","")&amp;IF(Q421&gt;0,"Aclaramos el cero. ","")&amp;IF(R421&gt;0,"Comprobamos el texto. ","")&amp;IF(S421&gt;0,"Revisamos decimales visibles. ","")&amp;IF(T421&gt;0,"Confirmamos la unidad.","")),"Hay una entrada con error. Corregimos el dato antes de cerrar la comprobación.")</f>
      </c>
      <c r="N421" s="29" t="n">
        <f>IF(COUNTA('DATOS'!B421:O421)&gt;0,1,0)</f>
        <v>0</v>
      </c>
      <c r="O421" s="29">
        <f>IFERROR(IF(N421=0,"",IF(OR(NOT(AND(LEN(TRIM('DATOS'!B421&amp;""))&gt;0,TRIM('DATOS'!B421&amp;"")&lt;&gt;"Pendiente",TRIM('DATOS'!B421&amp;"")&lt;&gt;"Por confirmar",TRIM('DATOS'!B421&amp;"")&lt;&gt;"No consta",TRIM('DATOS'!B421&amp;"")&lt;&gt;"Desconocido",TRIM('DATOS'!B421&amp;"")&lt;&gt;"Sin confirmar",TRIM('DATOS'!B421&amp;"")&lt;&gt;"Por decidir",TRIM('DATOS'!B421&amp;"")&lt;&gt;"Por comprobar")),NOT(AND(LEN(TRIM('DATOS'!C421&amp;""))&gt;0,TRIM('DATOS'!C421&amp;"")&lt;&gt;"Pendiente",TRIM('DATOS'!C421&amp;"")&lt;&gt;"Por confirmar",TRIM('DATOS'!C421&amp;"")&lt;&gt;"No consta",TRIM('DATOS'!C421&amp;"")&lt;&gt;"Desconocido",TRIM('DATOS'!C421&amp;"")&lt;&gt;"Sin confirmar",TRIM('DATOS'!C421&amp;"")&lt;&gt;"Por decidir",TRIM('DATOS'!C421&amp;"")&lt;&gt;"Por comprobar")),NOT(AND(LEN(TRIM('DATOS'!D421&amp;""))&gt;0,TRIM('DATOS'!D421&amp;"")&lt;&gt;"Pendiente",TRIM('DATOS'!D421&amp;"")&lt;&gt;"Por confirmar",TRIM('DATOS'!D421&amp;"")&lt;&gt;"No consta",TRIM('DATOS'!D421&amp;"")&lt;&gt;"Desconocido",TRIM('DATOS'!D421&amp;"")&lt;&gt;"Sin confirmar",TRIM('DATOS'!D421&amp;"")&lt;&gt;"Por decidir",TRIM('DATOS'!D421&amp;"")&lt;&gt;"Por comprobar")),NOT(AND(LEN(TRIM('DATOS'!E421&amp;""))&gt;0,TRIM('DATOS'!E421&amp;"")&lt;&gt;"Pendiente",TRIM('DATOS'!E421&amp;"")&lt;&gt;"Por confirmar",TRIM('DATOS'!E421&amp;"")&lt;&gt;"No consta",TRIM('DATOS'!E421&amp;"")&lt;&gt;"Desconocido",TRIM('DATOS'!E421&amp;"")&lt;&gt;"Sin confirmar",TRIM('DATOS'!E421&amp;"")&lt;&gt;"Por decidir",TRIM('DATOS'!E421&amp;"")&lt;&gt;"Por comprobar")),NOT(AND(LEN(TRIM('DATOS'!F421&amp;""))&gt;0,TRIM('DATOS'!F421&amp;"")&lt;&gt;"Pendiente",TRIM('DATOS'!F421&amp;"")&lt;&gt;"Por confirmar",TRIM('DATOS'!F421&amp;"")&lt;&gt;"No consta",TRIM('DATOS'!F421&amp;"")&lt;&gt;"Desconocido",TRIM('DATOS'!F421&amp;"")&lt;&gt;"Sin confirmar",TRIM('DATOS'!F421&amp;"")&lt;&gt;"Por decidir",TRIM('DATOS'!F421&amp;"")&lt;&gt;"Por comprobar")),NOT(AND(LEN(TRIM('DATOS'!N421&amp;""))&gt;0,TRIM('DATOS'!N421&amp;"")&lt;&gt;"Pendiente",TRIM('DATOS'!N421&amp;"")&lt;&gt;"Por confirmar",TRIM('DATOS'!N421&amp;"")&lt;&gt;"No consta",TRIM('DATOS'!N421&amp;"")&lt;&gt;"Desconocido",TRIM('DATOS'!N421&amp;"")&lt;&gt;"Sin confirmar",TRIM('DATOS'!N421&amp;"")&lt;&gt;"Por decidir",TRIM('DATOS'!N421&amp;"")&lt;&gt;"Por comprobar")),NOT(Y421=1),W421&lt;&gt;1,X421&gt;1,NOT(OR(LEN(TRIM('DATOS'!K421&amp;""))=0,'DATOS'!K421="Sin valorar",'DATOS'!K421="Sin coste documentado",'DATOS'!K421="Incluido en otra partida",'DATOS'!K421="Por confirmar")),NOT(OR(LEN(TRIM('DATOS'!M421&amp;""))=0,'DATOS'!M421="Sí",'DATOS'!M421="No",'DATOS'!M421="Por confirmar")),NOT(OR(LEN(TRIM('DATOS'!O421&amp;""))=0,'DATOS'!O421="Comparamos",'DATOS'!O421="No existe",'DATOS'!O421="Por confirmar"))),2,IF(AND(OR('DATOS'!G421&lt;0,'DATOS'!H421&lt;0,'DATOS'!J421&lt;0),NOT(AND(LEN(TRIM('DATOS'!L421&amp;""))&gt;0,TRIM('DATOS'!L421&amp;"")&lt;&gt;"Pendiente",TRIM('DATOS'!L421&amp;"")&lt;&gt;"Por confirmar",TRIM('DATOS'!L421&amp;"")&lt;&gt;"No consta",TRIM('DATOS'!L421&amp;"")&lt;&gt;"Desconocido",TRIM('DATOS'!L421&amp;"")&lt;&gt;"Sin confirmar",TRIM('DATOS'!L421&amp;"")&lt;&gt;"Por decidir",TRIM('DATOS'!L421&amp;"")&lt;&gt;"Por comprobar"))),1,0))),2)</f>
      </c>
      <c r="P421" s="29">
        <f>IFERROR(IF(N421=0,"",IF(NOT(Y421=1),1,IF('REFERENCIAS'!$Q$8&lt;&gt;1,2,IF(ABS('DATOS'!J421-ROUND('DATOS'!G421*'DATOS'!H421,'REFERENCIAS'!$K$8))&gt;0.00000001,2,IF('DATOS'!O421="No existe",IF(LEN(TRIM('DATOS'!I421&amp;""))=0,0,2),IF('DATOS'!O421="Comparamos",IF(LEN(TRIM('DATOS'!I421&amp;""))=0,1,IF(ISNUMBER('DATOS'!I421),IF(ABS('DATOS'!H421-'DATOS'!I421)&gt;0.00000001,2,0),2)),1)))))),2)</f>
      </c>
      <c r="Q421" s="29">
        <f>IFERROR(IF(N421=0,"",IF(NOT(Y421=1),1,IF('DATOS'!K421="Sin valorar",2,IF('DATOS'!G421=0,1,IF(OR('DATOS'!H421=0,'DATOS'!J421=0),IF(AND(OR('DATOS'!K421="Sin coste documentado",'DATOS'!K421="Incluido en otra partida"),AND(LEN(TRIM('DATOS'!L421&amp;""))&gt;0,TRIM('DATOS'!L421&amp;"")&lt;&gt;"Pendiente",TRIM('DATOS'!L421&amp;"")&lt;&gt;"Por confirmar",TRIM('DATOS'!L421&amp;"")&lt;&gt;"No consta",TRIM('DATOS'!L421&amp;"")&lt;&gt;"Desconocido",TRIM('DATOS'!L421&amp;"")&lt;&gt;"Sin confirmar",TRIM('DATOS'!L421&amp;"")&lt;&gt;"Por decidir",TRIM('DATOS'!L421&amp;"")&lt;&gt;"Por comprobar")),0,1),0))))),2)</f>
      </c>
      <c r="R421" s="29">
        <f>IFERROR(IF(N421=0,"",IF(OR(NOT(AND(LEN(TRIM('DATOS'!D421&amp;""))&gt;0,TRIM('DATOS'!D421&amp;"")&lt;&gt;"Pendiente",TRIM('DATOS'!D421&amp;"")&lt;&gt;"Por confirmar",TRIM('DATOS'!D421&amp;"")&lt;&gt;"No consta",TRIM('DATOS'!D421&amp;"")&lt;&gt;"Desconocido",TRIM('DATOS'!D421&amp;"")&lt;&gt;"Sin confirmar",TRIM('DATOS'!D421&amp;"")&lt;&gt;"Por decidir",TRIM('DATOS'!D421&amp;"")&lt;&gt;"Por comprobar")),NOT(AND(LEN(TRIM('DATOS'!E421&amp;""))&gt;0,TRIM('DATOS'!E421&amp;"")&lt;&gt;"Pendiente",TRIM('DATOS'!E421&amp;"")&lt;&gt;"Por confirmar",TRIM('DATOS'!E421&amp;"")&lt;&gt;"No consta",TRIM('DATOS'!E421&amp;"")&lt;&gt;"Desconocido",TRIM('DATOS'!E421&amp;"")&lt;&gt;"Sin confirmar",TRIM('DATOS'!E421&amp;"")&lt;&gt;"Por decidir",TRIM('DATOS'!E421&amp;"")&lt;&gt;"Por comprobar"))),2,IF('DATOS'!M421="No",2,IF('DATOS'!M421="Sí",0,IF(OR('DATOS'!D421&lt;&gt;'DATOS'!E421,LEN('DATOS'!E421)&gt;300,RIGHT(TRIM('DATOS'!E421),3)="...",RIGHT(TRIM('DATOS'!E421),1)="…"),1,0))))),2)</f>
      </c>
      <c r="S421" s="29">
        <f>IFERROR(IF(N421=0,"",IF('REFERENCIAS'!$Q$8&lt;&gt;1,2,IF(NOT(Y421=1),1,IF(OR(ABS('DATOS'!G421-ROUND('DATOS'!G421,'REFERENCIAS'!$E$8))&gt;0.00000001,ABS('DATOS'!H421-ROUND('DATOS'!H421,'REFERENCIAS'!$H$8))&gt;0.00000001,ABS('DATOS'!J421-ROUND('DATOS'!J421,'REFERENCIAS'!$K$8))&gt;0.00000001,IF(ISNUMBER('DATOS'!I421),ABS('DATOS'!I421-ROUND('DATOS'!I421,'REFERENCIAS'!$H$8))&gt;0.00000001,FALSE)),1,0)))),2)</f>
      </c>
      <c r="T421" s="29">
        <f>IFERROR(IF(N421=0,"",IF(NOT(AND(LEN(TRIM('DATOS'!F421&amp;""))&gt;0,TRIM('DATOS'!F421&amp;"")&lt;&gt;"Pendiente",TRIM('DATOS'!F421&amp;"")&lt;&gt;"Por confirmar",TRIM('DATOS'!F421&amp;"")&lt;&gt;"No consta",TRIM('DATOS'!F421&amp;"")&lt;&gt;"Desconocido",TRIM('DATOS'!F421&amp;"")&lt;&gt;"Sin confirmar",TRIM('DATOS'!F421&amp;"")&lt;&gt;"Por decidir",TRIM('DATOS'!F421&amp;"")&lt;&gt;"Por comprobar")),2,IF(COUNTIFS('REFERENCIAS'!$T$15:$T$34,"ID:"&amp;SUBSTITUTE(SUBSTITUTE(SUBSTITUTE(SUBSTITUTE(UPPER(TRIM('DATOS'!F421&amp;"")),"!","!E"),"*","!A"),"?","!B"),"~","!C"),'REFERENCIAS'!$H$15:$H$34,"&lt;&gt;")&gt;0,0,1))),2)</f>
      </c>
      <c r="U421" s="29" t="str">
        <f>'DATOS'!R421</f>
        <v>ID:</v>
      </c>
      <c r="V421" s="29" t="str">
        <f>'DATOS'!S421</f>
        <v>ID:</v>
      </c>
      <c r="W421" s="29" t="n">
        <f>IF(N421=0,0,COUNTIFS('REFERENCIAS'!$R$15:$R$64,U421))</f>
        <v>0</v>
      </c>
      <c r="X421" s="29" t="n">
        <f>IF(N421=0,0,COUNTIFS('DATOS'!$R$10:$R$509,U421,'DATOS'!$S$10:$S$509,V421))</f>
        <v>0</v>
      </c>
      <c r="Y421" s="29" t="n">
        <f>IF(AND(ISNUMBER('DATOS'!G421),ISNUMBER('DATOS'!H421),ISNUMBER('DATOS'!J421)),1,0)</f>
        <v>0</v>
      </c>
    </row>
    <row r="422" ht="64" customHeight="1">
      <c r="B422" s="26">
        <f>IF(N422=1,413,"")</f>
      </c>
      <c r="C422" s="26">
        <f>IF(AND(N422=1,LEN(TRIM('DATOS'!B422&amp;""))&gt;0),'DATOS'!B422,"")</f>
      </c>
      <c r="D422" s="26">
        <f>IF(AND(N422=1,LEN(TRIM('DATOS'!C422&amp;""))&gt;0),'DATOS'!C422,"")</f>
      </c>
      <c r="E422" s="26">
        <f>IF(NOT(ISNUMBER(P422)),"",IF(P422=2,"ROJO",IF(P422=1,"ÁMBAR","VERDE")))</f>
      </c>
      <c r="F422" s="26">
        <f>IF(NOT(ISNUMBER(Q422)),"",IF(Q422=2,"ROJO",IF(Q422=1,"ÁMBAR","VERDE")))</f>
      </c>
      <c r="G422" s="26">
        <f>IF(NOT(ISNUMBER(R422)),"",IF(R422=2,"ROJO",IF(R422=1,"ÁMBAR","VERDE")))</f>
      </c>
      <c r="H422" s="26">
        <f>IF(NOT(ISNUMBER(S422)),"",IF(S422=2,"ROJO",IF(S422=1,"ÁMBAR","VERDE")))</f>
      </c>
      <c r="I422" s="26">
        <f>IF(NOT(ISNUMBER(T422)),"",IF(T422=2,"ROJO",IF(T422=1,"ÁMBAR","VERDE")))</f>
      </c>
      <c r="J422" s="26">
        <f>IF(NOT(ISNUMBER(O422)),"",IF(O422=2,"ROJO",IF(O422=1,"ÁMBAR","VERDE")))</f>
      </c>
      <c r="K422" s="26">
        <f>IFERROR(IF(AND(N422=1,LEN(TRIM('DATOS'!N422&amp;""))&gt;0),'DATOS'!N422,""),"Hay una entrada con error. Corregimos el dato antes de cerrar la comprobación.")</f>
      </c>
      <c r="L422" s="26">
        <f>IFERROR(IF(N422=0,"",IF(O422&gt;0,"Completamos datos, claves o motivo. ","")&amp;IF(P422&gt;0,"Cotejamos precios e importe. ","")&amp;IF(Q422&gt;0,"Aclaramos el cero. ","")&amp;IF(R422&gt;0,"Comprobamos el texto. ","")&amp;IF(S422&gt;0,"Revisamos decimales visibles. ","")&amp;IF(T422&gt;0,"Confirmamos la unidad.","")),"Hay una entrada con error. Corregimos el dato antes de cerrar la comprobación.")</f>
      </c>
      <c r="N422" s="29" t="n">
        <f>IF(COUNTA('DATOS'!B422:O422)&gt;0,1,0)</f>
        <v>0</v>
      </c>
      <c r="O422" s="29">
        <f>IFERROR(IF(N422=0,"",IF(OR(NOT(AND(LEN(TRIM('DATOS'!B422&amp;""))&gt;0,TRIM('DATOS'!B422&amp;"")&lt;&gt;"Pendiente",TRIM('DATOS'!B422&amp;"")&lt;&gt;"Por confirmar",TRIM('DATOS'!B422&amp;"")&lt;&gt;"No consta",TRIM('DATOS'!B422&amp;"")&lt;&gt;"Desconocido",TRIM('DATOS'!B422&amp;"")&lt;&gt;"Sin confirmar",TRIM('DATOS'!B422&amp;"")&lt;&gt;"Por decidir",TRIM('DATOS'!B422&amp;"")&lt;&gt;"Por comprobar")),NOT(AND(LEN(TRIM('DATOS'!C422&amp;""))&gt;0,TRIM('DATOS'!C422&amp;"")&lt;&gt;"Pendiente",TRIM('DATOS'!C422&amp;"")&lt;&gt;"Por confirmar",TRIM('DATOS'!C422&amp;"")&lt;&gt;"No consta",TRIM('DATOS'!C422&amp;"")&lt;&gt;"Desconocido",TRIM('DATOS'!C422&amp;"")&lt;&gt;"Sin confirmar",TRIM('DATOS'!C422&amp;"")&lt;&gt;"Por decidir",TRIM('DATOS'!C422&amp;"")&lt;&gt;"Por comprobar")),NOT(AND(LEN(TRIM('DATOS'!D422&amp;""))&gt;0,TRIM('DATOS'!D422&amp;"")&lt;&gt;"Pendiente",TRIM('DATOS'!D422&amp;"")&lt;&gt;"Por confirmar",TRIM('DATOS'!D422&amp;"")&lt;&gt;"No consta",TRIM('DATOS'!D422&amp;"")&lt;&gt;"Desconocido",TRIM('DATOS'!D422&amp;"")&lt;&gt;"Sin confirmar",TRIM('DATOS'!D422&amp;"")&lt;&gt;"Por decidir",TRIM('DATOS'!D422&amp;"")&lt;&gt;"Por comprobar")),NOT(AND(LEN(TRIM('DATOS'!E422&amp;""))&gt;0,TRIM('DATOS'!E422&amp;"")&lt;&gt;"Pendiente",TRIM('DATOS'!E422&amp;"")&lt;&gt;"Por confirmar",TRIM('DATOS'!E422&amp;"")&lt;&gt;"No consta",TRIM('DATOS'!E422&amp;"")&lt;&gt;"Desconocido",TRIM('DATOS'!E422&amp;"")&lt;&gt;"Sin confirmar",TRIM('DATOS'!E422&amp;"")&lt;&gt;"Por decidir",TRIM('DATOS'!E422&amp;"")&lt;&gt;"Por comprobar")),NOT(AND(LEN(TRIM('DATOS'!F422&amp;""))&gt;0,TRIM('DATOS'!F422&amp;"")&lt;&gt;"Pendiente",TRIM('DATOS'!F422&amp;"")&lt;&gt;"Por confirmar",TRIM('DATOS'!F422&amp;"")&lt;&gt;"No consta",TRIM('DATOS'!F422&amp;"")&lt;&gt;"Desconocido",TRIM('DATOS'!F422&amp;"")&lt;&gt;"Sin confirmar",TRIM('DATOS'!F422&amp;"")&lt;&gt;"Por decidir",TRIM('DATOS'!F422&amp;"")&lt;&gt;"Por comprobar")),NOT(AND(LEN(TRIM('DATOS'!N422&amp;""))&gt;0,TRIM('DATOS'!N422&amp;"")&lt;&gt;"Pendiente",TRIM('DATOS'!N422&amp;"")&lt;&gt;"Por confirmar",TRIM('DATOS'!N422&amp;"")&lt;&gt;"No consta",TRIM('DATOS'!N422&amp;"")&lt;&gt;"Desconocido",TRIM('DATOS'!N422&amp;"")&lt;&gt;"Sin confirmar",TRIM('DATOS'!N422&amp;"")&lt;&gt;"Por decidir",TRIM('DATOS'!N422&amp;"")&lt;&gt;"Por comprobar")),NOT(Y422=1),W422&lt;&gt;1,X422&gt;1,NOT(OR(LEN(TRIM('DATOS'!K422&amp;""))=0,'DATOS'!K422="Sin valorar",'DATOS'!K422="Sin coste documentado",'DATOS'!K422="Incluido en otra partida",'DATOS'!K422="Por confirmar")),NOT(OR(LEN(TRIM('DATOS'!M422&amp;""))=0,'DATOS'!M422="Sí",'DATOS'!M422="No",'DATOS'!M422="Por confirmar")),NOT(OR(LEN(TRIM('DATOS'!O422&amp;""))=0,'DATOS'!O422="Comparamos",'DATOS'!O422="No existe",'DATOS'!O422="Por confirmar"))),2,IF(AND(OR('DATOS'!G422&lt;0,'DATOS'!H422&lt;0,'DATOS'!J422&lt;0),NOT(AND(LEN(TRIM('DATOS'!L422&amp;""))&gt;0,TRIM('DATOS'!L422&amp;"")&lt;&gt;"Pendiente",TRIM('DATOS'!L422&amp;"")&lt;&gt;"Por confirmar",TRIM('DATOS'!L422&amp;"")&lt;&gt;"No consta",TRIM('DATOS'!L422&amp;"")&lt;&gt;"Desconocido",TRIM('DATOS'!L422&amp;"")&lt;&gt;"Sin confirmar",TRIM('DATOS'!L422&amp;"")&lt;&gt;"Por decidir",TRIM('DATOS'!L422&amp;"")&lt;&gt;"Por comprobar"))),1,0))),2)</f>
      </c>
      <c r="P422" s="29">
        <f>IFERROR(IF(N422=0,"",IF(NOT(Y422=1),1,IF('REFERENCIAS'!$Q$8&lt;&gt;1,2,IF(ABS('DATOS'!J422-ROUND('DATOS'!G422*'DATOS'!H422,'REFERENCIAS'!$K$8))&gt;0.00000001,2,IF('DATOS'!O422="No existe",IF(LEN(TRIM('DATOS'!I422&amp;""))=0,0,2),IF('DATOS'!O422="Comparamos",IF(LEN(TRIM('DATOS'!I422&amp;""))=0,1,IF(ISNUMBER('DATOS'!I422),IF(ABS('DATOS'!H422-'DATOS'!I422)&gt;0.00000001,2,0),2)),1)))))),2)</f>
      </c>
      <c r="Q422" s="29">
        <f>IFERROR(IF(N422=0,"",IF(NOT(Y422=1),1,IF('DATOS'!K422="Sin valorar",2,IF('DATOS'!G422=0,1,IF(OR('DATOS'!H422=0,'DATOS'!J422=0),IF(AND(OR('DATOS'!K422="Sin coste documentado",'DATOS'!K422="Incluido en otra partida"),AND(LEN(TRIM('DATOS'!L422&amp;""))&gt;0,TRIM('DATOS'!L422&amp;"")&lt;&gt;"Pendiente",TRIM('DATOS'!L422&amp;"")&lt;&gt;"Por confirmar",TRIM('DATOS'!L422&amp;"")&lt;&gt;"No consta",TRIM('DATOS'!L422&amp;"")&lt;&gt;"Desconocido",TRIM('DATOS'!L422&amp;"")&lt;&gt;"Sin confirmar",TRIM('DATOS'!L422&amp;"")&lt;&gt;"Por decidir",TRIM('DATOS'!L422&amp;"")&lt;&gt;"Por comprobar")),0,1),0))))),2)</f>
      </c>
      <c r="R422" s="29">
        <f>IFERROR(IF(N422=0,"",IF(OR(NOT(AND(LEN(TRIM('DATOS'!D422&amp;""))&gt;0,TRIM('DATOS'!D422&amp;"")&lt;&gt;"Pendiente",TRIM('DATOS'!D422&amp;"")&lt;&gt;"Por confirmar",TRIM('DATOS'!D422&amp;"")&lt;&gt;"No consta",TRIM('DATOS'!D422&amp;"")&lt;&gt;"Desconocido",TRIM('DATOS'!D422&amp;"")&lt;&gt;"Sin confirmar",TRIM('DATOS'!D422&amp;"")&lt;&gt;"Por decidir",TRIM('DATOS'!D422&amp;"")&lt;&gt;"Por comprobar")),NOT(AND(LEN(TRIM('DATOS'!E422&amp;""))&gt;0,TRIM('DATOS'!E422&amp;"")&lt;&gt;"Pendiente",TRIM('DATOS'!E422&amp;"")&lt;&gt;"Por confirmar",TRIM('DATOS'!E422&amp;"")&lt;&gt;"No consta",TRIM('DATOS'!E422&amp;"")&lt;&gt;"Desconocido",TRIM('DATOS'!E422&amp;"")&lt;&gt;"Sin confirmar",TRIM('DATOS'!E422&amp;"")&lt;&gt;"Por decidir",TRIM('DATOS'!E422&amp;"")&lt;&gt;"Por comprobar"))),2,IF('DATOS'!M422="No",2,IF('DATOS'!M422="Sí",0,IF(OR('DATOS'!D422&lt;&gt;'DATOS'!E422,LEN('DATOS'!E422)&gt;300,RIGHT(TRIM('DATOS'!E422),3)="...",RIGHT(TRIM('DATOS'!E422),1)="…"),1,0))))),2)</f>
      </c>
      <c r="S422" s="29">
        <f>IFERROR(IF(N422=0,"",IF('REFERENCIAS'!$Q$8&lt;&gt;1,2,IF(NOT(Y422=1),1,IF(OR(ABS('DATOS'!G422-ROUND('DATOS'!G422,'REFERENCIAS'!$E$8))&gt;0.00000001,ABS('DATOS'!H422-ROUND('DATOS'!H422,'REFERENCIAS'!$H$8))&gt;0.00000001,ABS('DATOS'!J422-ROUND('DATOS'!J422,'REFERENCIAS'!$K$8))&gt;0.00000001,IF(ISNUMBER('DATOS'!I422),ABS('DATOS'!I422-ROUND('DATOS'!I422,'REFERENCIAS'!$H$8))&gt;0.00000001,FALSE)),1,0)))),2)</f>
      </c>
      <c r="T422" s="29">
        <f>IFERROR(IF(N422=0,"",IF(NOT(AND(LEN(TRIM('DATOS'!F422&amp;""))&gt;0,TRIM('DATOS'!F422&amp;"")&lt;&gt;"Pendiente",TRIM('DATOS'!F422&amp;"")&lt;&gt;"Por confirmar",TRIM('DATOS'!F422&amp;"")&lt;&gt;"No consta",TRIM('DATOS'!F422&amp;"")&lt;&gt;"Desconocido",TRIM('DATOS'!F422&amp;"")&lt;&gt;"Sin confirmar",TRIM('DATOS'!F422&amp;"")&lt;&gt;"Por decidir",TRIM('DATOS'!F422&amp;"")&lt;&gt;"Por comprobar")),2,IF(COUNTIFS('REFERENCIAS'!$T$15:$T$34,"ID:"&amp;SUBSTITUTE(SUBSTITUTE(SUBSTITUTE(SUBSTITUTE(UPPER(TRIM('DATOS'!F422&amp;"")),"!","!E"),"*","!A"),"?","!B"),"~","!C"),'REFERENCIAS'!$H$15:$H$34,"&lt;&gt;")&gt;0,0,1))),2)</f>
      </c>
      <c r="U422" s="29" t="str">
        <f>'DATOS'!R422</f>
        <v>ID:</v>
      </c>
      <c r="V422" s="29" t="str">
        <f>'DATOS'!S422</f>
        <v>ID:</v>
      </c>
      <c r="W422" s="29" t="n">
        <f>IF(N422=0,0,COUNTIFS('REFERENCIAS'!$R$15:$R$64,U422))</f>
        <v>0</v>
      </c>
      <c r="X422" s="29" t="n">
        <f>IF(N422=0,0,COUNTIFS('DATOS'!$R$10:$R$509,U422,'DATOS'!$S$10:$S$509,V422))</f>
        <v>0</v>
      </c>
      <c r="Y422" s="29" t="n">
        <f>IF(AND(ISNUMBER('DATOS'!G422),ISNUMBER('DATOS'!H422),ISNUMBER('DATOS'!J422)),1,0)</f>
        <v>0</v>
      </c>
    </row>
    <row r="423" ht="64" customHeight="1">
      <c r="B423" s="26">
        <f>IF(N423=1,414,"")</f>
      </c>
      <c r="C423" s="26">
        <f>IF(AND(N423=1,LEN(TRIM('DATOS'!B423&amp;""))&gt;0),'DATOS'!B423,"")</f>
      </c>
      <c r="D423" s="26">
        <f>IF(AND(N423=1,LEN(TRIM('DATOS'!C423&amp;""))&gt;0),'DATOS'!C423,"")</f>
      </c>
      <c r="E423" s="26">
        <f>IF(NOT(ISNUMBER(P423)),"",IF(P423=2,"ROJO",IF(P423=1,"ÁMBAR","VERDE")))</f>
      </c>
      <c r="F423" s="26">
        <f>IF(NOT(ISNUMBER(Q423)),"",IF(Q423=2,"ROJO",IF(Q423=1,"ÁMBAR","VERDE")))</f>
      </c>
      <c r="G423" s="26">
        <f>IF(NOT(ISNUMBER(R423)),"",IF(R423=2,"ROJO",IF(R423=1,"ÁMBAR","VERDE")))</f>
      </c>
      <c r="H423" s="26">
        <f>IF(NOT(ISNUMBER(S423)),"",IF(S423=2,"ROJO",IF(S423=1,"ÁMBAR","VERDE")))</f>
      </c>
      <c r="I423" s="26">
        <f>IF(NOT(ISNUMBER(T423)),"",IF(T423=2,"ROJO",IF(T423=1,"ÁMBAR","VERDE")))</f>
      </c>
      <c r="J423" s="26">
        <f>IF(NOT(ISNUMBER(O423)),"",IF(O423=2,"ROJO",IF(O423=1,"ÁMBAR","VERDE")))</f>
      </c>
      <c r="K423" s="26">
        <f>IFERROR(IF(AND(N423=1,LEN(TRIM('DATOS'!N423&amp;""))&gt;0),'DATOS'!N423,""),"Hay una entrada con error. Corregimos el dato antes de cerrar la comprobación.")</f>
      </c>
      <c r="L423" s="26">
        <f>IFERROR(IF(N423=0,"",IF(O423&gt;0,"Completamos datos, claves o motivo. ","")&amp;IF(P423&gt;0,"Cotejamos precios e importe. ","")&amp;IF(Q423&gt;0,"Aclaramos el cero. ","")&amp;IF(R423&gt;0,"Comprobamos el texto. ","")&amp;IF(S423&gt;0,"Revisamos decimales visibles. ","")&amp;IF(T423&gt;0,"Confirmamos la unidad.","")),"Hay una entrada con error. Corregimos el dato antes de cerrar la comprobación.")</f>
      </c>
      <c r="N423" s="29" t="n">
        <f>IF(COUNTA('DATOS'!B423:O423)&gt;0,1,0)</f>
        <v>0</v>
      </c>
      <c r="O423" s="29">
        <f>IFERROR(IF(N423=0,"",IF(OR(NOT(AND(LEN(TRIM('DATOS'!B423&amp;""))&gt;0,TRIM('DATOS'!B423&amp;"")&lt;&gt;"Pendiente",TRIM('DATOS'!B423&amp;"")&lt;&gt;"Por confirmar",TRIM('DATOS'!B423&amp;"")&lt;&gt;"No consta",TRIM('DATOS'!B423&amp;"")&lt;&gt;"Desconocido",TRIM('DATOS'!B423&amp;"")&lt;&gt;"Sin confirmar",TRIM('DATOS'!B423&amp;"")&lt;&gt;"Por decidir",TRIM('DATOS'!B423&amp;"")&lt;&gt;"Por comprobar")),NOT(AND(LEN(TRIM('DATOS'!C423&amp;""))&gt;0,TRIM('DATOS'!C423&amp;"")&lt;&gt;"Pendiente",TRIM('DATOS'!C423&amp;"")&lt;&gt;"Por confirmar",TRIM('DATOS'!C423&amp;"")&lt;&gt;"No consta",TRIM('DATOS'!C423&amp;"")&lt;&gt;"Desconocido",TRIM('DATOS'!C423&amp;"")&lt;&gt;"Sin confirmar",TRIM('DATOS'!C423&amp;"")&lt;&gt;"Por decidir",TRIM('DATOS'!C423&amp;"")&lt;&gt;"Por comprobar")),NOT(AND(LEN(TRIM('DATOS'!D423&amp;""))&gt;0,TRIM('DATOS'!D423&amp;"")&lt;&gt;"Pendiente",TRIM('DATOS'!D423&amp;"")&lt;&gt;"Por confirmar",TRIM('DATOS'!D423&amp;"")&lt;&gt;"No consta",TRIM('DATOS'!D423&amp;"")&lt;&gt;"Desconocido",TRIM('DATOS'!D423&amp;"")&lt;&gt;"Sin confirmar",TRIM('DATOS'!D423&amp;"")&lt;&gt;"Por decidir",TRIM('DATOS'!D423&amp;"")&lt;&gt;"Por comprobar")),NOT(AND(LEN(TRIM('DATOS'!E423&amp;""))&gt;0,TRIM('DATOS'!E423&amp;"")&lt;&gt;"Pendiente",TRIM('DATOS'!E423&amp;"")&lt;&gt;"Por confirmar",TRIM('DATOS'!E423&amp;"")&lt;&gt;"No consta",TRIM('DATOS'!E423&amp;"")&lt;&gt;"Desconocido",TRIM('DATOS'!E423&amp;"")&lt;&gt;"Sin confirmar",TRIM('DATOS'!E423&amp;"")&lt;&gt;"Por decidir",TRIM('DATOS'!E423&amp;"")&lt;&gt;"Por comprobar")),NOT(AND(LEN(TRIM('DATOS'!F423&amp;""))&gt;0,TRIM('DATOS'!F423&amp;"")&lt;&gt;"Pendiente",TRIM('DATOS'!F423&amp;"")&lt;&gt;"Por confirmar",TRIM('DATOS'!F423&amp;"")&lt;&gt;"No consta",TRIM('DATOS'!F423&amp;"")&lt;&gt;"Desconocido",TRIM('DATOS'!F423&amp;"")&lt;&gt;"Sin confirmar",TRIM('DATOS'!F423&amp;"")&lt;&gt;"Por decidir",TRIM('DATOS'!F423&amp;"")&lt;&gt;"Por comprobar")),NOT(AND(LEN(TRIM('DATOS'!N423&amp;""))&gt;0,TRIM('DATOS'!N423&amp;"")&lt;&gt;"Pendiente",TRIM('DATOS'!N423&amp;"")&lt;&gt;"Por confirmar",TRIM('DATOS'!N423&amp;"")&lt;&gt;"No consta",TRIM('DATOS'!N423&amp;"")&lt;&gt;"Desconocido",TRIM('DATOS'!N423&amp;"")&lt;&gt;"Sin confirmar",TRIM('DATOS'!N423&amp;"")&lt;&gt;"Por decidir",TRIM('DATOS'!N423&amp;"")&lt;&gt;"Por comprobar")),NOT(Y423=1),W423&lt;&gt;1,X423&gt;1,NOT(OR(LEN(TRIM('DATOS'!K423&amp;""))=0,'DATOS'!K423="Sin valorar",'DATOS'!K423="Sin coste documentado",'DATOS'!K423="Incluido en otra partida",'DATOS'!K423="Por confirmar")),NOT(OR(LEN(TRIM('DATOS'!M423&amp;""))=0,'DATOS'!M423="Sí",'DATOS'!M423="No",'DATOS'!M423="Por confirmar")),NOT(OR(LEN(TRIM('DATOS'!O423&amp;""))=0,'DATOS'!O423="Comparamos",'DATOS'!O423="No existe",'DATOS'!O423="Por confirmar"))),2,IF(AND(OR('DATOS'!G423&lt;0,'DATOS'!H423&lt;0,'DATOS'!J423&lt;0),NOT(AND(LEN(TRIM('DATOS'!L423&amp;""))&gt;0,TRIM('DATOS'!L423&amp;"")&lt;&gt;"Pendiente",TRIM('DATOS'!L423&amp;"")&lt;&gt;"Por confirmar",TRIM('DATOS'!L423&amp;"")&lt;&gt;"No consta",TRIM('DATOS'!L423&amp;"")&lt;&gt;"Desconocido",TRIM('DATOS'!L423&amp;"")&lt;&gt;"Sin confirmar",TRIM('DATOS'!L423&amp;"")&lt;&gt;"Por decidir",TRIM('DATOS'!L423&amp;"")&lt;&gt;"Por comprobar"))),1,0))),2)</f>
      </c>
      <c r="P423" s="29">
        <f>IFERROR(IF(N423=0,"",IF(NOT(Y423=1),1,IF('REFERENCIAS'!$Q$8&lt;&gt;1,2,IF(ABS('DATOS'!J423-ROUND('DATOS'!G423*'DATOS'!H423,'REFERENCIAS'!$K$8))&gt;0.00000001,2,IF('DATOS'!O423="No existe",IF(LEN(TRIM('DATOS'!I423&amp;""))=0,0,2),IF('DATOS'!O423="Comparamos",IF(LEN(TRIM('DATOS'!I423&amp;""))=0,1,IF(ISNUMBER('DATOS'!I423),IF(ABS('DATOS'!H423-'DATOS'!I423)&gt;0.00000001,2,0),2)),1)))))),2)</f>
      </c>
      <c r="Q423" s="29">
        <f>IFERROR(IF(N423=0,"",IF(NOT(Y423=1),1,IF('DATOS'!K423="Sin valorar",2,IF('DATOS'!G423=0,1,IF(OR('DATOS'!H423=0,'DATOS'!J423=0),IF(AND(OR('DATOS'!K423="Sin coste documentado",'DATOS'!K423="Incluido en otra partida"),AND(LEN(TRIM('DATOS'!L423&amp;""))&gt;0,TRIM('DATOS'!L423&amp;"")&lt;&gt;"Pendiente",TRIM('DATOS'!L423&amp;"")&lt;&gt;"Por confirmar",TRIM('DATOS'!L423&amp;"")&lt;&gt;"No consta",TRIM('DATOS'!L423&amp;"")&lt;&gt;"Desconocido",TRIM('DATOS'!L423&amp;"")&lt;&gt;"Sin confirmar",TRIM('DATOS'!L423&amp;"")&lt;&gt;"Por decidir",TRIM('DATOS'!L423&amp;"")&lt;&gt;"Por comprobar")),0,1),0))))),2)</f>
      </c>
      <c r="R423" s="29">
        <f>IFERROR(IF(N423=0,"",IF(OR(NOT(AND(LEN(TRIM('DATOS'!D423&amp;""))&gt;0,TRIM('DATOS'!D423&amp;"")&lt;&gt;"Pendiente",TRIM('DATOS'!D423&amp;"")&lt;&gt;"Por confirmar",TRIM('DATOS'!D423&amp;"")&lt;&gt;"No consta",TRIM('DATOS'!D423&amp;"")&lt;&gt;"Desconocido",TRIM('DATOS'!D423&amp;"")&lt;&gt;"Sin confirmar",TRIM('DATOS'!D423&amp;"")&lt;&gt;"Por decidir",TRIM('DATOS'!D423&amp;"")&lt;&gt;"Por comprobar")),NOT(AND(LEN(TRIM('DATOS'!E423&amp;""))&gt;0,TRIM('DATOS'!E423&amp;"")&lt;&gt;"Pendiente",TRIM('DATOS'!E423&amp;"")&lt;&gt;"Por confirmar",TRIM('DATOS'!E423&amp;"")&lt;&gt;"No consta",TRIM('DATOS'!E423&amp;"")&lt;&gt;"Desconocido",TRIM('DATOS'!E423&amp;"")&lt;&gt;"Sin confirmar",TRIM('DATOS'!E423&amp;"")&lt;&gt;"Por decidir",TRIM('DATOS'!E423&amp;"")&lt;&gt;"Por comprobar"))),2,IF('DATOS'!M423="No",2,IF('DATOS'!M423="Sí",0,IF(OR('DATOS'!D423&lt;&gt;'DATOS'!E423,LEN('DATOS'!E423)&gt;300,RIGHT(TRIM('DATOS'!E423),3)="...",RIGHT(TRIM('DATOS'!E423),1)="…"),1,0))))),2)</f>
      </c>
      <c r="S423" s="29">
        <f>IFERROR(IF(N423=0,"",IF('REFERENCIAS'!$Q$8&lt;&gt;1,2,IF(NOT(Y423=1),1,IF(OR(ABS('DATOS'!G423-ROUND('DATOS'!G423,'REFERENCIAS'!$E$8))&gt;0.00000001,ABS('DATOS'!H423-ROUND('DATOS'!H423,'REFERENCIAS'!$H$8))&gt;0.00000001,ABS('DATOS'!J423-ROUND('DATOS'!J423,'REFERENCIAS'!$K$8))&gt;0.00000001,IF(ISNUMBER('DATOS'!I423),ABS('DATOS'!I423-ROUND('DATOS'!I423,'REFERENCIAS'!$H$8))&gt;0.00000001,FALSE)),1,0)))),2)</f>
      </c>
      <c r="T423" s="29">
        <f>IFERROR(IF(N423=0,"",IF(NOT(AND(LEN(TRIM('DATOS'!F423&amp;""))&gt;0,TRIM('DATOS'!F423&amp;"")&lt;&gt;"Pendiente",TRIM('DATOS'!F423&amp;"")&lt;&gt;"Por confirmar",TRIM('DATOS'!F423&amp;"")&lt;&gt;"No consta",TRIM('DATOS'!F423&amp;"")&lt;&gt;"Desconocido",TRIM('DATOS'!F423&amp;"")&lt;&gt;"Sin confirmar",TRIM('DATOS'!F423&amp;"")&lt;&gt;"Por decidir",TRIM('DATOS'!F423&amp;"")&lt;&gt;"Por comprobar")),2,IF(COUNTIFS('REFERENCIAS'!$T$15:$T$34,"ID:"&amp;SUBSTITUTE(SUBSTITUTE(SUBSTITUTE(SUBSTITUTE(UPPER(TRIM('DATOS'!F423&amp;"")),"!","!E"),"*","!A"),"?","!B"),"~","!C"),'REFERENCIAS'!$H$15:$H$34,"&lt;&gt;")&gt;0,0,1))),2)</f>
      </c>
      <c r="U423" s="29" t="str">
        <f>'DATOS'!R423</f>
        <v>ID:</v>
      </c>
      <c r="V423" s="29" t="str">
        <f>'DATOS'!S423</f>
        <v>ID:</v>
      </c>
      <c r="W423" s="29" t="n">
        <f>IF(N423=0,0,COUNTIFS('REFERENCIAS'!$R$15:$R$64,U423))</f>
        <v>0</v>
      </c>
      <c r="X423" s="29" t="n">
        <f>IF(N423=0,0,COUNTIFS('DATOS'!$R$10:$R$509,U423,'DATOS'!$S$10:$S$509,V423))</f>
        <v>0</v>
      </c>
      <c r="Y423" s="29" t="n">
        <f>IF(AND(ISNUMBER('DATOS'!G423),ISNUMBER('DATOS'!H423),ISNUMBER('DATOS'!J423)),1,0)</f>
        <v>0</v>
      </c>
    </row>
    <row r="424" ht="64" customHeight="1">
      <c r="B424" s="26">
        <f>IF(N424=1,415,"")</f>
      </c>
      <c r="C424" s="26">
        <f>IF(AND(N424=1,LEN(TRIM('DATOS'!B424&amp;""))&gt;0),'DATOS'!B424,"")</f>
      </c>
      <c r="D424" s="26">
        <f>IF(AND(N424=1,LEN(TRIM('DATOS'!C424&amp;""))&gt;0),'DATOS'!C424,"")</f>
      </c>
      <c r="E424" s="26">
        <f>IF(NOT(ISNUMBER(P424)),"",IF(P424=2,"ROJO",IF(P424=1,"ÁMBAR","VERDE")))</f>
      </c>
      <c r="F424" s="26">
        <f>IF(NOT(ISNUMBER(Q424)),"",IF(Q424=2,"ROJO",IF(Q424=1,"ÁMBAR","VERDE")))</f>
      </c>
      <c r="G424" s="26">
        <f>IF(NOT(ISNUMBER(R424)),"",IF(R424=2,"ROJO",IF(R424=1,"ÁMBAR","VERDE")))</f>
      </c>
      <c r="H424" s="26">
        <f>IF(NOT(ISNUMBER(S424)),"",IF(S424=2,"ROJO",IF(S424=1,"ÁMBAR","VERDE")))</f>
      </c>
      <c r="I424" s="26">
        <f>IF(NOT(ISNUMBER(T424)),"",IF(T424=2,"ROJO",IF(T424=1,"ÁMBAR","VERDE")))</f>
      </c>
      <c r="J424" s="26">
        <f>IF(NOT(ISNUMBER(O424)),"",IF(O424=2,"ROJO",IF(O424=1,"ÁMBAR","VERDE")))</f>
      </c>
      <c r="K424" s="26">
        <f>IFERROR(IF(AND(N424=1,LEN(TRIM('DATOS'!N424&amp;""))&gt;0),'DATOS'!N424,""),"Hay una entrada con error. Corregimos el dato antes de cerrar la comprobación.")</f>
      </c>
      <c r="L424" s="26">
        <f>IFERROR(IF(N424=0,"",IF(O424&gt;0,"Completamos datos, claves o motivo. ","")&amp;IF(P424&gt;0,"Cotejamos precios e importe. ","")&amp;IF(Q424&gt;0,"Aclaramos el cero. ","")&amp;IF(R424&gt;0,"Comprobamos el texto. ","")&amp;IF(S424&gt;0,"Revisamos decimales visibles. ","")&amp;IF(T424&gt;0,"Confirmamos la unidad.","")),"Hay una entrada con error. Corregimos el dato antes de cerrar la comprobación.")</f>
      </c>
      <c r="N424" s="29" t="n">
        <f>IF(COUNTA('DATOS'!B424:O424)&gt;0,1,0)</f>
        <v>0</v>
      </c>
      <c r="O424" s="29">
        <f>IFERROR(IF(N424=0,"",IF(OR(NOT(AND(LEN(TRIM('DATOS'!B424&amp;""))&gt;0,TRIM('DATOS'!B424&amp;"")&lt;&gt;"Pendiente",TRIM('DATOS'!B424&amp;"")&lt;&gt;"Por confirmar",TRIM('DATOS'!B424&amp;"")&lt;&gt;"No consta",TRIM('DATOS'!B424&amp;"")&lt;&gt;"Desconocido",TRIM('DATOS'!B424&amp;"")&lt;&gt;"Sin confirmar",TRIM('DATOS'!B424&amp;"")&lt;&gt;"Por decidir",TRIM('DATOS'!B424&amp;"")&lt;&gt;"Por comprobar")),NOT(AND(LEN(TRIM('DATOS'!C424&amp;""))&gt;0,TRIM('DATOS'!C424&amp;"")&lt;&gt;"Pendiente",TRIM('DATOS'!C424&amp;"")&lt;&gt;"Por confirmar",TRIM('DATOS'!C424&amp;"")&lt;&gt;"No consta",TRIM('DATOS'!C424&amp;"")&lt;&gt;"Desconocido",TRIM('DATOS'!C424&amp;"")&lt;&gt;"Sin confirmar",TRIM('DATOS'!C424&amp;"")&lt;&gt;"Por decidir",TRIM('DATOS'!C424&amp;"")&lt;&gt;"Por comprobar")),NOT(AND(LEN(TRIM('DATOS'!D424&amp;""))&gt;0,TRIM('DATOS'!D424&amp;"")&lt;&gt;"Pendiente",TRIM('DATOS'!D424&amp;"")&lt;&gt;"Por confirmar",TRIM('DATOS'!D424&amp;"")&lt;&gt;"No consta",TRIM('DATOS'!D424&amp;"")&lt;&gt;"Desconocido",TRIM('DATOS'!D424&amp;"")&lt;&gt;"Sin confirmar",TRIM('DATOS'!D424&amp;"")&lt;&gt;"Por decidir",TRIM('DATOS'!D424&amp;"")&lt;&gt;"Por comprobar")),NOT(AND(LEN(TRIM('DATOS'!E424&amp;""))&gt;0,TRIM('DATOS'!E424&amp;"")&lt;&gt;"Pendiente",TRIM('DATOS'!E424&amp;"")&lt;&gt;"Por confirmar",TRIM('DATOS'!E424&amp;"")&lt;&gt;"No consta",TRIM('DATOS'!E424&amp;"")&lt;&gt;"Desconocido",TRIM('DATOS'!E424&amp;"")&lt;&gt;"Sin confirmar",TRIM('DATOS'!E424&amp;"")&lt;&gt;"Por decidir",TRIM('DATOS'!E424&amp;"")&lt;&gt;"Por comprobar")),NOT(AND(LEN(TRIM('DATOS'!F424&amp;""))&gt;0,TRIM('DATOS'!F424&amp;"")&lt;&gt;"Pendiente",TRIM('DATOS'!F424&amp;"")&lt;&gt;"Por confirmar",TRIM('DATOS'!F424&amp;"")&lt;&gt;"No consta",TRIM('DATOS'!F424&amp;"")&lt;&gt;"Desconocido",TRIM('DATOS'!F424&amp;"")&lt;&gt;"Sin confirmar",TRIM('DATOS'!F424&amp;"")&lt;&gt;"Por decidir",TRIM('DATOS'!F424&amp;"")&lt;&gt;"Por comprobar")),NOT(AND(LEN(TRIM('DATOS'!N424&amp;""))&gt;0,TRIM('DATOS'!N424&amp;"")&lt;&gt;"Pendiente",TRIM('DATOS'!N424&amp;"")&lt;&gt;"Por confirmar",TRIM('DATOS'!N424&amp;"")&lt;&gt;"No consta",TRIM('DATOS'!N424&amp;"")&lt;&gt;"Desconocido",TRIM('DATOS'!N424&amp;"")&lt;&gt;"Sin confirmar",TRIM('DATOS'!N424&amp;"")&lt;&gt;"Por decidir",TRIM('DATOS'!N424&amp;"")&lt;&gt;"Por comprobar")),NOT(Y424=1),W424&lt;&gt;1,X424&gt;1,NOT(OR(LEN(TRIM('DATOS'!K424&amp;""))=0,'DATOS'!K424="Sin valorar",'DATOS'!K424="Sin coste documentado",'DATOS'!K424="Incluido en otra partida",'DATOS'!K424="Por confirmar")),NOT(OR(LEN(TRIM('DATOS'!M424&amp;""))=0,'DATOS'!M424="Sí",'DATOS'!M424="No",'DATOS'!M424="Por confirmar")),NOT(OR(LEN(TRIM('DATOS'!O424&amp;""))=0,'DATOS'!O424="Comparamos",'DATOS'!O424="No existe",'DATOS'!O424="Por confirmar"))),2,IF(AND(OR('DATOS'!G424&lt;0,'DATOS'!H424&lt;0,'DATOS'!J424&lt;0),NOT(AND(LEN(TRIM('DATOS'!L424&amp;""))&gt;0,TRIM('DATOS'!L424&amp;"")&lt;&gt;"Pendiente",TRIM('DATOS'!L424&amp;"")&lt;&gt;"Por confirmar",TRIM('DATOS'!L424&amp;"")&lt;&gt;"No consta",TRIM('DATOS'!L424&amp;"")&lt;&gt;"Desconocido",TRIM('DATOS'!L424&amp;"")&lt;&gt;"Sin confirmar",TRIM('DATOS'!L424&amp;"")&lt;&gt;"Por decidir",TRIM('DATOS'!L424&amp;"")&lt;&gt;"Por comprobar"))),1,0))),2)</f>
      </c>
      <c r="P424" s="29">
        <f>IFERROR(IF(N424=0,"",IF(NOT(Y424=1),1,IF('REFERENCIAS'!$Q$8&lt;&gt;1,2,IF(ABS('DATOS'!J424-ROUND('DATOS'!G424*'DATOS'!H424,'REFERENCIAS'!$K$8))&gt;0.00000001,2,IF('DATOS'!O424="No existe",IF(LEN(TRIM('DATOS'!I424&amp;""))=0,0,2),IF('DATOS'!O424="Comparamos",IF(LEN(TRIM('DATOS'!I424&amp;""))=0,1,IF(ISNUMBER('DATOS'!I424),IF(ABS('DATOS'!H424-'DATOS'!I424)&gt;0.00000001,2,0),2)),1)))))),2)</f>
      </c>
      <c r="Q424" s="29">
        <f>IFERROR(IF(N424=0,"",IF(NOT(Y424=1),1,IF('DATOS'!K424="Sin valorar",2,IF('DATOS'!G424=0,1,IF(OR('DATOS'!H424=0,'DATOS'!J424=0),IF(AND(OR('DATOS'!K424="Sin coste documentado",'DATOS'!K424="Incluido en otra partida"),AND(LEN(TRIM('DATOS'!L424&amp;""))&gt;0,TRIM('DATOS'!L424&amp;"")&lt;&gt;"Pendiente",TRIM('DATOS'!L424&amp;"")&lt;&gt;"Por confirmar",TRIM('DATOS'!L424&amp;"")&lt;&gt;"No consta",TRIM('DATOS'!L424&amp;"")&lt;&gt;"Desconocido",TRIM('DATOS'!L424&amp;"")&lt;&gt;"Sin confirmar",TRIM('DATOS'!L424&amp;"")&lt;&gt;"Por decidir",TRIM('DATOS'!L424&amp;"")&lt;&gt;"Por comprobar")),0,1),0))))),2)</f>
      </c>
      <c r="R424" s="29">
        <f>IFERROR(IF(N424=0,"",IF(OR(NOT(AND(LEN(TRIM('DATOS'!D424&amp;""))&gt;0,TRIM('DATOS'!D424&amp;"")&lt;&gt;"Pendiente",TRIM('DATOS'!D424&amp;"")&lt;&gt;"Por confirmar",TRIM('DATOS'!D424&amp;"")&lt;&gt;"No consta",TRIM('DATOS'!D424&amp;"")&lt;&gt;"Desconocido",TRIM('DATOS'!D424&amp;"")&lt;&gt;"Sin confirmar",TRIM('DATOS'!D424&amp;"")&lt;&gt;"Por decidir",TRIM('DATOS'!D424&amp;"")&lt;&gt;"Por comprobar")),NOT(AND(LEN(TRIM('DATOS'!E424&amp;""))&gt;0,TRIM('DATOS'!E424&amp;"")&lt;&gt;"Pendiente",TRIM('DATOS'!E424&amp;"")&lt;&gt;"Por confirmar",TRIM('DATOS'!E424&amp;"")&lt;&gt;"No consta",TRIM('DATOS'!E424&amp;"")&lt;&gt;"Desconocido",TRIM('DATOS'!E424&amp;"")&lt;&gt;"Sin confirmar",TRIM('DATOS'!E424&amp;"")&lt;&gt;"Por decidir",TRIM('DATOS'!E424&amp;"")&lt;&gt;"Por comprobar"))),2,IF('DATOS'!M424="No",2,IF('DATOS'!M424="Sí",0,IF(OR('DATOS'!D424&lt;&gt;'DATOS'!E424,LEN('DATOS'!E424)&gt;300,RIGHT(TRIM('DATOS'!E424),3)="...",RIGHT(TRIM('DATOS'!E424),1)="…"),1,0))))),2)</f>
      </c>
      <c r="S424" s="29">
        <f>IFERROR(IF(N424=0,"",IF('REFERENCIAS'!$Q$8&lt;&gt;1,2,IF(NOT(Y424=1),1,IF(OR(ABS('DATOS'!G424-ROUND('DATOS'!G424,'REFERENCIAS'!$E$8))&gt;0.00000001,ABS('DATOS'!H424-ROUND('DATOS'!H424,'REFERENCIAS'!$H$8))&gt;0.00000001,ABS('DATOS'!J424-ROUND('DATOS'!J424,'REFERENCIAS'!$K$8))&gt;0.00000001,IF(ISNUMBER('DATOS'!I424),ABS('DATOS'!I424-ROUND('DATOS'!I424,'REFERENCIAS'!$H$8))&gt;0.00000001,FALSE)),1,0)))),2)</f>
      </c>
      <c r="T424" s="29">
        <f>IFERROR(IF(N424=0,"",IF(NOT(AND(LEN(TRIM('DATOS'!F424&amp;""))&gt;0,TRIM('DATOS'!F424&amp;"")&lt;&gt;"Pendiente",TRIM('DATOS'!F424&amp;"")&lt;&gt;"Por confirmar",TRIM('DATOS'!F424&amp;"")&lt;&gt;"No consta",TRIM('DATOS'!F424&amp;"")&lt;&gt;"Desconocido",TRIM('DATOS'!F424&amp;"")&lt;&gt;"Sin confirmar",TRIM('DATOS'!F424&amp;"")&lt;&gt;"Por decidir",TRIM('DATOS'!F424&amp;"")&lt;&gt;"Por comprobar")),2,IF(COUNTIFS('REFERENCIAS'!$T$15:$T$34,"ID:"&amp;SUBSTITUTE(SUBSTITUTE(SUBSTITUTE(SUBSTITUTE(UPPER(TRIM('DATOS'!F424&amp;"")),"!","!E"),"*","!A"),"?","!B"),"~","!C"),'REFERENCIAS'!$H$15:$H$34,"&lt;&gt;")&gt;0,0,1))),2)</f>
      </c>
      <c r="U424" s="29" t="str">
        <f>'DATOS'!R424</f>
        <v>ID:</v>
      </c>
      <c r="V424" s="29" t="str">
        <f>'DATOS'!S424</f>
        <v>ID:</v>
      </c>
      <c r="W424" s="29" t="n">
        <f>IF(N424=0,0,COUNTIFS('REFERENCIAS'!$R$15:$R$64,U424))</f>
        <v>0</v>
      </c>
      <c r="X424" s="29" t="n">
        <f>IF(N424=0,0,COUNTIFS('DATOS'!$R$10:$R$509,U424,'DATOS'!$S$10:$S$509,V424))</f>
        <v>0</v>
      </c>
      <c r="Y424" s="29" t="n">
        <f>IF(AND(ISNUMBER('DATOS'!G424),ISNUMBER('DATOS'!H424),ISNUMBER('DATOS'!J424)),1,0)</f>
        <v>0</v>
      </c>
    </row>
    <row r="425" ht="64" customHeight="1">
      <c r="B425" s="26">
        <f>IF(N425=1,416,"")</f>
      </c>
      <c r="C425" s="26">
        <f>IF(AND(N425=1,LEN(TRIM('DATOS'!B425&amp;""))&gt;0),'DATOS'!B425,"")</f>
      </c>
      <c r="D425" s="26">
        <f>IF(AND(N425=1,LEN(TRIM('DATOS'!C425&amp;""))&gt;0),'DATOS'!C425,"")</f>
      </c>
      <c r="E425" s="26">
        <f>IF(NOT(ISNUMBER(P425)),"",IF(P425=2,"ROJO",IF(P425=1,"ÁMBAR","VERDE")))</f>
      </c>
      <c r="F425" s="26">
        <f>IF(NOT(ISNUMBER(Q425)),"",IF(Q425=2,"ROJO",IF(Q425=1,"ÁMBAR","VERDE")))</f>
      </c>
      <c r="G425" s="26">
        <f>IF(NOT(ISNUMBER(R425)),"",IF(R425=2,"ROJO",IF(R425=1,"ÁMBAR","VERDE")))</f>
      </c>
      <c r="H425" s="26">
        <f>IF(NOT(ISNUMBER(S425)),"",IF(S425=2,"ROJO",IF(S425=1,"ÁMBAR","VERDE")))</f>
      </c>
      <c r="I425" s="26">
        <f>IF(NOT(ISNUMBER(T425)),"",IF(T425=2,"ROJO",IF(T425=1,"ÁMBAR","VERDE")))</f>
      </c>
      <c r="J425" s="26">
        <f>IF(NOT(ISNUMBER(O425)),"",IF(O425=2,"ROJO",IF(O425=1,"ÁMBAR","VERDE")))</f>
      </c>
      <c r="K425" s="26">
        <f>IFERROR(IF(AND(N425=1,LEN(TRIM('DATOS'!N425&amp;""))&gt;0),'DATOS'!N425,""),"Hay una entrada con error. Corregimos el dato antes de cerrar la comprobación.")</f>
      </c>
      <c r="L425" s="26">
        <f>IFERROR(IF(N425=0,"",IF(O425&gt;0,"Completamos datos, claves o motivo. ","")&amp;IF(P425&gt;0,"Cotejamos precios e importe. ","")&amp;IF(Q425&gt;0,"Aclaramos el cero. ","")&amp;IF(R425&gt;0,"Comprobamos el texto. ","")&amp;IF(S425&gt;0,"Revisamos decimales visibles. ","")&amp;IF(T425&gt;0,"Confirmamos la unidad.","")),"Hay una entrada con error. Corregimos el dato antes de cerrar la comprobación.")</f>
      </c>
      <c r="N425" s="29" t="n">
        <f>IF(COUNTA('DATOS'!B425:O425)&gt;0,1,0)</f>
        <v>0</v>
      </c>
      <c r="O425" s="29">
        <f>IFERROR(IF(N425=0,"",IF(OR(NOT(AND(LEN(TRIM('DATOS'!B425&amp;""))&gt;0,TRIM('DATOS'!B425&amp;"")&lt;&gt;"Pendiente",TRIM('DATOS'!B425&amp;"")&lt;&gt;"Por confirmar",TRIM('DATOS'!B425&amp;"")&lt;&gt;"No consta",TRIM('DATOS'!B425&amp;"")&lt;&gt;"Desconocido",TRIM('DATOS'!B425&amp;"")&lt;&gt;"Sin confirmar",TRIM('DATOS'!B425&amp;"")&lt;&gt;"Por decidir",TRIM('DATOS'!B425&amp;"")&lt;&gt;"Por comprobar")),NOT(AND(LEN(TRIM('DATOS'!C425&amp;""))&gt;0,TRIM('DATOS'!C425&amp;"")&lt;&gt;"Pendiente",TRIM('DATOS'!C425&amp;"")&lt;&gt;"Por confirmar",TRIM('DATOS'!C425&amp;"")&lt;&gt;"No consta",TRIM('DATOS'!C425&amp;"")&lt;&gt;"Desconocido",TRIM('DATOS'!C425&amp;"")&lt;&gt;"Sin confirmar",TRIM('DATOS'!C425&amp;"")&lt;&gt;"Por decidir",TRIM('DATOS'!C425&amp;"")&lt;&gt;"Por comprobar")),NOT(AND(LEN(TRIM('DATOS'!D425&amp;""))&gt;0,TRIM('DATOS'!D425&amp;"")&lt;&gt;"Pendiente",TRIM('DATOS'!D425&amp;"")&lt;&gt;"Por confirmar",TRIM('DATOS'!D425&amp;"")&lt;&gt;"No consta",TRIM('DATOS'!D425&amp;"")&lt;&gt;"Desconocido",TRIM('DATOS'!D425&amp;"")&lt;&gt;"Sin confirmar",TRIM('DATOS'!D425&amp;"")&lt;&gt;"Por decidir",TRIM('DATOS'!D425&amp;"")&lt;&gt;"Por comprobar")),NOT(AND(LEN(TRIM('DATOS'!E425&amp;""))&gt;0,TRIM('DATOS'!E425&amp;"")&lt;&gt;"Pendiente",TRIM('DATOS'!E425&amp;"")&lt;&gt;"Por confirmar",TRIM('DATOS'!E425&amp;"")&lt;&gt;"No consta",TRIM('DATOS'!E425&amp;"")&lt;&gt;"Desconocido",TRIM('DATOS'!E425&amp;"")&lt;&gt;"Sin confirmar",TRIM('DATOS'!E425&amp;"")&lt;&gt;"Por decidir",TRIM('DATOS'!E425&amp;"")&lt;&gt;"Por comprobar")),NOT(AND(LEN(TRIM('DATOS'!F425&amp;""))&gt;0,TRIM('DATOS'!F425&amp;"")&lt;&gt;"Pendiente",TRIM('DATOS'!F425&amp;"")&lt;&gt;"Por confirmar",TRIM('DATOS'!F425&amp;"")&lt;&gt;"No consta",TRIM('DATOS'!F425&amp;"")&lt;&gt;"Desconocido",TRIM('DATOS'!F425&amp;"")&lt;&gt;"Sin confirmar",TRIM('DATOS'!F425&amp;"")&lt;&gt;"Por decidir",TRIM('DATOS'!F425&amp;"")&lt;&gt;"Por comprobar")),NOT(AND(LEN(TRIM('DATOS'!N425&amp;""))&gt;0,TRIM('DATOS'!N425&amp;"")&lt;&gt;"Pendiente",TRIM('DATOS'!N425&amp;"")&lt;&gt;"Por confirmar",TRIM('DATOS'!N425&amp;"")&lt;&gt;"No consta",TRIM('DATOS'!N425&amp;"")&lt;&gt;"Desconocido",TRIM('DATOS'!N425&amp;"")&lt;&gt;"Sin confirmar",TRIM('DATOS'!N425&amp;"")&lt;&gt;"Por decidir",TRIM('DATOS'!N425&amp;"")&lt;&gt;"Por comprobar")),NOT(Y425=1),W425&lt;&gt;1,X425&gt;1,NOT(OR(LEN(TRIM('DATOS'!K425&amp;""))=0,'DATOS'!K425="Sin valorar",'DATOS'!K425="Sin coste documentado",'DATOS'!K425="Incluido en otra partida",'DATOS'!K425="Por confirmar")),NOT(OR(LEN(TRIM('DATOS'!M425&amp;""))=0,'DATOS'!M425="Sí",'DATOS'!M425="No",'DATOS'!M425="Por confirmar")),NOT(OR(LEN(TRIM('DATOS'!O425&amp;""))=0,'DATOS'!O425="Comparamos",'DATOS'!O425="No existe",'DATOS'!O425="Por confirmar"))),2,IF(AND(OR('DATOS'!G425&lt;0,'DATOS'!H425&lt;0,'DATOS'!J425&lt;0),NOT(AND(LEN(TRIM('DATOS'!L425&amp;""))&gt;0,TRIM('DATOS'!L425&amp;"")&lt;&gt;"Pendiente",TRIM('DATOS'!L425&amp;"")&lt;&gt;"Por confirmar",TRIM('DATOS'!L425&amp;"")&lt;&gt;"No consta",TRIM('DATOS'!L425&amp;"")&lt;&gt;"Desconocido",TRIM('DATOS'!L425&amp;"")&lt;&gt;"Sin confirmar",TRIM('DATOS'!L425&amp;"")&lt;&gt;"Por decidir",TRIM('DATOS'!L425&amp;"")&lt;&gt;"Por comprobar"))),1,0))),2)</f>
      </c>
      <c r="P425" s="29">
        <f>IFERROR(IF(N425=0,"",IF(NOT(Y425=1),1,IF('REFERENCIAS'!$Q$8&lt;&gt;1,2,IF(ABS('DATOS'!J425-ROUND('DATOS'!G425*'DATOS'!H425,'REFERENCIAS'!$K$8))&gt;0.00000001,2,IF('DATOS'!O425="No existe",IF(LEN(TRIM('DATOS'!I425&amp;""))=0,0,2),IF('DATOS'!O425="Comparamos",IF(LEN(TRIM('DATOS'!I425&amp;""))=0,1,IF(ISNUMBER('DATOS'!I425),IF(ABS('DATOS'!H425-'DATOS'!I425)&gt;0.00000001,2,0),2)),1)))))),2)</f>
      </c>
      <c r="Q425" s="29">
        <f>IFERROR(IF(N425=0,"",IF(NOT(Y425=1),1,IF('DATOS'!K425="Sin valorar",2,IF('DATOS'!G425=0,1,IF(OR('DATOS'!H425=0,'DATOS'!J425=0),IF(AND(OR('DATOS'!K425="Sin coste documentado",'DATOS'!K425="Incluido en otra partida"),AND(LEN(TRIM('DATOS'!L425&amp;""))&gt;0,TRIM('DATOS'!L425&amp;"")&lt;&gt;"Pendiente",TRIM('DATOS'!L425&amp;"")&lt;&gt;"Por confirmar",TRIM('DATOS'!L425&amp;"")&lt;&gt;"No consta",TRIM('DATOS'!L425&amp;"")&lt;&gt;"Desconocido",TRIM('DATOS'!L425&amp;"")&lt;&gt;"Sin confirmar",TRIM('DATOS'!L425&amp;"")&lt;&gt;"Por decidir",TRIM('DATOS'!L425&amp;"")&lt;&gt;"Por comprobar")),0,1),0))))),2)</f>
      </c>
      <c r="R425" s="29">
        <f>IFERROR(IF(N425=0,"",IF(OR(NOT(AND(LEN(TRIM('DATOS'!D425&amp;""))&gt;0,TRIM('DATOS'!D425&amp;"")&lt;&gt;"Pendiente",TRIM('DATOS'!D425&amp;"")&lt;&gt;"Por confirmar",TRIM('DATOS'!D425&amp;"")&lt;&gt;"No consta",TRIM('DATOS'!D425&amp;"")&lt;&gt;"Desconocido",TRIM('DATOS'!D425&amp;"")&lt;&gt;"Sin confirmar",TRIM('DATOS'!D425&amp;"")&lt;&gt;"Por decidir",TRIM('DATOS'!D425&amp;"")&lt;&gt;"Por comprobar")),NOT(AND(LEN(TRIM('DATOS'!E425&amp;""))&gt;0,TRIM('DATOS'!E425&amp;"")&lt;&gt;"Pendiente",TRIM('DATOS'!E425&amp;"")&lt;&gt;"Por confirmar",TRIM('DATOS'!E425&amp;"")&lt;&gt;"No consta",TRIM('DATOS'!E425&amp;"")&lt;&gt;"Desconocido",TRIM('DATOS'!E425&amp;"")&lt;&gt;"Sin confirmar",TRIM('DATOS'!E425&amp;"")&lt;&gt;"Por decidir",TRIM('DATOS'!E425&amp;"")&lt;&gt;"Por comprobar"))),2,IF('DATOS'!M425="No",2,IF('DATOS'!M425="Sí",0,IF(OR('DATOS'!D425&lt;&gt;'DATOS'!E425,LEN('DATOS'!E425)&gt;300,RIGHT(TRIM('DATOS'!E425),3)="...",RIGHT(TRIM('DATOS'!E425),1)="…"),1,0))))),2)</f>
      </c>
      <c r="S425" s="29">
        <f>IFERROR(IF(N425=0,"",IF('REFERENCIAS'!$Q$8&lt;&gt;1,2,IF(NOT(Y425=1),1,IF(OR(ABS('DATOS'!G425-ROUND('DATOS'!G425,'REFERENCIAS'!$E$8))&gt;0.00000001,ABS('DATOS'!H425-ROUND('DATOS'!H425,'REFERENCIAS'!$H$8))&gt;0.00000001,ABS('DATOS'!J425-ROUND('DATOS'!J425,'REFERENCIAS'!$K$8))&gt;0.00000001,IF(ISNUMBER('DATOS'!I425),ABS('DATOS'!I425-ROUND('DATOS'!I425,'REFERENCIAS'!$H$8))&gt;0.00000001,FALSE)),1,0)))),2)</f>
      </c>
      <c r="T425" s="29">
        <f>IFERROR(IF(N425=0,"",IF(NOT(AND(LEN(TRIM('DATOS'!F425&amp;""))&gt;0,TRIM('DATOS'!F425&amp;"")&lt;&gt;"Pendiente",TRIM('DATOS'!F425&amp;"")&lt;&gt;"Por confirmar",TRIM('DATOS'!F425&amp;"")&lt;&gt;"No consta",TRIM('DATOS'!F425&amp;"")&lt;&gt;"Desconocido",TRIM('DATOS'!F425&amp;"")&lt;&gt;"Sin confirmar",TRIM('DATOS'!F425&amp;"")&lt;&gt;"Por decidir",TRIM('DATOS'!F425&amp;"")&lt;&gt;"Por comprobar")),2,IF(COUNTIFS('REFERENCIAS'!$T$15:$T$34,"ID:"&amp;SUBSTITUTE(SUBSTITUTE(SUBSTITUTE(SUBSTITUTE(UPPER(TRIM('DATOS'!F425&amp;"")),"!","!E"),"*","!A"),"?","!B"),"~","!C"),'REFERENCIAS'!$H$15:$H$34,"&lt;&gt;")&gt;0,0,1))),2)</f>
      </c>
      <c r="U425" s="29" t="str">
        <f>'DATOS'!R425</f>
        <v>ID:</v>
      </c>
      <c r="V425" s="29" t="str">
        <f>'DATOS'!S425</f>
        <v>ID:</v>
      </c>
      <c r="W425" s="29" t="n">
        <f>IF(N425=0,0,COUNTIFS('REFERENCIAS'!$R$15:$R$64,U425))</f>
        <v>0</v>
      </c>
      <c r="X425" s="29" t="n">
        <f>IF(N425=0,0,COUNTIFS('DATOS'!$R$10:$R$509,U425,'DATOS'!$S$10:$S$509,V425))</f>
        <v>0</v>
      </c>
      <c r="Y425" s="29" t="n">
        <f>IF(AND(ISNUMBER('DATOS'!G425),ISNUMBER('DATOS'!H425),ISNUMBER('DATOS'!J425)),1,0)</f>
        <v>0</v>
      </c>
    </row>
    <row r="426" ht="64" customHeight="1">
      <c r="B426" s="26">
        <f>IF(N426=1,417,"")</f>
      </c>
      <c r="C426" s="26">
        <f>IF(AND(N426=1,LEN(TRIM('DATOS'!B426&amp;""))&gt;0),'DATOS'!B426,"")</f>
      </c>
      <c r="D426" s="26">
        <f>IF(AND(N426=1,LEN(TRIM('DATOS'!C426&amp;""))&gt;0),'DATOS'!C426,"")</f>
      </c>
      <c r="E426" s="26">
        <f>IF(NOT(ISNUMBER(P426)),"",IF(P426=2,"ROJO",IF(P426=1,"ÁMBAR","VERDE")))</f>
      </c>
      <c r="F426" s="26">
        <f>IF(NOT(ISNUMBER(Q426)),"",IF(Q426=2,"ROJO",IF(Q426=1,"ÁMBAR","VERDE")))</f>
      </c>
      <c r="G426" s="26">
        <f>IF(NOT(ISNUMBER(R426)),"",IF(R426=2,"ROJO",IF(R426=1,"ÁMBAR","VERDE")))</f>
      </c>
      <c r="H426" s="26">
        <f>IF(NOT(ISNUMBER(S426)),"",IF(S426=2,"ROJO",IF(S426=1,"ÁMBAR","VERDE")))</f>
      </c>
      <c r="I426" s="26">
        <f>IF(NOT(ISNUMBER(T426)),"",IF(T426=2,"ROJO",IF(T426=1,"ÁMBAR","VERDE")))</f>
      </c>
      <c r="J426" s="26">
        <f>IF(NOT(ISNUMBER(O426)),"",IF(O426=2,"ROJO",IF(O426=1,"ÁMBAR","VERDE")))</f>
      </c>
      <c r="K426" s="26">
        <f>IFERROR(IF(AND(N426=1,LEN(TRIM('DATOS'!N426&amp;""))&gt;0),'DATOS'!N426,""),"Hay una entrada con error. Corregimos el dato antes de cerrar la comprobación.")</f>
      </c>
      <c r="L426" s="26">
        <f>IFERROR(IF(N426=0,"",IF(O426&gt;0,"Completamos datos, claves o motivo. ","")&amp;IF(P426&gt;0,"Cotejamos precios e importe. ","")&amp;IF(Q426&gt;0,"Aclaramos el cero. ","")&amp;IF(R426&gt;0,"Comprobamos el texto. ","")&amp;IF(S426&gt;0,"Revisamos decimales visibles. ","")&amp;IF(T426&gt;0,"Confirmamos la unidad.","")),"Hay una entrada con error. Corregimos el dato antes de cerrar la comprobación.")</f>
      </c>
      <c r="N426" s="29" t="n">
        <f>IF(COUNTA('DATOS'!B426:O426)&gt;0,1,0)</f>
        <v>0</v>
      </c>
      <c r="O426" s="29">
        <f>IFERROR(IF(N426=0,"",IF(OR(NOT(AND(LEN(TRIM('DATOS'!B426&amp;""))&gt;0,TRIM('DATOS'!B426&amp;"")&lt;&gt;"Pendiente",TRIM('DATOS'!B426&amp;"")&lt;&gt;"Por confirmar",TRIM('DATOS'!B426&amp;"")&lt;&gt;"No consta",TRIM('DATOS'!B426&amp;"")&lt;&gt;"Desconocido",TRIM('DATOS'!B426&amp;"")&lt;&gt;"Sin confirmar",TRIM('DATOS'!B426&amp;"")&lt;&gt;"Por decidir",TRIM('DATOS'!B426&amp;"")&lt;&gt;"Por comprobar")),NOT(AND(LEN(TRIM('DATOS'!C426&amp;""))&gt;0,TRIM('DATOS'!C426&amp;"")&lt;&gt;"Pendiente",TRIM('DATOS'!C426&amp;"")&lt;&gt;"Por confirmar",TRIM('DATOS'!C426&amp;"")&lt;&gt;"No consta",TRIM('DATOS'!C426&amp;"")&lt;&gt;"Desconocido",TRIM('DATOS'!C426&amp;"")&lt;&gt;"Sin confirmar",TRIM('DATOS'!C426&amp;"")&lt;&gt;"Por decidir",TRIM('DATOS'!C426&amp;"")&lt;&gt;"Por comprobar")),NOT(AND(LEN(TRIM('DATOS'!D426&amp;""))&gt;0,TRIM('DATOS'!D426&amp;"")&lt;&gt;"Pendiente",TRIM('DATOS'!D426&amp;"")&lt;&gt;"Por confirmar",TRIM('DATOS'!D426&amp;"")&lt;&gt;"No consta",TRIM('DATOS'!D426&amp;"")&lt;&gt;"Desconocido",TRIM('DATOS'!D426&amp;"")&lt;&gt;"Sin confirmar",TRIM('DATOS'!D426&amp;"")&lt;&gt;"Por decidir",TRIM('DATOS'!D426&amp;"")&lt;&gt;"Por comprobar")),NOT(AND(LEN(TRIM('DATOS'!E426&amp;""))&gt;0,TRIM('DATOS'!E426&amp;"")&lt;&gt;"Pendiente",TRIM('DATOS'!E426&amp;"")&lt;&gt;"Por confirmar",TRIM('DATOS'!E426&amp;"")&lt;&gt;"No consta",TRIM('DATOS'!E426&amp;"")&lt;&gt;"Desconocido",TRIM('DATOS'!E426&amp;"")&lt;&gt;"Sin confirmar",TRIM('DATOS'!E426&amp;"")&lt;&gt;"Por decidir",TRIM('DATOS'!E426&amp;"")&lt;&gt;"Por comprobar")),NOT(AND(LEN(TRIM('DATOS'!F426&amp;""))&gt;0,TRIM('DATOS'!F426&amp;"")&lt;&gt;"Pendiente",TRIM('DATOS'!F426&amp;"")&lt;&gt;"Por confirmar",TRIM('DATOS'!F426&amp;"")&lt;&gt;"No consta",TRIM('DATOS'!F426&amp;"")&lt;&gt;"Desconocido",TRIM('DATOS'!F426&amp;"")&lt;&gt;"Sin confirmar",TRIM('DATOS'!F426&amp;"")&lt;&gt;"Por decidir",TRIM('DATOS'!F426&amp;"")&lt;&gt;"Por comprobar")),NOT(AND(LEN(TRIM('DATOS'!N426&amp;""))&gt;0,TRIM('DATOS'!N426&amp;"")&lt;&gt;"Pendiente",TRIM('DATOS'!N426&amp;"")&lt;&gt;"Por confirmar",TRIM('DATOS'!N426&amp;"")&lt;&gt;"No consta",TRIM('DATOS'!N426&amp;"")&lt;&gt;"Desconocido",TRIM('DATOS'!N426&amp;"")&lt;&gt;"Sin confirmar",TRIM('DATOS'!N426&amp;"")&lt;&gt;"Por decidir",TRIM('DATOS'!N426&amp;"")&lt;&gt;"Por comprobar")),NOT(Y426=1),W426&lt;&gt;1,X426&gt;1,NOT(OR(LEN(TRIM('DATOS'!K426&amp;""))=0,'DATOS'!K426="Sin valorar",'DATOS'!K426="Sin coste documentado",'DATOS'!K426="Incluido en otra partida",'DATOS'!K426="Por confirmar")),NOT(OR(LEN(TRIM('DATOS'!M426&amp;""))=0,'DATOS'!M426="Sí",'DATOS'!M426="No",'DATOS'!M426="Por confirmar")),NOT(OR(LEN(TRIM('DATOS'!O426&amp;""))=0,'DATOS'!O426="Comparamos",'DATOS'!O426="No existe",'DATOS'!O426="Por confirmar"))),2,IF(AND(OR('DATOS'!G426&lt;0,'DATOS'!H426&lt;0,'DATOS'!J426&lt;0),NOT(AND(LEN(TRIM('DATOS'!L426&amp;""))&gt;0,TRIM('DATOS'!L426&amp;"")&lt;&gt;"Pendiente",TRIM('DATOS'!L426&amp;"")&lt;&gt;"Por confirmar",TRIM('DATOS'!L426&amp;"")&lt;&gt;"No consta",TRIM('DATOS'!L426&amp;"")&lt;&gt;"Desconocido",TRIM('DATOS'!L426&amp;"")&lt;&gt;"Sin confirmar",TRIM('DATOS'!L426&amp;"")&lt;&gt;"Por decidir",TRIM('DATOS'!L426&amp;"")&lt;&gt;"Por comprobar"))),1,0))),2)</f>
      </c>
      <c r="P426" s="29">
        <f>IFERROR(IF(N426=0,"",IF(NOT(Y426=1),1,IF('REFERENCIAS'!$Q$8&lt;&gt;1,2,IF(ABS('DATOS'!J426-ROUND('DATOS'!G426*'DATOS'!H426,'REFERENCIAS'!$K$8))&gt;0.00000001,2,IF('DATOS'!O426="No existe",IF(LEN(TRIM('DATOS'!I426&amp;""))=0,0,2),IF('DATOS'!O426="Comparamos",IF(LEN(TRIM('DATOS'!I426&amp;""))=0,1,IF(ISNUMBER('DATOS'!I426),IF(ABS('DATOS'!H426-'DATOS'!I426)&gt;0.00000001,2,0),2)),1)))))),2)</f>
      </c>
      <c r="Q426" s="29">
        <f>IFERROR(IF(N426=0,"",IF(NOT(Y426=1),1,IF('DATOS'!K426="Sin valorar",2,IF('DATOS'!G426=0,1,IF(OR('DATOS'!H426=0,'DATOS'!J426=0),IF(AND(OR('DATOS'!K426="Sin coste documentado",'DATOS'!K426="Incluido en otra partida"),AND(LEN(TRIM('DATOS'!L426&amp;""))&gt;0,TRIM('DATOS'!L426&amp;"")&lt;&gt;"Pendiente",TRIM('DATOS'!L426&amp;"")&lt;&gt;"Por confirmar",TRIM('DATOS'!L426&amp;"")&lt;&gt;"No consta",TRIM('DATOS'!L426&amp;"")&lt;&gt;"Desconocido",TRIM('DATOS'!L426&amp;"")&lt;&gt;"Sin confirmar",TRIM('DATOS'!L426&amp;"")&lt;&gt;"Por decidir",TRIM('DATOS'!L426&amp;"")&lt;&gt;"Por comprobar")),0,1),0))))),2)</f>
      </c>
      <c r="R426" s="29">
        <f>IFERROR(IF(N426=0,"",IF(OR(NOT(AND(LEN(TRIM('DATOS'!D426&amp;""))&gt;0,TRIM('DATOS'!D426&amp;"")&lt;&gt;"Pendiente",TRIM('DATOS'!D426&amp;"")&lt;&gt;"Por confirmar",TRIM('DATOS'!D426&amp;"")&lt;&gt;"No consta",TRIM('DATOS'!D426&amp;"")&lt;&gt;"Desconocido",TRIM('DATOS'!D426&amp;"")&lt;&gt;"Sin confirmar",TRIM('DATOS'!D426&amp;"")&lt;&gt;"Por decidir",TRIM('DATOS'!D426&amp;"")&lt;&gt;"Por comprobar")),NOT(AND(LEN(TRIM('DATOS'!E426&amp;""))&gt;0,TRIM('DATOS'!E426&amp;"")&lt;&gt;"Pendiente",TRIM('DATOS'!E426&amp;"")&lt;&gt;"Por confirmar",TRIM('DATOS'!E426&amp;"")&lt;&gt;"No consta",TRIM('DATOS'!E426&amp;"")&lt;&gt;"Desconocido",TRIM('DATOS'!E426&amp;"")&lt;&gt;"Sin confirmar",TRIM('DATOS'!E426&amp;"")&lt;&gt;"Por decidir",TRIM('DATOS'!E426&amp;"")&lt;&gt;"Por comprobar"))),2,IF('DATOS'!M426="No",2,IF('DATOS'!M426="Sí",0,IF(OR('DATOS'!D426&lt;&gt;'DATOS'!E426,LEN('DATOS'!E426)&gt;300,RIGHT(TRIM('DATOS'!E426),3)="...",RIGHT(TRIM('DATOS'!E426),1)="…"),1,0))))),2)</f>
      </c>
      <c r="S426" s="29">
        <f>IFERROR(IF(N426=0,"",IF('REFERENCIAS'!$Q$8&lt;&gt;1,2,IF(NOT(Y426=1),1,IF(OR(ABS('DATOS'!G426-ROUND('DATOS'!G426,'REFERENCIAS'!$E$8))&gt;0.00000001,ABS('DATOS'!H426-ROUND('DATOS'!H426,'REFERENCIAS'!$H$8))&gt;0.00000001,ABS('DATOS'!J426-ROUND('DATOS'!J426,'REFERENCIAS'!$K$8))&gt;0.00000001,IF(ISNUMBER('DATOS'!I426),ABS('DATOS'!I426-ROUND('DATOS'!I426,'REFERENCIAS'!$H$8))&gt;0.00000001,FALSE)),1,0)))),2)</f>
      </c>
      <c r="T426" s="29">
        <f>IFERROR(IF(N426=0,"",IF(NOT(AND(LEN(TRIM('DATOS'!F426&amp;""))&gt;0,TRIM('DATOS'!F426&amp;"")&lt;&gt;"Pendiente",TRIM('DATOS'!F426&amp;"")&lt;&gt;"Por confirmar",TRIM('DATOS'!F426&amp;"")&lt;&gt;"No consta",TRIM('DATOS'!F426&amp;"")&lt;&gt;"Desconocido",TRIM('DATOS'!F426&amp;"")&lt;&gt;"Sin confirmar",TRIM('DATOS'!F426&amp;"")&lt;&gt;"Por decidir",TRIM('DATOS'!F426&amp;"")&lt;&gt;"Por comprobar")),2,IF(COUNTIFS('REFERENCIAS'!$T$15:$T$34,"ID:"&amp;SUBSTITUTE(SUBSTITUTE(SUBSTITUTE(SUBSTITUTE(UPPER(TRIM('DATOS'!F426&amp;"")),"!","!E"),"*","!A"),"?","!B"),"~","!C"),'REFERENCIAS'!$H$15:$H$34,"&lt;&gt;")&gt;0,0,1))),2)</f>
      </c>
      <c r="U426" s="29" t="str">
        <f>'DATOS'!R426</f>
        <v>ID:</v>
      </c>
      <c r="V426" s="29" t="str">
        <f>'DATOS'!S426</f>
        <v>ID:</v>
      </c>
      <c r="W426" s="29" t="n">
        <f>IF(N426=0,0,COUNTIFS('REFERENCIAS'!$R$15:$R$64,U426))</f>
        <v>0</v>
      </c>
      <c r="X426" s="29" t="n">
        <f>IF(N426=0,0,COUNTIFS('DATOS'!$R$10:$R$509,U426,'DATOS'!$S$10:$S$509,V426))</f>
        <v>0</v>
      </c>
      <c r="Y426" s="29" t="n">
        <f>IF(AND(ISNUMBER('DATOS'!G426),ISNUMBER('DATOS'!H426),ISNUMBER('DATOS'!J426)),1,0)</f>
        <v>0</v>
      </c>
    </row>
    <row r="427" ht="64" customHeight="1">
      <c r="B427" s="26">
        <f>IF(N427=1,418,"")</f>
      </c>
      <c r="C427" s="26">
        <f>IF(AND(N427=1,LEN(TRIM('DATOS'!B427&amp;""))&gt;0),'DATOS'!B427,"")</f>
      </c>
      <c r="D427" s="26">
        <f>IF(AND(N427=1,LEN(TRIM('DATOS'!C427&amp;""))&gt;0),'DATOS'!C427,"")</f>
      </c>
      <c r="E427" s="26">
        <f>IF(NOT(ISNUMBER(P427)),"",IF(P427=2,"ROJO",IF(P427=1,"ÁMBAR","VERDE")))</f>
      </c>
      <c r="F427" s="26">
        <f>IF(NOT(ISNUMBER(Q427)),"",IF(Q427=2,"ROJO",IF(Q427=1,"ÁMBAR","VERDE")))</f>
      </c>
      <c r="G427" s="26">
        <f>IF(NOT(ISNUMBER(R427)),"",IF(R427=2,"ROJO",IF(R427=1,"ÁMBAR","VERDE")))</f>
      </c>
      <c r="H427" s="26">
        <f>IF(NOT(ISNUMBER(S427)),"",IF(S427=2,"ROJO",IF(S427=1,"ÁMBAR","VERDE")))</f>
      </c>
      <c r="I427" s="26">
        <f>IF(NOT(ISNUMBER(T427)),"",IF(T427=2,"ROJO",IF(T427=1,"ÁMBAR","VERDE")))</f>
      </c>
      <c r="J427" s="26">
        <f>IF(NOT(ISNUMBER(O427)),"",IF(O427=2,"ROJO",IF(O427=1,"ÁMBAR","VERDE")))</f>
      </c>
      <c r="K427" s="26">
        <f>IFERROR(IF(AND(N427=1,LEN(TRIM('DATOS'!N427&amp;""))&gt;0),'DATOS'!N427,""),"Hay una entrada con error. Corregimos el dato antes de cerrar la comprobación.")</f>
      </c>
      <c r="L427" s="26">
        <f>IFERROR(IF(N427=0,"",IF(O427&gt;0,"Completamos datos, claves o motivo. ","")&amp;IF(P427&gt;0,"Cotejamos precios e importe. ","")&amp;IF(Q427&gt;0,"Aclaramos el cero. ","")&amp;IF(R427&gt;0,"Comprobamos el texto. ","")&amp;IF(S427&gt;0,"Revisamos decimales visibles. ","")&amp;IF(T427&gt;0,"Confirmamos la unidad.","")),"Hay una entrada con error. Corregimos el dato antes de cerrar la comprobación.")</f>
      </c>
      <c r="N427" s="29" t="n">
        <f>IF(COUNTA('DATOS'!B427:O427)&gt;0,1,0)</f>
        <v>0</v>
      </c>
      <c r="O427" s="29">
        <f>IFERROR(IF(N427=0,"",IF(OR(NOT(AND(LEN(TRIM('DATOS'!B427&amp;""))&gt;0,TRIM('DATOS'!B427&amp;"")&lt;&gt;"Pendiente",TRIM('DATOS'!B427&amp;"")&lt;&gt;"Por confirmar",TRIM('DATOS'!B427&amp;"")&lt;&gt;"No consta",TRIM('DATOS'!B427&amp;"")&lt;&gt;"Desconocido",TRIM('DATOS'!B427&amp;"")&lt;&gt;"Sin confirmar",TRIM('DATOS'!B427&amp;"")&lt;&gt;"Por decidir",TRIM('DATOS'!B427&amp;"")&lt;&gt;"Por comprobar")),NOT(AND(LEN(TRIM('DATOS'!C427&amp;""))&gt;0,TRIM('DATOS'!C427&amp;"")&lt;&gt;"Pendiente",TRIM('DATOS'!C427&amp;"")&lt;&gt;"Por confirmar",TRIM('DATOS'!C427&amp;"")&lt;&gt;"No consta",TRIM('DATOS'!C427&amp;"")&lt;&gt;"Desconocido",TRIM('DATOS'!C427&amp;"")&lt;&gt;"Sin confirmar",TRIM('DATOS'!C427&amp;"")&lt;&gt;"Por decidir",TRIM('DATOS'!C427&amp;"")&lt;&gt;"Por comprobar")),NOT(AND(LEN(TRIM('DATOS'!D427&amp;""))&gt;0,TRIM('DATOS'!D427&amp;"")&lt;&gt;"Pendiente",TRIM('DATOS'!D427&amp;"")&lt;&gt;"Por confirmar",TRIM('DATOS'!D427&amp;"")&lt;&gt;"No consta",TRIM('DATOS'!D427&amp;"")&lt;&gt;"Desconocido",TRIM('DATOS'!D427&amp;"")&lt;&gt;"Sin confirmar",TRIM('DATOS'!D427&amp;"")&lt;&gt;"Por decidir",TRIM('DATOS'!D427&amp;"")&lt;&gt;"Por comprobar")),NOT(AND(LEN(TRIM('DATOS'!E427&amp;""))&gt;0,TRIM('DATOS'!E427&amp;"")&lt;&gt;"Pendiente",TRIM('DATOS'!E427&amp;"")&lt;&gt;"Por confirmar",TRIM('DATOS'!E427&amp;"")&lt;&gt;"No consta",TRIM('DATOS'!E427&amp;"")&lt;&gt;"Desconocido",TRIM('DATOS'!E427&amp;"")&lt;&gt;"Sin confirmar",TRIM('DATOS'!E427&amp;"")&lt;&gt;"Por decidir",TRIM('DATOS'!E427&amp;"")&lt;&gt;"Por comprobar")),NOT(AND(LEN(TRIM('DATOS'!F427&amp;""))&gt;0,TRIM('DATOS'!F427&amp;"")&lt;&gt;"Pendiente",TRIM('DATOS'!F427&amp;"")&lt;&gt;"Por confirmar",TRIM('DATOS'!F427&amp;"")&lt;&gt;"No consta",TRIM('DATOS'!F427&amp;"")&lt;&gt;"Desconocido",TRIM('DATOS'!F427&amp;"")&lt;&gt;"Sin confirmar",TRIM('DATOS'!F427&amp;"")&lt;&gt;"Por decidir",TRIM('DATOS'!F427&amp;"")&lt;&gt;"Por comprobar")),NOT(AND(LEN(TRIM('DATOS'!N427&amp;""))&gt;0,TRIM('DATOS'!N427&amp;"")&lt;&gt;"Pendiente",TRIM('DATOS'!N427&amp;"")&lt;&gt;"Por confirmar",TRIM('DATOS'!N427&amp;"")&lt;&gt;"No consta",TRIM('DATOS'!N427&amp;"")&lt;&gt;"Desconocido",TRIM('DATOS'!N427&amp;"")&lt;&gt;"Sin confirmar",TRIM('DATOS'!N427&amp;"")&lt;&gt;"Por decidir",TRIM('DATOS'!N427&amp;"")&lt;&gt;"Por comprobar")),NOT(Y427=1),W427&lt;&gt;1,X427&gt;1,NOT(OR(LEN(TRIM('DATOS'!K427&amp;""))=0,'DATOS'!K427="Sin valorar",'DATOS'!K427="Sin coste documentado",'DATOS'!K427="Incluido en otra partida",'DATOS'!K427="Por confirmar")),NOT(OR(LEN(TRIM('DATOS'!M427&amp;""))=0,'DATOS'!M427="Sí",'DATOS'!M427="No",'DATOS'!M427="Por confirmar")),NOT(OR(LEN(TRIM('DATOS'!O427&amp;""))=0,'DATOS'!O427="Comparamos",'DATOS'!O427="No existe",'DATOS'!O427="Por confirmar"))),2,IF(AND(OR('DATOS'!G427&lt;0,'DATOS'!H427&lt;0,'DATOS'!J427&lt;0),NOT(AND(LEN(TRIM('DATOS'!L427&amp;""))&gt;0,TRIM('DATOS'!L427&amp;"")&lt;&gt;"Pendiente",TRIM('DATOS'!L427&amp;"")&lt;&gt;"Por confirmar",TRIM('DATOS'!L427&amp;"")&lt;&gt;"No consta",TRIM('DATOS'!L427&amp;"")&lt;&gt;"Desconocido",TRIM('DATOS'!L427&amp;"")&lt;&gt;"Sin confirmar",TRIM('DATOS'!L427&amp;"")&lt;&gt;"Por decidir",TRIM('DATOS'!L427&amp;"")&lt;&gt;"Por comprobar"))),1,0))),2)</f>
      </c>
      <c r="P427" s="29">
        <f>IFERROR(IF(N427=0,"",IF(NOT(Y427=1),1,IF('REFERENCIAS'!$Q$8&lt;&gt;1,2,IF(ABS('DATOS'!J427-ROUND('DATOS'!G427*'DATOS'!H427,'REFERENCIAS'!$K$8))&gt;0.00000001,2,IF('DATOS'!O427="No existe",IF(LEN(TRIM('DATOS'!I427&amp;""))=0,0,2),IF('DATOS'!O427="Comparamos",IF(LEN(TRIM('DATOS'!I427&amp;""))=0,1,IF(ISNUMBER('DATOS'!I427),IF(ABS('DATOS'!H427-'DATOS'!I427)&gt;0.00000001,2,0),2)),1)))))),2)</f>
      </c>
      <c r="Q427" s="29">
        <f>IFERROR(IF(N427=0,"",IF(NOT(Y427=1),1,IF('DATOS'!K427="Sin valorar",2,IF('DATOS'!G427=0,1,IF(OR('DATOS'!H427=0,'DATOS'!J427=0),IF(AND(OR('DATOS'!K427="Sin coste documentado",'DATOS'!K427="Incluido en otra partida"),AND(LEN(TRIM('DATOS'!L427&amp;""))&gt;0,TRIM('DATOS'!L427&amp;"")&lt;&gt;"Pendiente",TRIM('DATOS'!L427&amp;"")&lt;&gt;"Por confirmar",TRIM('DATOS'!L427&amp;"")&lt;&gt;"No consta",TRIM('DATOS'!L427&amp;"")&lt;&gt;"Desconocido",TRIM('DATOS'!L427&amp;"")&lt;&gt;"Sin confirmar",TRIM('DATOS'!L427&amp;"")&lt;&gt;"Por decidir",TRIM('DATOS'!L427&amp;"")&lt;&gt;"Por comprobar")),0,1),0))))),2)</f>
      </c>
      <c r="R427" s="29">
        <f>IFERROR(IF(N427=0,"",IF(OR(NOT(AND(LEN(TRIM('DATOS'!D427&amp;""))&gt;0,TRIM('DATOS'!D427&amp;"")&lt;&gt;"Pendiente",TRIM('DATOS'!D427&amp;"")&lt;&gt;"Por confirmar",TRIM('DATOS'!D427&amp;"")&lt;&gt;"No consta",TRIM('DATOS'!D427&amp;"")&lt;&gt;"Desconocido",TRIM('DATOS'!D427&amp;"")&lt;&gt;"Sin confirmar",TRIM('DATOS'!D427&amp;"")&lt;&gt;"Por decidir",TRIM('DATOS'!D427&amp;"")&lt;&gt;"Por comprobar")),NOT(AND(LEN(TRIM('DATOS'!E427&amp;""))&gt;0,TRIM('DATOS'!E427&amp;"")&lt;&gt;"Pendiente",TRIM('DATOS'!E427&amp;"")&lt;&gt;"Por confirmar",TRIM('DATOS'!E427&amp;"")&lt;&gt;"No consta",TRIM('DATOS'!E427&amp;"")&lt;&gt;"Desconocido",TRIM('DATOS'!E427&amp;"")&lt;&gt;"Sin confirmar",TRIM('DATOS'!E427&amp;"")&lt;&gt;"Por decidir",TRIM('DATOS'!E427&amp;"")&lt;&gt;"Por comprobar"))),2,IF('DATOS'!M427="No",2,IF('DATOS'!M427="Sí",0,IF(OR('DATOS'!D427&lt;&gt;'DATOS'!E427,LEN('DATOS'!E427)&gt;300,RIGHT(TRIM('DATOS'!E427),3)="...",RIGHT(TRIM('DATOS'!E427),1)="…"),1,0))))),2)</f>
      </c>
      <c r="S427" s="29">
        <f>IFERROR(IF(N427=0,"",IF('REFERENCIAS'!$Q$8&lt;&gt;1,2,IF(NOT(Y427=1),1,IF(OR(ABS('DATOS'!G427-ROUND('DATOS'!G427,'REFERENCIAS'!$E$8))&gt;0.00000001,ABS('DATOS'!H427-ROUND('DATOS'!H427,'REFERENCIAS'!$H$8))&gt;0.00000001,ABS('DATOS'!J427-ROUND('DATOS'!J427,'REFERENCIAS'!$K$8))&gt;0.00000001,IF(ISNUMBER('DATOS'!I427),ABS('DATOS'!I427-ROUND('DATOS'!I427,'REFERENCIAS'!$H$8))&gt;0.00000001,FALSE)),1,0)))),2)</f>
      </c>
      <c r="T427" s="29">
        <f>IFERROR(IF(N427=0,"",IF(NOT(AND(LEN(TRIM('DATOS'!F427&amp;""))&gt;0,TRIM('DATOS'!F427&amp;"")&lt;&gt;"Pendiente",TRIM('DATOS'!F427&amp;"")&lt;&gt;"Por confirmar",TRIM('DATOS'!F427&amp;"")&lt;&gt;"No consta",TRIM('DATOS'!F427&amp;"")&lt;&gt;"Desconocido",TRIM('DATOS'!F427&amp;"")&lt;&gt;"Sin confirmar",TRIM('DATOS'!F427&amp;"")&lt;&gt;"Por decidir",TRIM('DATOS'!F427&amp;"")&lt;&gt;"Por comprobar")),2,IF(COUNTIFS('REFERENCIAS'!$T$15:$T$34,"ID:"&amp;SUBSTITUTE(SUBSTITUTE(SUBSTITUTE(SUBSTITUTE(UPPER(TRIM('DATOS'!F427&amp;"")),"!","!E"),"*","!A"),"?","!B"),"~","!C"),'REFERENCIAS'!$H$15:$H$34,"&lt;&gt;")&gt;0,0,1))),2)</f>
      </c>
      <c r="U427" s="29" t="str">
        <f>'DATOS'!R427</f>
        <v>ID:</v>
      </c>
      <c r="V427" s="29" t="str">
        <f>'DATOS'!S427</f>
        <v>ID:</v>
      </c>
      <c r="W427" s="29" t="n">
        <f>IF(N427=0,0,COUNTIFS('REFERENCIAS'!$R$15:$R$64,U427))</f>
        <v>0</v>
      </c>
      <c r="X427" s="29" t="n">
        <f>IF(N427=0,0,COUNTIFS('DATOS'!$R$10:$R$509,U427,'DATOS'!$S$10:$S$509,V427))</f>
        <v>0</v>
      </c>
      <c r="Y427" s="29" t="n">
        <f>IF(AND(ISNUMBER('DATOS'!G427),ISNUMBER('DATOS'!H427),ISNUMBER('DATOS'!J427)),1,0)</f>
        <v>0</v>
      </c>
    </row>
    <row r="428" ht="64" customHeight="1">
      <c r="B428" s="26">
        <f>IF(N428=1,419,"")</f>
      </c>
      <c r="C428" s="26">
        <f>IF(AND(N428=1,LEN(TRIM('DATOS'!B428&amp;""))&gt;0),'DATOS'!B428,"")</f>
      </c>
      <c r="D428" s="26">
        <f>IF(AND(N428=1,LEN(TRIM('DATOS'!C428&amp;""))&gt;0),'DATOS'!C428,"")</f>
      </c>
      <c r="E428" s="26">
        <f>IF(NOT(ISNUMBER(P428)),"",IF(P428=2,"ROJO",IF(P428=1,"ÁMBAR","VERDE")))</f>
      </c>
      <c r="F428" s="26">
        <f>IF(NOT(ISNUMBER(Q428)),"",IF(Q428=2,"ROJO",IF(Q428=1,"ÁMBAR","VERDE")))</f>
      </c>
      <c r="G428" s="26">
        <f>IF(NOT(ISNUMBER(R428)),"",IF(R428=2,"ROJO",IF(R428=1,"ÁMBAR","VERDE")))</f>
      </c>
      <c r="H428" s="26">
        <f>IF(NOT(ISNUMBER(S428)),"",IF(S428=2,"ROJO",IF(S428=1,"ÁMBAR","VERDE")))</f>
      </c>
      <c r="I428" s="26">
        <f>IF(NOT(ISNUMBER(T428)),"",IF(T428=2,"ROJO",IF(T428=1,"ÁMBAR","VERDE")))</f>
      </c>
      <c r="J428" s="26">
        <f>IF(NOT(ISNUMBER(O428)),"",IF(O428=2,"ROJO",IF(O428=1,"ÁMBAR","VERDE")))</f>
      </c>
      <c r="K428" s="26">
        <f>IFERROR(IF(AND(N428=1,LEN(TRIM('DATOS'!N428&amp;""))&gt;0),'DATOS'!N428,""),"Hay una entrada con error. Corregimos el dato antes de cerrar la comprobación.")</f>
      </c>
      <c r="L428" s="26">
        <f>IFERROR(IF(N428=0,"",IF(O428&gt;0,"Completamos datos, claves o motivo. ","")&amp;IF(P428&gt;0,"Cotejamos precios e importe. ","")&amp;IF(Q428&gt;0,"Aclaramos el cero. ","")&amp;IF(R428&gt;0,"Comprobamos el texto. ","")&amp;IF(S428&gt;0,"Revisamos decimales visibles. ","")&amp;IF(T428&gt;0,"Confirmamos la unidad.","")),"Hay una entrada con error. Corregimos el dato antes de cerrar la comprobación.")</f>
      </c>
      <c r="N428" s="29" t="n">
        <f>IF(COUNTA('DATOS'!B428:O428)&gt;0,1,0)</f>
        <v>0</v>
      </c>
      <c r="O428" s="29">
        <f>IFERROR(IF(N428=0,"",IF(OR(NOT(AND(LEN(TRIM('DATOS'!B428&amp;""))&gt;0,TRIM('DATOS'!B428&amp;"")&lt;&gt;"Pendiente",TRIM('DATOS'!B428&amp;"")&lt;&gt;"Por confirmar",TRIM('DATOS'!B428&amp;"")&lt;&gt;"No consta",TRIM('DATOS'!B428&amp;"")&lt;&gt;"Desconocido",TRIM('DATOS'!B428&amp;"")&lt;&gt;"Sin confirmar",TRIM('DATOS'!B428&amp;"")&lt;&gt;"Por decidir",TRIM('DATOS'!B428&amp;"")&lt;&gt;"Por comprobar")),NOT(AND(LEN(TRIM('DATOS'!C428&amp;""))&gt;0,TRIM('DATOS'!C428&amp;"")&lt;&gt;"Pendiente",TRIM('DATOS'!C428&amp;"")&lt;&gt;"Por confirmar",TRIM('DATOS'!C428&amp;"")&lt;&gt;"No consta",TRIM('DATOS'!C428&amp;"")&lt;&gt;"Desconocido",TRIM('DATOS'!C428&amp;"")&lt;&gt;"Sin confirmar",TRIM('DATOS'!C428&amp;"")&lt;&gt;"Por decidir",TRIM('DATOS'!C428&amp;"")&lt;&gt;"Por comprobar")),NOT(AND(LEN(TRIM('DATOS'!D428&amp;""))&gt;0,TRIM('DATOS'!D428&amp;"")&lt;&gt;"Pendiente",TRIM('DATOS'!D428&amp;"")&lt;&gt;"Por confirmar",TRIM('DATOS'!D428&amp;"")&lt;&gt;"No consta",TRIM('DATOS'!D428&amp;"")&lt;&gt;"Desconocido",TRIM('DATOS'!D428&amp;"")&lt;&gt;"Sin confirmar",TRIM('DATOS'!D428&amp;"")&lt;&gt;"Por decidir",TRIM('DATOS'!D428&amp;"")&lt;&gt;"Por comprobar")),NOT(AND(LEN(TRIM('DATOS'!E428&amp;""))&gt;0,TRIM('DATOS'!E428&amp;"")&lt;&gt;"Pendiente",TRIM('DATOS'!E428&amp;"")&lt;&gt;"Por confirmar",TRIM('DATOS'!E428&amp;"")&lt;&gt;"No consta",TRIM('DATOS'!E428&amp;"")&lt;&gt;"Desconocido",TRIM('DATOS'!E428&amp;"")&lt;&gt;"Sin confirmar",TRIM('DATOS'!E428&amp;"")&lt;&gt;"Por decidir",TRIM('DATOS'!E428&amp;"")&lt;&gt;"Por comprobar")),NOT(AND(LEN(TRIM('DATOS'!F428&amp;""))&gt;0,TRIM('DATOS'!F428&amp;"")&lt;&gt;"Pendiente",TRIM('DATOS'!F428&amp;"")&lt;&gt;"Por confirmar",TRIM('DATOS'!F428&amp;"")&lt;&gt;"No consta",TRIM('DATOS'!F428&amp;"")&lt;&gt;"Desconocido",TRIM('DATOS'!F428&amp;"")&lt;&gt;"Sin confirmar",TRIM('DATOS'!F428&amp;"")&lt;&gt;"Por decidir",TRIM('DATOS'!F428&amp;"")&lt;&gt;"Por comprobar")),NOT(AND(LEN(TRIM('DATOS'!N428&amp;""))&gt;0,TRIM('DATOS'!N428&amp;"")&lt;&gt;"Pendiente",TRIM('DATOS'!N428&amp;"")&lt;&gt;"Por confirmar",TRIM('DATOS'!N428&amp;"")&lt;&gt;"No consta",TRIM('DATOS'!N428&amp;"")&lt;&gt;"Desconocido",TRIM('DATOS'!N428&amp;"")&lt;&gt;"Sin confirmar",TRIM('DATOS'!N428&amp;"")&lt;&gt;"Por decidir",TRIM('DATOS'!N428&amp;"")&lt;&gt;"Por comprobar")),NOT(Y428=1),W428&lt;&gt;1,X428&gt;1,NOT(OR(LEN(TRIM('DATOS'!K428&amp;""))=0,'DATOS'!K428="Sin valorar",'DATOS'!K428="Sin coste documentado",'DATOS'!K428="Incluido en otra partida",'DATOS'!K428="Por confirmar")),NOT(OR(LEN(TRIM('DATOS'!M428&amp;""))=0,'DATOS'!M428="Sí",'DATOS'!M428="No",'DATOS'!M428="Por confirmar")),NOT(OR(LEN(TRIM('DATOS'!O428&amp;""))=0,'DATOS'!O428="Comparamos",'DATOS'!O428="No existe",'DATOS'!O428="Por confirmar"))),2,IF(AND(OR('DATOS'!G428&lt;0,'DATOS'!H428&lt;0,'DATOS'!J428&lt;0),NOT(AND(LEN(TRIM('DATOS'!L428&amp;""))&gt;0,TRIM('DATOS'!L428&amp;"")&lt;&gt;"Pendiente",TRIM('DATOS'!L428&amp;"")&lt;&gt;"Por confirmar",TRIM('DATOS'!L428&amp;"")&lt;&gt;"No consta",TRIM('DATOS'!L428&amp;"")&lt;&gt;"Desconocido",TRIM('DATOS'!L428&amp;"")&lt;&gt;"Sin confirmar",TRIM('DATOS'!L428&amp;"")&lt;&gt;"Por decidir",TRIM('DATOS'!L428&amp;"")&lt;&gt;"Por comprobar"))),1,0))),2)</f>
      </c>
      <c r="P428" s="29">
        <f>IFERROR(IF(N428=0,"",IF(NOT(Y428=1),1,IF('REFERENCIAS'!$Q$8&lt;&gt;1,2,IF(ABS('DATOS'!J428-ROUND('DATOS'!G428*'DATOS'!H428,'REFERENCIAS'!$K$8))&gt;0.00000001,2,IF('DATOS'!O428="No existe",IF(LEN(TRIM('DATOS'!I428&amp;""))=0,0,2),IF('DATOS'!O428="Comparamos",IF(LEN(TRIM('DATOS'!I428&amp;""))=0,1,IF(ISNUMBER('DATOS'!I428),IF(ABS('DATOS'!H428-'DATOS'!I428)&gt;0.00000001,2,0),2)),1)))))),2)</f>
      </c>
      <c r="Q428" s="29">
        <f>IFERROR(IF(N428=0,"",IF(NOT(Y428=1),1,IF('DATOS'!K428="Sin valorar",2,IF('DATOS'!G428=0,1,IF(OR('DATOS'!H428=0,'DATOS'!J428=0),IF(AND(OR('DATOS'!K428="Sin coste documentado",'DATOS'!K428="Incluido en otra partida"),AND(LEN(TRIM('DATOS'!L428&amp;""))&gt;0,TRIM('DATOS'!L428&amp;"")&lt;&gt;"Pendiente",TRIM('DATOS'!L428&amp;"")&lt;&gt;"Por confirmar",TRIM('DATOS'!L428&amp;"")&lt;&gt;"No consta",TRIM('DATOS'!L428&amp;"")&lt;&gt;"Desconocido",TRIM('DATOS'!L428&amp;"")&lt;&gt;"Sin confirmar",TRIM('DATOS'!L428&amp;"")&lt;&gt;"Por decidir",TRIM('DATOS'!L428&amp;"")&lt;&gt;"Por comprobar")),0,1),0))))),2)</f>
      </c>
      <c r="R428" s="29">
        <f>IFERROR(IF(N428=0,"",IF(OR(NOT(AND(LEN(TRIM('DATOS'!D428&amp;""))&gt;0,TRIM('DATOS'!D428&amp;"")&lt;&gt;"Pendiente",TRIM('DATOS'!D428&amp;"")&lt;&gt;"Por confirmar",TRIM('DATOS'!D428&amp;"")&lt;&gt;"No consta",TRIM('DATOS'!D428&amp;"")&lt;&gt;"Desconocido",TRIM('DATOS'!D428&amp;"")&lt;&gt;"Sin confirmar",TRIM('DATOS'!D428&amp;"")&lt;&gt;"Por decidir",TRIM('DATOS'!D428&amp;"")&lt;&gt;"Por comprobar")),NOT(AND(LEN(TRIM('DATOS'!E428&amp;""))&gt;0,TRIM('DATOS'!E428&amp;"")&lt;&gt;"Pendiente",TRIM('DATOS'!E428&amp;"")&lt;&gt;"Por confirmar",TRIM('DATOS'!E428&amp;"")&lt;&gt;"No consta",TRIM('DATOS'!E428&amp;"")&lt;&gt;"Desconocido",TRIM('DATOS'!E428&amp;"")&lt;&gt;"Sin confirmar",TRIM('DATOS'!E428&amp;"")&lt;&gt;"Por decidir",TRIM('DATOS'!E428&amp;"")&lt;&gt;"Por comprobar"))),2,IF('DATOS'!M428="No",2,IF('DATOS'!M428="Sí",0,IF(OR('DATOS'!D428&lt;&gt;'DATOS'!E428,LEN('DATOS'!E428)&gt;300,RIGHT(TRIM('DATOS'!E428),3)="...",RIGHT(TRIM('DATOS'!E428),1)="…"),1,0))))),2)</f>
      </c>
      <c r="S428" s="29">
        <f>IFERROR(IF(N428=0,"",IF('REFERENCIAS'!$Q$8&lt;&gt;1,2,IF(NOT(Y428=1),1,IF(OR(ABS('DATOS'!G428-ROUND('DATOS'!G428,'REFERENCIAS'!$E$8))&gt;0.00000001,ABS('DATOS'!H428-ROUND('DATOS'!H428,'REFERENCIAS'!$H$8))&gt;0.00000001,ABS('DATOS'!J428-ROUND('DATOS'!J428,'REFERENCIAS'!$K$8))&gt;0.00000001,IF(ISNUMBER('DATOS'!I428),ABS('DATOS'!I428-ROUND('DATOS'!I428,'REFERENCIAS'!$H$8))&gt;0.00000001,FALSE)),1,0)))),2)</f>
      </c>
      <c r="T428" s="29">
        <f>IFERROR(IF(N428=0,"",IF(NOT(AND(LEN(TRIM('DATOS'!F428&amp;""))&gt;0,TRIM('DATOS'!F428&amp;"")&lt;&gt;"Pendiente",TRIM('DATOS'!F428&amp;"")&lt;&gt;"Por confirmar",TRIM('DATOS'!F428&amp;"")&lt;&gt;"No consta",TRIM('DATOS'!F428&amp;"")&lt;&gt;"Desconocido",TRIM('DATOS'!F428&amp;"")&lt;&gt;"Sin confirmar",TRIM('DATOS'!F428&amp;"")&lt;&gt;"Por decidir",TRIM('DATOS'!F428&amp;"")&lt;&gt;"Por comprobar")),2,IF(COUNTIFS('REFERENCIAS'!$T$15:$T$34,"ID:"&amp;SUBSTITUTE(SUBSTITUTE(SUBSTITUTE(SUBSTITUTE(UPPER(TRIM('DATOS'!F428&amp;"")),"!","!E"),"*","!A"),"?","!B"),"~","!C"),'REFERENCIAS'!$H$15:$H$34,"&lt;&gt;")&gt;0,0,1))),2)</f>
      </c>
      <c r="U428" s="29" t="str">
        <f>'DATOS'!R428</f>
        <v>ID:</v>
      </c>
      <c r="V428" s="29" t="str">
        <f>'DATOS'!S428</f>
        <v>ID:</v>
      </c>
      <c r="W428" s="29" t="n">
        <f>IF(N428=0,0,COUNTIFS('REFERENCIAS'!$R$15:$R$64,U428))</f>
        <v>0</v>
      </c>
      <c r="X428" s="29" t="n">
        <f>IF(N428=0,0,COUNTIFS('DATOS'!$R$10:$R$509,U428,'DATOS'!$S$10:$S$509,V428))</f>
        <v>0</v>
      </c>
      <c r="Y428" s="29" t="n">
        <f>IF(AND(ISNUMBER('DATOS'!G428),ISNUMBER('DATOS'!H428),ISNUMBER('DATOS'!J428)),1,0)</f>
        <v>0</v>
      </c>
    </row>
    <row r="429" ht="64" customHeight="1">
      <c r="B429" s="26">
        <f>IF(N429=1,420,"")</f>
      </c>
      <c r="C429" s="26">
        <f>IF(AND(N429=1,LEN(TRIM('DATOS'!B429&amp;""))&gt;0),'DATOS'!B429,"")</f>
      </c>
      <c r="D429" s="26">
        <f>IF(AND(N429=1,LEN(TRIM('DATOS'!C429&amp;""))&gt;0),'DATOS'!C429,"")</f>
      </c>
      <c r="E429" s="26">
        <f>IF(NOT(ISNUMBER(P429)),"",IF(P429=2,"ROJO",IF(P429=1,"ÁMBAR","VERDE")))</f>
      </c>
      <c r="F429" s="26">
        <f>IF(NOT(ISNUMBER(Q429)),"",IF(Q429=2,"ROJO",IF(Q429=1,"ÁMBAR","VERDE")))</f>
      </c>
      <c r="G429" s="26">
        <f>IF(NOT(ISNUMBER(R429)),"",IF(R429=2,"ROJO",IF(R429=1,"ÁMBAR","VERDE")))</f>
      </c>
      <c r="H429" s="26">
        <f>IF(NOT(ISNUMBER(S429)),"",IF(S429=2,"ROJO",IF(S429=1,"ÁMBAR","VERDE")))</f>
      </c>
      <c r="I429" s="26">
        <f>IF(NOT(ISNUMBER(T429)),"",IF(T429=2,"ROJO",IF(T429=1,"ÁMBAR","VERDE")))</f>
      </c>
      <c r="J429" s="26">
        <f>IF(NOT(ISNUMBER(O429)),"",IF(O429=2,"ROJO",IF(O429=1,"ÁMBAR","VERDE")))</f>
      </c>
      <c r="K429" s="26">
        <f>IFERROR(IF(AND(N429=1,LEN(TRIM('DATOS'!N429&amp;""))&gt;0),'DATOS'!N429,""),"Hay una entrada con error. Corregimos el dato antes de cerrar la comprobación.")</f>
      </c>
      <c r="L429" s="26">
        <f>IFERROR(IF(N429=0,"",IF(O429&gt;0,"Completamos datos, claves o motivo. ","")&amp;IF(P429&gt;0,"Cotejamos precios e importe. ","")&amp;IF(Q429&gt;0,"Aclaramos el cero. ","")&amp;IF(R429&gt;0,"Comprobamos el texto. ","")&amp;IF(S429&gt;0,"Revisamos decimales visibles. ","")&amp;IF(T429&gt;0,"Confirmamos la unidad.","")),"Hay una entrada con error. Corregimos el dato antes de cerrar la comprobación.")</f>
      </c>
      <c r="N429" s="29" t="n">
        <f>IF(COUNTA('DATOS'!B429:O429)&gt;0,1,0)</f>
        <v>0</v>
      </c>
      <c r="O429" s="29">
        <f>IFERROR(IF(N429=0,"",IF(OR(NOT(AND(LEN(TRIM('DATOS'!B429&amp;""))&gt;0,TRIM('DATOS'!B429&amp;"")&lt;&gt;"Pendiente",TRIM('DATOS'!B429&amp;"")&lt;&gt;"Por confirmar",TRIM('DATOS'!B429&amp;"")&lt;&gt;"No consta",TRIM('DATOS'!B429&amp;"")&lt;&gt;"Desconocido",TRIM('DATOS'!B429&amp;"")&lt;&gt;"Sin confirmar",TRIM('DATOS'!B429&amp;"")&lt;&gt;"Por decidir",TRIM('DATOS'!B429&amp;"")&lt;&gt;"Por comprobar")),NOT(AND(LEN(TRIM('DATOS'!C429&amp;""))&gt;0,TRIM('DATOS'!C429&amp;"")&lt;&gt;"Pendiente",TRIM('DATOS'!C429&amp;"")&lt;&gt;"Por confirmar",TRIM('DATOS'!C429&amp;"")&lt;&gt;"No consta",TRIM('DATOS'!C429&amp;"")&lt;&gt;"Desconocido",TRIM('DATOS'!C429&amp;"")&lt;&gt;"Sin confirmar",TRIM('DATOS'!C429&amp;"")&lt;&gt;"Por decidir",TRIM('DATOS'!C429&amp;"")&lt;&gt;"Por comprobar")),NOT(AND(LEN(TRIM('DATOS'!D429&amp;""))&gt;0,TRIM('DATOS'!D429&amp;"")&lt;&gt;"Pendiente",TRIM('DATOS'!D429&amp;"")&lt;&gt;"Por confirmar",TRIM('DATOS'!D429&amp;"")&lt;&gt;"No consta",TRIM('DATOS'!D429&amp;"")&lt;&gt;"Desconocido",TRIM('DATOS'!D429&amp;"")&lt;&gt;"Sin confirmar",TRIM('DATOS'!D429&amp;"")&lt;&gt;"Por decidir",TRIM('DATOS'!D429&amp;"")&lt;&gt;"Por comprobar")),NOT(AND(LEN(TRIM('DATOS'!E429&amp;""))&gt;0,TRIM('DATOS'!E429&amp;"")&lt;&gt;"Pendiente",TRIM('DATOS'!E429&amp;"")&lt;&gt;"Por confirmar",TRIM('DATOS'!E429&amp;"")&lt;&gt;"No consta",TRIM('DATOS'!E429&amp;"")&lt;&gt;"Desconocido",TRIM('DATOS'!E429&amp;"")&lt;&gt;"Sin confirmar",TRIM('DATOS'!E429&amp;"")&lt;&gt;"Por decidir",TRIM('DATOS'!E429&amp;"")&lt;&gt;"Por comprobar")),NOT(AND(LEN(TRIM('DATOS'!F429&amp;""))&gt;0,TRIM('DATOS'!F429&amp;"")&lt;&gt;"Pendiente",TRIM('DATOS'!F429&amp;"")&lt;&gt;"Por confirmar",TRIM('DATOS'!F429&amp;"")&lt;&gt;"No consta",TRIM('DATOS'!F429&amp;"")&lt;&gt;"Desconocido",TRIM('DATOS'!F429&amp;"")&lt;&gt;"Sin confirmar",TRIM('DATOS'!F429&amp;"")&lt;&gt;"Por decidir",TRIM('DATOS'!F429&amp;"")&lt;&gt;"Por comprobar")),NOT(AND(LEN(TRIM('DATOS'!N429&amp;""))&gt;0,TRIM('DATOS'!N429&amp;"")&lt;&gt;"Pendiente",TRIM('DATOS'!N429&amp;"")&lt;&gt;"Por confirmar",TRIM('DATOS'!N429&amp;"")&lt;&gt;"No consta",TRIM('DATOS'!N429&amp;"")&lt;&gt;"Desconocido",TRIM('DATOS'!N429&amp;"")&lt;&gt;"Sin confirmar",TRIM('DATOS'!N429&amp;"")&lt;&gt;"Por decidir",TRIM('DATOS'!N429&amp;"")&lt;&gt;"Por comprobar")),NOT(Y429=1),W429&lt;&gt;1,X429&gt;1,NOT(OR(LEN(TRIM('DATOS'!K429&amp;""))=0,'DATOS'!K429="Sin valorar",'DATOS'!K429="Sin coste documentado",'DATOS'!K429="Incluido en otra partida",'DATOS'!K429="Por confirmar")),NOT(OR(LEN(TRIM('DATOS'!M429&amp;""))=0,'DATOS'!M429="Sí",'DATOS'!M429="No",'DATOS'!M429="Por confirmar")),NOT(OR(LEN(TRIM('DATOS'!O429&amp;""))=0,'DATOS'!O429="Comparamos",'DATOS'!O429="No existe",'DATOS'!O429="Por confirmar"))),2,IF(AND(OR('DATOS'!G429&lt;0,'DATOS'!H429&lt;0,'DATOS'!J429&lt;0),NOT(AND(LEN(TRIM('DATOS'!L429&amp;""))&gt;0,TRIM('DATOS'!L429&amp;"")&lt;&gt;"Pendiente",TRIM('DATOS'!L429&amp;"")&lt;&gt;"Por confirmar",TRIM('DATOS'!L429&amp;"")&lt;&gt;"No consta",TRIM('DATOS'!L429&amp;"")&lt;&gt;"Desconocido",TRIM('DATOS'!L429&amp;"")&lt;&gt;"Sin confirmar",TRIM('DATOS'!L429&amp;"")&lt;&gt;"Por decidir",TRIM('DATOS'!L429&amp;"")&lt;&gt;"Por comprobar"))),1,0))),2)</f>
      </c>
      <c r="P429" s="29">
        <f>IFERROR(IF(N429=0,"",IF(NOT(Y429=1),1,IF('REFERENCIAS'!$Q$8&lt;&gt;1,2,IF(ABS('DATOS'!J429-ROUND('DATOS'!G429*'DATOS'!H429,'REFERENCIAS'!$K$8))&gt;0.00000001,2,IF('DATOS'!O429="No existe",IF(LEN(TRIM('DATOS'!I429&amp;""))=0,0,2),IF('DATOS'!O429="Comparamos",IF(LEN(TRIM('DATOS'!I429&amp;""))=0,1,IF(ISNUMBER('DATOS'!I429),IF(ABS('DATOS'!H429-'DATOS'!I429)&gt;0.00000001,2,0),2)),1)))))),2)</f>
      </c>
      <c r="Q429" s="29">
        <f>IFERROR(IF(N429=0,"",IF(NOT(Y429=1),1,IF('DATOS'!K429="Sin valorar",2,IF('DATOS'!G429=0,1,IF(OR('DATOS'!H429=0,'DATOS'!J429=0),IF(AND(OR('DATOS'!K429="Sin coste documentado",'DATOS'!K429="Incluido en otra partida"),AND(LEN(TRIM('DATOS'!L429&amp;""))&gt;0,TRIM('DATOS'!L429&amp;"")&lt;&gt;"Pendiente",TRIM('DATOS'!L429&amp;"")&lt;&gt;"Por confirmar",TRIM('DATOS'!L429&amp;"")&lt;&gt;"No consta",TRIM('DATOS'!L429&amp;"")&lt;&gt;"Desconocido",TRIM('DATOS'!L429&amp;"")&lt;&gt;"Sin confirmar",TRIM('DATOS'!L429&amp;"")&lt;&gt;"Por decidir",TRIM('DATOS'!L429&amp;"")&lt;&gt;"Por comprobar")),0,1),0))))),2)</f>
      </c>
      <c r="R429" s="29">
        <f>IFERROR(IF(N429=0,"",IF(OR(NOT(AND(LEN(TRIM('DATOS'!D429&amp;""))&gt;0,TRIM('DATOS'!D429&amp;"")&lt;&gt;"Pendiente",TRIM('DATOS'!D429&amp;"")&lt;&gt;"Por confirmar",TRIM('DATOS'!D429&amp;"")&lt;&gt;"No consta",TRIM('DATOS'!D429&amp;"")&lt;&gt;"Desconocido",TRIM('DATOS'!D429&amp;"")&lt;&gt;"Sin confirmar",TRIM('DATOS'!D429&amp;"")&lt;&gt;"Por decidir",TRIM('DATOS'!D429&amp;"")&lt;&gt;"Por comprobar")),NOT(AND(LEN(TRIM('DATOS'!E429&amp;""))&gt;0,TRIM('DATOS'!E429&amp;"")&lt;&gt;"Pendiente",TRIM('DATOS'!E429&amp;"")&lt;&gt;"Por confirmar",TRIM('DATOS'!E429&amp;"")&lt;&gt;"No consta",TRIM('DATOS'!E429&amp;"")&lt;&gt;"Desconocido",TRIM('DATOS'!E429&amp;"")&lt;&gt;"Sin confirmar",TRIM('DATOS'!E429&amp;"")&lt;&gt;"Por decidir",TRIM('DATOS'!E429&amp;"")&lt;&gt;"Por comprobar"))),2,IF('DATOS'!M429="No",2,IF('DATOS'!M429="Sí",0,IF(OR('DATOS'!D429&lt;&gt;'DATOS'!E429,LEN('DATOS'!E429)&gt;300,RIGHT(TRIM('DATOS'!E429),3)="...",RIGHT(TRIM('DATOS'!E429),1)="…"),1,0))))),2)</f>
      </c>
      <c r="S429" s="29">
        <f>IFERROR(IF(N429=0,"",IF('REFERENCIAS'!$Q$8&lt;&gt;1,2,IF(NOT(Y429=1),1,IF(OR(ABS('DATOS'!G429-ROUND('DATOS'!G429,'REFERENCIAS'!$E$8))&gt;0.00000001,ABS('DATOS'!H429-ROUND('DATOS'!H429,'REFERENCIAS'!$H$8))&gt;0.00000001,ABS('DATOS'!J429-ROUND('DATOS'!J429,'REFERENCIAS'!$K$8))&gt;0.00000001,IF(ISNUMBER('DATOS'!I429),ABS('DATOS'!I429-ROUND('DATOS'!I429,'REFERENCIAS'!$H$8))&gt;0.00000001,FALSE)),1,0)))),2)</f>
      </c>
      <c r="T429" s="29">
        <f>IFERROR(IF(N429=0,"",IF(NOT(AND(LEN(TRIM('DATOS'!F429&amp;""))&gt;0,TRIM('DATOS'!F429&amp;"")&lt;&gt;"Pendiente",TRIM('DATOS'!F429&amp;"")&lt;&gt;"Por confirmar",TRIM('DATOS'!F429&amp;"")&lt;&gt;"No consta",TRIM('DATOS'!F429&amp;"")&lt;&gt;"Desconocido",TRIM('DATOS'!F429&amp;"")&lt;&gt;"Sin confirmar",TRIM('DATOS'!F429&amp;"")&lt;&gt;"Por decidir",TRIM('DATOS'!F429&amp;"")&lt;&gt;"Por comprobar")),2,IF(COUNTIFS('REFERENCIAS'!$T$15:$T$34,"ID:"&amp;SUBSTITUTE(SUBSTITUTE(SUBSTITUTE(SUBSTITUTE(UPPER(TRIM('DATOS'!F429&amp;"")),"!","!E"),"*","!A"),"?","!B"),"~","!C"),'REFERENCIAS'!$H$15:$H$34,"&lt;&gt;")&gt;0,0,1))),2)</f>
      </c>
      <c r="U429" s="29" t="str">
        <f>'DATOS'!R429</f>
        <v>ID:</v>
      </c>
      <c r="V429" s="29" t="str">
        <f>'DATOS'!S429</f>
        <v>ID:</v>
      </c>
      <c r="W429" s="29" t="n">
        <f>IF(N429=0,0,COUNTIFS('REFERENCIAS'!$R$15:$R$64,U429))</f>
        <v>0</v>
      </c>
      <c r="X429" s="29" t="n">
        <f>IF(N429=0,0,COUNTIFS('DATOS'!$R$10:$R$509,U429,'DATOS'!$S$10:$S$509,V429))</f>
        <v>0</v>
      </c>
      <c r="Y429" s="29" t="n">
        <f>IF(AND(ISNUMBER('DATOS'!G429),ISNUMBER('DATOS'!H429),ISNUMBER('DATOS'!J429)),1,0)</f>
        <v>0</v>
      </c>
    </row>
    <row r="430" ht="64" customHeight="1">
      <c r="B430" s="26">
        <f>IF(N430=1,421,"")</f>
      </c>
      <c r="C430" s="26">
        <f>IF(AND(N430=1,LEN(TRIM('DATOS'!B430&amp;""))&gt;0),'DATOS'!B430,"")</f>
      </c>
      <c r="D430" s="26">
        <f>IF(AND(N430=1,LEN(TRIM('DATOS'!C430&amp;""))&gt;0),'DATOS'!C430,"")</f>
      </c>
      <c r="E430" s="26">
        <f>IF(NOT(ISNUMBER(P430)),"",IF(P430=2,"ROJO",IF(P430=1,"ÁMBAR","VERDE")))</f>
      </c>
      <c r="F430" s="26">
        <f>IF(NOT(ISNUMBER(Q430)),"",IF(Q430=2,"ROJO",IF(Q430=1,"ÁMBAR","VERDE")))</f>
      </c>
      <c r="G430" s="26">
        <f>IF(NOT(ISNUMBER(R430)),"",IF(R430=2,"ROJO",IF(R430=1,"ÁMBAR","VERDE")))</f>
      </c>
      <c r="H430" s="26">
        <f>IF(NOT(ISNUMBER(S430)),"",IF(S430=2,"ROJO",IF(S430=1,"ÁMBAR","VERDE")))</f>
      </c>
      <c r="I430" s="26">
        <f>IF(NOT(ISNUMBER(T430)),"",IF(T430=2,"ROJO",IF(T430=1,"ÁMBAR","VERDE")))</f>
      </c>
      <c r="J430" s="26">
        <f>IF(NOT(ISNUMBER(O430)),"",IF(O430=2,"ROJO",IF(O430=1,"ÁMBAR","VERDE")))</f>
      </c>
      <c r="K430" s="26">
        <f>IFERROR(IF(AND(N430=1,LEN(TRIM('DATOS'!N430&amp;""))&gt;0),'DATOS'!N430,""),"Hay una entrada con error. Corregimos el dato antes de cerrar la comprobación.")</f>
      </c>
      <c r="L430" s="26">
        <f>IFERROR(IF(N430=0,"",IF(O430&gt;0,"Completamos datos, claves o motivo. ","")&amp;IF(P430&gt;0,"Cotejamos precios e importe. ","")&amp;IF(Q430&gt;0,"Aclaramos el cero. ","")&amp;IF(R430&gt;0,"Comprobamos el texto. ","")&amp;IF(S430&gt;0,"Revisamos decimales visibles. ","")&amp;IF(T430&gt;0,"Confirmamos la unidad.","")),"Hay una entrada con error. Corregimos el dato antes de cerrar la comprobación.")</f>
      </c>
      <c r="N430" s="29" t="n">
        <f>IF(COUNTA('DATOS'!B430:O430)&gt;0,1,0)</f>
        <v>0</v>
      </c>
      <c r="O430" s="29">
        <f>IFERROR(IF(N430=0,"",IF(OR(NOT(AND(LEN(TRIM('DATOS'!B430&amp;""))&gt;0,TRIM('DATOS'!B430&amp;"")&lt;&gt;"Pendiente",TRIM('DATOS'!B430&amp;"")&lt;&gt;"Por confirmar",TRIM('DATOS'!B430&amp;"")&lt;&gt;"No consta",TRIM('DATOS'!B430&amp;"")&lt;&gt;"Desconocido",TRIM('DATOS'!B430&amp;"")&lt;&gt;"Sin confirmar",TRIM('DATOS'!B430&amp;"")&lt;&gt;"Por decidir",TRIM('DATOS'!B430&amp;"")&lt;&gt;"Por comprobar")),NOT(AND(LEN(TRIM('DATOS'!C430&amp;""))&gt;0,TRIM('DATOS'!C430&amp;"")&lt;&gt;"Pendiente",TRIM('DATOS'!C430&amp;"")&lt;&gt;"Por confirmar",TRIM('DATOS'!C430&amp;"")&lt;&gt;"No consta",TRIM('DATOS'!C430&amp;"")&lt;&gt;"Desconocido",TRIM('DATOS'!C430&amp;"")&lt;&gt;"Sin confirmar",TRIM('DATOS'!C430&amp;"")&lt;&gt;"Por decidir",TRIM('DATOS'!C430&amp;"")&lt;&gt;"Por comprobar")),NOT(AND(LEN(TRIM('DATOS'!D430&amp;""))&gt;0,TRIM('DATOS'!D430&amp;"")&lt;&gt;"Pendiente",TRIM('DATOS'!D430&amp;"")&lt;&gt;"Por confirmar",TRIM('DATOS'!D430&amp;"")&lt;&gt;"No consta",TRIM('DATOS'!D430&amp;"")&lt;&gt;"Desconocido",TRIM('DATOS'!D430&amp;"")&lt;&gt;"Sin confirmar",TRIM('DATOS'!D430&amp;"")&lt;&gt;"Por decidir",TRIM('DATOS'!D430&amp;"")&lt;&gt;"Por comprobar")),NOT(AND(LEN(TRIM('DATOS'!E430&amp;""))&gt;0,TRIM('DATOS'!E430&amp;"")&lt;&gt;"Pendiente",TRIM('DATOS'!E430&amp;"")&lt;&gt;"Por confirmar",TRIM('DATOS'!E430&amp;"")&lt;&gt;"No consta",TRIM('DATOS'!E430&amp;"")&lt;&gt;"Desconocido",TRIM('DATOS'!E430&amp;"")&lt;&gt;"Sin confirmar",TRIM('DATOS'!E430&amp;"")&lt;&gt;"Por decidir",TRIM('DATOS'!E430&amp;"")&lt;&gt;"Por comprobar")),NOT(AND(LEN(TRIM('DATOS'!F430&amp;""))&gt;0,TRIM('DATOS'!F430&amp;"")&lt;&gt;"Pendiente",TRIM('DATOS'!F430&amp;"")&lt;&gt;"Por confirmar",TRIM('DATOS'!F430&amp;"")&lt;&gt;"No consta",TRIM('DATOS'!F430&amp;"")&lt;&gt;"Desconocido",TRIM('DATOS'!F430&amp;"")&lt;&gt;"Sin confirmar",TRIM('DATOS'!F430&amp;"")&lt;&gt;"Por decidir",TRIM('DATOS'!F430&amp;"")&lt;&gt;"Por comprobar")),NOT(AND(LEN(TRIM('DATOS'!N430&amp;""))&gt;0,TRIM('DATOS'!N430&amp;"")&lt;&gt;"Pendiente",TRIM('DATOS'!N430&amp;"")&lt;&gt;"Por confirmar",TRIM('DATOS'!N430&amp;"")&lt;&gt;"No consta",TRIM('DATOS'!N430&amp;"")&lt;&gt;"Desconocido",TRIM('DATOS'!N430&amp;"")&lt;&gt;"Sin confirmar",TRIM('DATOS'!N430&amp;"")&lt;&gt;"Por decidir",TRIM('DATOS'!N430&amp;"")&lt;&gt;"Por comprobar")),NOT(Y430=1),W430&lt;&gt;1,X430&gt;1,NOT(OR(LEN(TRIM('DATOS'!K430&amp;""))=0,'DATOS'!K430="Sin valorar",'DATOS'!K430="Sin coste documentado",'DATOS'!K430="Incluido en otra partida",'DATOS'!K430="Por confirmar")),NOT(OR(LEN(TRIM('DATOS'!M430&amp;""))=0,'DATOS'!M430="Sí",'DATOS'!M430="No",'DATOS'!M430="Por confirmar")),NOT(OR(LEN(TRIM('DATOS'!O430&amp;""))=0,'DATOS'!O430="Comparamos",'DATOS'!O430="No existe",'DATOS'!O430="Por confirmar"))),2,IF(AND(OR('DATOS'!G430&lt;0,'DATOS'!H430&lt;0,'DATOS'!J430&lt;0),NOT(AND(LEN(TRIM('DATOS'!L430&amp;""))&gt;0,TRIM('DATOS'!L430&amp;"")&lt;&gt;"Pendiente",TRIM('DATOS'!L430&amp;"")&lt;&gt;"Por confirmar",TRIM('DATOS'!L430&amp;"")&lt;&gt;"No consta",TRIM('DATOS'!L430&amp;"")&lt;&gt;"Desconocido",TRIM('DATOS'!L430&amp;"")&lt;&gt;"Sin confirmar",TRIM('DATOS'!L430&amp;"")&lt;&gt;"Por decidir",TRIM('DATOS'!L430&amp;"")&lt;&gt;"Por comprobar"))),1,0))),2)</f>
      </c>
      <c r="P430" s="29">
        <f>IFERROR(IF(N430=0,"",IF(NOT(Y430=1),1,IF('REFERENCIAS'!$Q$8&lt;&gt;1,2,IF(ABS('DATOS'!J430-ROUND('DATOS'!G430*'DATOS'!H430,'REFERENCIAS'!$K$8))&gt;0.00000001,2,IF('DATOS'!O430="No existe",IF(LEN(TRIM('DATOS'!I430&amp;""))=0,0,2),IF('DATOS'!O430="Comparamos",IF(LEN(TRIM('DATOS'!I430&amp;""))=0,1,IF(ISNUMBER('DATOS'!I430),IF(ABS('DATOS'!H430-'DATOS'!I430)&gt;0.00000001,2,0),2)),1)))))),2)</f>
      </c>
      <c r="Q430" s="29">
        <f>IFERROR(IF(N430=0,"",IF(NOT(Y430=1),1,IF('DATOS'!K430="Sin valorar",2,IF('DATOS'!G430=0,1,IF(OR('DATOS'!H430=0,'DATOS'!J430=0),IF(AND(OR('DATOS'!K430="Sin coste documentado",'DATOS'!K430="Incluido en otra partida"),AND(LEN(TRIM('DATOS'!L430&amp;""))&gt;0,TRIM('DATOS'!L430&amp;"")&lt;&gt;"Pendiente",TRIM('DATOS'!L430&amp;"")&lt;&gt;"Por confirmar",TRIM('DATOS'!L430&amp;"")&lt;&gt;"No consta",TRIM('DATOS'!L430&amp;"")&lt;&gt;"Desconocido",TRIM('DATOS'!L430&amp;"")&lt;&gt;"Sin confirmar",TRIM('DATOS'!L430&amp;"")&lt;&gt;"Por decidir",TRIM('DATOS'!L430&amp;"")&lt;&gt;"Por comprobar")),0,1),0))))),2)</f>
      </c>
      <c r="R430" s="29">
        <f>IFERROR(IF(N430=0,"",IF(OR(NOT(AND(LEN(TRIM('DATOS'!D430&amp;""))&gt;0,TRIM('DATOS'!D430&amp;"")&lt;&gt;"Pendiente",TRIM('DATOS'!D430&amp;"")&lt;&gt;"Por confirmar",TRIM('DATOS'!D430&amp;"")&lt;&gt;"No consta",TRIM('DATOS'!D430&amp;"")&lt;&gt;"Desconocido",TRIM('DATOS'!D430&amp;"")&lt;&gt;"Sin confirmar",TRIM('DATOS'!D430&amp;"")&lt;&gt;"Por decidir",TRIM('DATOS'!D430&amp;"")&lt;&gt;"Por comprobar")),NOT(AND(LEN(TRIM('DATOS'!E430&amp;""))&gt;0,TRIM('DATOS'!E430&amp;"")&lt;&gt;"Pendiente",TRIM('DATOS'!E430&amp;"")&lt;&gt;"Por confirmar",TRIM('DATOS'!E430&amp;"")&lt;&gt;"No consta",TRIM('DATOS'!E430&amp;"")&lt;&gt;"Desconocido",TRIM('DATOS'!E430&amp;"")&lt;&gt;"Sin confirmar",TRIM('DATOS'!E430&amp;"")&lt;&gt;"Por decidir",TRIM('DATOS'!E430&amp;"")&lt;&gt;"Por comprobar"))),2,IF('DATOS'!M430="No",2,IF('DATOS'!M430="Sí",0,IF(OR('DATOS'!D430&lt;&gt;'DATOS'!E430,LEN('DATOS'!E430)&gt;300,RIGHT(TRIM('DATOS'!E430),3)="...",RIGHT(TRIM('DATOS'!E430),1)="…"),1,0))))),2)</f>
      </c>
      <c r="S430" s="29">
        <f>IFERROR(IF(N430=0,"",IF('REFERENCIAS'!$Q$8&lt;&gt;1,2,IF(NOT(Y430=1),1,IF(OR(ABS('DATOS'!G430-ROUND('DATOS'!G430,'REFERENCIAS'!$E$8))&gt;0.00000001,ABS('DATOS'!H430-ROUND('DATOS'!H430,'REFERENCIAS'!$H$8))&gt;0.00000001,ABS('DATOS'!J430-ROUND('DATOS'!J430,'REFERENCIAS'!$K$8))&gt;0.00000001,IF(ISNUMBER('DATOS'!I430),ABS('DATOS'!I430-ROUND('DATOS'!I430,'REFERENCIAS'!$H$8))&gt;0.00000001,FALSE)),1,0)))),2)</f>
      </c>
      <c r="T430" s="29">
        <f>IFERROR(IF(N430=0,"",IF(NOT(AND(LEN(TRIM('DATOS'!F430&amp;""))&gt;0,TRIM('DATOS'!F430&amp;"")&lt;&gt;"Pendiente",TRIM('DATOS'!F430&amp;"")&lt;&gt;"Por confirmar",TRIM('DATOS'!F430&amp;"")&lt;&gt;"No consta",TRIM('DATOS'!F430&amp;"")&lt;&gt;"Desconocido",TRIM('DATOS'!F430&amp;"")&lt;&gt;"Sin confirmar",TRIM('DATOS'!F430&amp;"")&lt;&gt;"Por decidir",TRIM('DATOS'!F430&amp;"")&lt;&gt;"Por comprobar")),2,IF(COUNTIFS('REFERENCIAS'!$T$15:$T$34,"ID:"&amp;SUBSTITUTE(SUBSTITUTE(SUBSTITUTE(SUBSTITUTE(UPPER(TRIM('DATOS'!F430&amp;"")),"!","!E"),"*","!A"),"?","!B"),"~","!C"),'REFERENCIAS'!$H$15:$H$34,"&lt;&gt;")&gt;0,0,1))),2)</f>
      </c>
      <c r="U430" s="29" t="str">
        <f>'DATOS'!R430</f>
        <v>ID:</v>
      </c>
      <c r="V430" s="29" t="str">
        <f>'DATOS'!S430</f>
        <v>ID:</v>
      </c>
      <c r="W430" s="29" t="n">
        <f>IF(N430=0,0,COUNTIFS('REFERENCIAS'!$R$15:$R$64,U430))</f>
        <v>0</v>
      </c>
      <c r="X430" s="29" t="n">
        <f>IF(N430=0,0,COUNTIFS('DATOS'!$R$10:$R$509,U430,'DATOS'!$S$10:$S$509,V430))</f>
        <v>0</v>
      </c>
      <c r="Y430" s="29" t="n">
        <f>IF(AND(ISNUMBER('DATOS'!G430),ISNUMBER('DATOS'!H430),ISNUMBER('DATOS'!J430)),1,0)</f>
        <v>0</v>
      </c>
    </row>
    <row r="431" ht="64" customHeight="1">
      <c r="B431" s="26">
        <f>IF(N431=1,422,"")</f>
      </c>
      <c r="C431" s="26">
        <f>IF(AND(N431=1,LEN(TRIM('DATOS'!B431&amp;""))&gt;0),'DATOS'!B431,"")</f>
      </c>
      <c r="D431" s="26">
        <f>IF(AND(N431=1,LEN(TRIM('DATOS'!C431&amp;""))&gt;0),'DATOS'!C431,"")</f>
      </c>
      <c r="E431" s="26">
        <f>IF(NOT(ISNUMBER(P431)),"",IF(P431=2,"ROJO",IF(P431=1,"ÁMBAR","VERDE")))</f>
      </c>
      <c r="F431" s="26">
        <f>IF(NOT(ISNUMBER(Q431)),"",IF(Q431=2,"ROJO",IF(Q431=1,"ÁMBAR","VERDE")))</f>
      </c>
      <c r="G431" s="26">
        <f>IF(NOT(ISNUMBER(R431)),"",IF(R431=2,"ROJO",IF(R431=1,"ÁMBAR","VERDE")))</f>
      </c>
      <c r="H431" s="26">
        <f>IF(NOT(ISNUMBER(S431)),"",IF(S431=2,"ROJO",IF(S431=1,"ÁMBAR","VERDE")))</f>
      </c>
      <c r="I431" s="26">
        <f>IF(NOT(ISNUMBER(T431)),"",IF(T431=2,"ROJO",IF(T431=1,"ÁMBAR","VERDE")))</f>
      </c>
      <c r="J431" s="26">
        <f>IF(NOT(ISNUMBER(O431)),"",IF(O431=2,"ROJO",IF(O431=1,"ÁMBAR","VERDE")))</f>
      </c>
      <c r="K431" s="26">
        <f>IFERROR(IF(AND(N431=1,LEN(TRIM('DATOS'!N431&amp;""))&gt;0),'DATOS'!N431,""),"Hay una entrada con error. Corregimos el dato antes de cerrar la comprobación.")</f>
      </c>
      <c r="L431" s="26">
        <f>IFERROR(IF(N431=0,"",IF(O431&gt;0,"Completamos datos, claves o motivo. ","")&amp;IF(P431&gt;0,"Cotejamos precios e importe. ","")&amp;IF(Q431&gt;0,"Aclaramos el cero. ","")&amp;IF(R431&gt;0,"Comprobamos el texto. ","")&amp;IF(S431&gt;0,"Revisamos decimales visibles. ","")&amp;IF(T431&gt;0,"Confirmamos la unidad.","")),"Hay una entrada con error. Corregimos el dato antes de cerrar la comprobación.")</f>
      </c>
      <c r="N431" s="29" t="n">
        <f>IF(COUNTA('DATOS'!B431:O431)&gt;0,1,0)</f>
        <v>0</v>
      </c>
      <c r="O431" s="29">
        <f>IFERROR(IF(N431=0,"",IF(OR(NOT(AND(LEN(TRIM('DATOS'!B431&amp;""))&gt;0,TRIM('DATOS'!B431&amp;"")&lt;&gt;"Pendiente",TRIM('DATOS'!B431&amp;"")&lt;&gt;"Por confirmar",TRIM('DATOS'!B431&amp;"")&lt;&gt;"No consta",TRIM('DATOS'!B431&amp;"")&lt;&gt;"Desconocido",TRIM('DATOS'!B431&amp;"")&lt;&gt;"Sin confirmar",TRIM('DATOS'!B431&amp;"")&lt;&gt;"Por decidir",TRIM('DATOS'!B431&amp;"")&lt;&gt;"Por comprobar")),NOT(AND(LEN(TRIM('DATOS'!C431&amp;""))&gt;0,TRIM('DATOS'!C431&amp;"")&lt;&gt;"Pendiente",TRIM('DATOS'!C431&amp;"")&lt;&gt;"Por confirmar",TRIM('DATOS'!C431&amp;"")&lt;&gt;"No consta",TRIM('DATOS'!C431&amp;"")&lt;&gt;"Desconocido",TRIM('DATOS'!C431&amp;"")&lt;&gt;"Sin confirmar",TRIM('DATOS'!C431&amp;"")&lt;&gt;"Por decidir",TRIM('DATOS'!C431&amp;"")&lt;&gt;"Por comprobar")),NOT(AND(LEN(TRIM('DATOS'!D431&amp;""))&gt;0,TRIM('DATOS'!D431&amp;"")&lt;&gt;"Pendiente",TRIM('DATOS'!D431&amp;"")&lt;&gt;"Por confirmar",TRIM('DATOS'!D431&amp;"")&lt;&gt;"No consta",TRIM('DATOS'!D431&amp;"")&lt;&gt;"Desconocido",TRIM('DATOS'!D431&amp;"")&lt;&gt;"Sin confirmar",TRIM('DATOS'!D431&amp;"")&lt;&gt;"Por decidir",TRIM('DATOS'!D431&amp;"")&lt;&gt;"Por comprobar")),NOT(AND(LEN(TRIM('DATOS'!E431&amp;""))&gt;0,TRIM('DATOS'!E431&amp;"")&lt;&gt;"Pendiente",TRIM('DATOS'!E431&amp;"")&lt;&gt;"Por confirmar",TRIM('DATOS'!E431&amp;"")&lt;&gt;"No consta",TRIM('DATOS'!E431&amp;"")&lt;&gt;"Desconocido",TRIM('DATOS'!E431&amp;"")&lt;&gt;"Sin confirmar",TRIM('DATOS'!E431&amp;"")&lt;&gt;"Por decidir",TRIM('DATOS'!E431&amp;"")&lt;&gt;"Por comprobar")),NOT(AND(LEN(TRIM('DATOS'!F431&amp;""))&gt;0,TRIM('DATOS'!F431&amp;"")&lt;&gt;"Pendiente",TRIM('DATOS'!F431&amp;"")&lt;&gt;"Por confirmar",TRIM('DATOS'!F431&amp;"")&lt;&gt;"No consta",TRIM('DATOS'!F431&amp;"")&lt;&gt;"Desconocido",TRIM('DATOS'!F431&amp;"")&lt;&gt;"Sin confirmar",TRIM('DATOS'!F431&amp;"")&lt;&gt;"Por decidir",TRIM('DATOS'!F431&amp;"")&lt;&gt;"Por comprobar")),NOT(AND(LEN(TRIM('DATOS'!N431&amp;""))&gt;0,TRIM('DATOS'!N431&amp;"")&lt;&gt;"Pendiente",TRIM('DATOS'!N431&amp;"")&lt;&gt;"Por confirmar",TRIM('DATOS'!N431&amp;"")&lt;&gt;"No consta",TRIM('DATOS'!N431&amp;"")&lt;&gt;"Desconocido",TRIM('DATOS'!N431&amp;"")&lt;&gt;"Sin confirmar",TRIM('DATOS'!N431&amp;"")&lt;&gt;"Por decidir",TRIM('DATOS'!N431&amp;"")&lt;&gt;"Por comprobar")),NOT(Y431=1),W431&lt;&gt;1,X431&gt;1,NOT(OR(LEN(TRIM('DATOS'!K431&amp;""))=0,'DATOS'!K431="Sin valorar",'DATOS'!K431="Sin coste documentado",'DATOS'!K431="Incluido en otra partida",'DATOS'!K431="Por confirmar")),NOT(OR(LEN(TRIM('DATOS'!M431&amp;""))=0,'DATOS'!M431="Sí",'DATOS'!M431="No",'DATOS'!M431="Por confirmar")),NOT(OR(LEN(TRIM('DATOS'!O431&amp;""))=0,'DATOS'!O431="Comparamos",'DATOS'!O431="No existe",'DATOS'!O431="Por confirmar"))),2,IF(AND(OR('DATOS'!G431&lt;0,'DATOS'!H431&lt;0,'DATOS'!J431&lt;0),NOT(AND(LEN(TRIM('DATOS'!L431&amp;""))&gt;0,TRIM('DATOS'!L431&amp;"")&lt;&gt;"Pendiente",TRIM('DATOS'!L431&amp;"")&lt;&gt;"Por confirmar",TRIM('DATOS'!L431&amp;"")&lt;&gt;"No consta",TRIM('DATOS'!L431&amp;"")&lt;&gt;"Desconocido",TRIM('DATOS'!L431&amp;"")&lt;&gt;"Sin confirmar",TRIM('DATOS'!L431&amp;"")&lt;&gt;"Por decidir",TRIM('DATOS'!L431&amp;"")&lt;&gt;"Por comprobar"))),1,0))),2)</f>
      </c>
      <c r="P431" s="29">
        <f>IFERROR(IF(N431=0,"",IF(NOT(Y431=1),1,IF('REFERENCIAS'!$Q$8&lt;&gt;1,2,IF(ABS('DATOS'!J431-ROUND('DATOS'!G431*'DATOS'!H431,'REFERENCIAS'!$K$8))&gt;0.00000001,2,IF('DATOS'!O431="No existe",IF(LEN(TRIM('DATOS'!I431&amp;""))=0,0,2),IF('DATOS'!O431="Comparamos",IF(LEN(TRIM('DATOS'!I431&amp;""))=0,1,IF(ISNUMBER('DATOS'!I431),IF(ABS('DATOS'!H431-'DATOS'!I431)&gt;0.00000001,2,0),2)),1)))))),2)</f>
      </c>
      <c r="Q431" s="29">
        <f>IFERROR(IF(N431=0,"",IF(NOT(Y431=1),1,IF('DATOS'!K431="Sin valorar",2,IF('DATOS'!G431=0,1,IF(OR('DATOS'!H431=0,'DATOS'!J431=0),IF(AND(OR('DATOS'!K431="Sin coste documentado",'DATOS'!K431="Incluido en otra partida"),AND(LEN(TRIM('DATOS'!L431&amp;""))&gt;0,TRIM('DATOS'!L431&amp;"")&lt;&gt;"Pendiente",TRIM('DATOS'!L431&amp;"")&lt;&gt;"Por confirmar",TRIM('DATOS'!L431&amp;"")&lt;&gt;"No consta",TRIM('DATOS'!L431&amp;"")&lt;&gt;"Desconocido",TRIM('DATOS'!L431&amp;"")&lt;&gt;"Sin confirmar",TRIM('DATOS'!L431&amp;"")&lt;&gt;"Por decidir",TRIM('DATOS'!L431&amp;"")&lt;&gt;"Por comprobar")),0,1),0))))),2)</f>
      </c>
      <c r="R431" s="29">
        <f>IFERROR(IF(N431=0,"",IF(OR(NOT(AND(LEN(TRIM('DATOS'!D431&amp;""))&gt;0,TRIM('DATOS'!D431&amp;"")&lt;&gt;"Pendiente",TRIM('DATOS'!D431&amp;"")&lt;&gt;"Por confirmar",TRIM('DATOS'!D431&amp;"")&lt;&gt;"No consta",TRIM('DATOS'!D431&amp;"")&lt;&gt;"Desconocido",TRIM('DATOS'!D431&amp;"")&lt;&gt;"Sin confirmar",TRIM('DATOS'!D431&amp;"")&lt;&gt;"Por decidir",TRIM('DATOS'!D431&amp;"")&lt;&gt;"Por comprobar")),NOT(AND(LEN(TRIM('DATOS'!E431&amp;""))&gt;0,TRIM('DATOS'!E431&amp;"")&lt;&gt;"Pendiente",TRIM('DATOS'!E431&amp;"")&lt;&gt;"Por confirmar",TRIM('DATOS'!E431&amp;"")&lt;&gt;"No consta",TRIM('DATOS'!E431&amp;"")&lt;&gt;"Desconocido",TRIM('DATOS'!E431&amp;"")&lt;&gt;"Sin confirmar",TRIM('DATOS'!E431&amp;"")&lt;&gt;"Por decidir",TRIM('DATOS'!E431&amp;"")&lt;&gt;"Por comprobar"))),2,IF('DATOS'!M431="No",2,IF('DATOS'!M431="Sí",0,IF(OR('DATOS'!D431&lt;&gt;'DATOS'!E431,LEN('DATOS'!E431)&gt;300,RIGHT(TRIM('DATOS'!E431),3)="...",RIGHT(TRIM('DATOS'!E431),1)="…"),1,0))))),2)</f>
      </c>
      <c r="S431" s="29">
        <f>IFERROR(IF(N431=0,"",IF('REFERENCIAS'!$Q$8&lt;&gt;1,2,IF(NOT(Y431=1),1,IF(OR(ABS('DATOS'!G431-ROUND('DATOS'!G431,'REFERENCIAS'!$E$8))&gt;0.00000001,ABS('DATOS'!H431-ROUND('DATOS'!H431,'REFERENCIAS'!$H$8))&gt;0.00000001,ABS('DATOS'!J431-ROUND('DATOS'!J431,'REFERENCIAS'!$K$8))&gt;0.00000001,IF(ISNUMBER('DATOS'!I431),ABS('DATOS'!I431-ROUND('DATOS'!I431,'REFERENCIAS'!$H$8))&gt;0.00000001,FALSE)),1,0)))),2)</f>
      </c>
      <c r="T431" s="29">
        <f>IFERROR(IF(N431=0,"",IF(NOT(AND(LEN(TRIM('DATOS'!F431&amp;""))&gt;0,TRIM('DATOS'!F431&amp;"")&lt;&gt;"Pendiente",TRIM('DATOS'!F431&amp;"")&lt;&gt;"Por confirmar",TRIM('DATOS'!F431&amp;"")&lt;&gt;"No consta",TRIM('DATOS'!F431&amp;"")&lt;&gt;"Desconocido",TRIM('DATOS'!F431&amp;"")&lt;&gt;"Sin confirmar",TRIM('DATOS'!F431&amp;"")&lt;&gt;"Por decidir",TRIM('DATOS'!F431&amp;"")&lt;&gt;"Por comprobar")),2,IF(COUNTIFS('REFERENCIAS'!$T$15:$T$34,"ID:"&amp;SUBSTITUTE(SUBSTITUTE(SUBSTITUTE(SUBSTITUTE(UPPER(TRIM('DATOS'!F431&amp;"")),"!","!E"),"*","!A"),"?","!B"),"~","!C"),'REFERENCIAS'!$H$15:$H$34,"&lt;&gt;")&gt;0,0,1))),2)</f>
      </c>
      <c r="U431" s="29" t="str">
        <f>'DATOS'!R431</f>
        <v>ID:</v>
      </c>
      <c r="V431" s="29" t="str">
        <f>'DATOS'!S431</f>
        <v>ID:</v>
      </c>
      <c r="W431" s="29" t="n">
        <f>IF(N431=0,0,COUNTIFS('REFERENCIAS'!$R$15:$R$64,U431))</f>
        <v>0</v>
      </c>
      <c r="X431" s="29" t="n">
        <f>IF(N431=0,0,COUNTIFS('DATOS'!$R$10:$R$509,U431,'DATOS'!$S$10:$S$509,V431))</f>
        <v>0</v>
      </c>
      <c r="Y431" s="29" t="n">
        <f>IF(AND(ISNUMBER('DATOS'!G431),ISNUMBER('DATOS'!H431),ISNUMBER('DATOS'!J431)),1,0)</f>
        <v>0</v>
      </c>
    </row>
    <row r="432" ht="64" customHeight="1">
      <c r="B432" s="26">
        <f>IF(N432=1,423,"")</f>
      </c>
      <c r="C432" s="26">
        <f>IF(AND(N432=1,LEN(TRIM('DATOS'!B432&amp;""))&gt;0),'DATOS'!B432,"")</f>
      </c>
      <c r="D432" s="26">
        <f>IF(AND(N432=1,LEN(TRIM('DATOS'!C432&amp;""))&gt;0),'DATOS'!C432,"")</f>
      </c>
      <c r="E432" s="26">
        <f>IF(NOT(ISNUMBER(P432)),"",IF(P432=2,"ROJO",IF(P432=1,"ÁMBAR","VERDE")))</f>
      </c>
      <c r="F432" s="26">
        <f>IF(NOT(ISNUMBER(Q432)),"",IF(Q432=2,"ROJO",IF(Q432=1,"ÁMBAR","VERDE")))</f>
      </c>
      <c r="G432" s="26">
        <f>IF(NOT(ISNUMBER(R432)),"",IF(R432=2,"ROJO",IF(R432=1,"ÁMBAR","VERDE")))</f>
      </c>
      <c r="H432" s="26">
        <f>IF(NOT(ISNUMBER(S432)),"",IF(S432=2,"ROJO",IF(S432=1,"ÁMBAR","VERDE")))</f>
      </c>
      <c r="I432" s="26">
        <f>IF(NOT(ISNUMBER(T432)),"",IF(T432=2,"ROJO",IF(T432=1,"ÁMBAR","VERDE")))</f>
      </c>
      <c r="J432" s="26">
        <f>IF(NOT(ISNUMBER(O432)),"",IF(O432=2,"ROJO",IF(O432=1,"ÁMBAR","VERDE")))</f>
      </c>
      <c r="K432" s="26">
        <f>IFERROR(IF(AND(N432=1,LEN(TRIM('DATOS'!N432&amp;""))&gt;0),'DATOS'!N432,""),"Hay una entrada con error. Corregimos el dato antes de cerrar la comprobación.")</f>
      </c>
      <c r="L432" s="26">
        <f>IFERROR(IF(N432=0,"",IF(O432&gt;0,"Completamos datos, claves o motivo. ","")&amp;IF(P432&gt;0,"Cotejamos precios e importe. ","")&amp;IF(Q432&gt;0,"Aclaramos el cero. ","")&amp;IF(R432&gt;0,"Comprobamos el texto. ","")&amp;IF(S432&gt;0,"Revisamos decimales visibles. ","")&amp;IF(T432&gt;0,"Confirmamos la unidad.","")),"Hay una entrada con error. Corregimos el dato antes de cerrar la comprobación.")</f>
      </c>
      <c r="N432" s="29" t="n">
        <f>IF(COUNTA('DATOS'!B432:O432)&gt;0,1,0)</f>
        <v>0</v>
      </c>
      <c r="O432" s="29">
        <f>IFERROR(IF(N432=0,"",IF(OR(NOT(AND(LEN(TRIM('DATOS'!B432&amp;""))&gt;0,TRIM('DATOS'!B432&amp;"")&lt;&gt;"Pendiente",TRIM('DATOS'!B432&amp;"")&lt;&gt;"Por confirmar",TRIM('DATOS'!B432&amp;"")&lt;&gt;"No consta",TRIM('DATOS'!B432&amp;"")&lt;&gt;"Desconocido",TRIM('DATOS'!B432&amp;"")&lt;&gt;"Sin confirmar",TRIM('DATOS'!B432&amp;"")&lt;&gt;"Por decidir",TRIM('DATOS'!B432&amp;"")&lt;&gt;"Por comprobar")),NOT(AND(LEN(TRIM('DATOS'!C432&amp;""))&gt;0,TRIM('DATOS'!C432&amp;"")&lt;&gt;"Pendiente",TRIM('DATOS'!C432&amp;"")&lt;&gt;"Por confirmar",TRIM('DATOS'!C432&amp;"")&lt;&gt;"No consta",TRIM('DATOS'!C432&amp;"")&lt;&gt;"Desconocido",TRIM('DATOS'!C432&amp;"")&lt;&gt;"Sin confirmar",TRIM('DATOS'!C432&amp;"")&lt;&gt;"Por decidir",TRIM('DATOS'!C432&amp;"")&lt;&gt;"Por comprobar")),NOT(AND(LEN(TRIM('DATOS'!D432&amp;""))&gt;0,TRIM('DATOS'!D432&amp;"")&lt;&gt;"Pendiente",TRIM('DATOS'!D432&amp;"")&lt;&gt;"Por confirmar",TRIM('DATOS'!D432&amp;"")&lt;&gt;"No consta",TRIM('DATOS'!D432&amp;"")&lt;&gt;"Desconocido",TRIM('DATOS'!D432&amp;"")&lt;&gt;"Sin confirmar",TRIM('DATOS'!D432&amp;"")&lt;&gt;"Por decidir",TRIM('DATOS'!D432&amp;"")&lt;&gt;"Por comprobar")),NOT(AND(LEN(TRIM('DATOS'!E432&amp;""))&gt;0,TRIM('DATOS'!E432&amp;"")&lt;&gt;"Pendiente",TRIM('DATOS'!E432&amp;"")&lt;&gt;"Por confirmar",TRIM('DATOS'!E432&amp;"")&lt;&gt;"No consta",TRIM('DATOS'!E432&amp;"")&lt;&gt;"Desconocido",TRIM('DATOS'!E432&amp;"")&lt;&gt;"Sin confirmar",TRIM('DATOS'!E432&amp;"")&lt;&gt;"Por decidir",TRIM('DATOS'!E432&amp;"")&lt;&gt;"Por comprobar")),NOT(AND(LEN(TRIM('DATOS'!F432&amp;""))&gt;0,TRIM('DATOS'!F432&amp;"")&lt;&gt;"Pendiente",TRIM('DATOS'!F432&amp;"")&lt;&gt;"Por confirmar",TRIM('DATOS'!F432&amp;"")&lt;&gt;"No consta",TRIM('DATOS'!F432&amp;"")&lt;&gt;"Desconocido",TRIM('DATOS'!F432&amp;"")&lt;&gt;"Sin confirmar",TRIM('DATOS'!F432&amp;"")&lt;&gt;"Por decidir",TRIM('DATOS'!F432&amp;"")&lt;&gt;"Por comprobar")),NOT(AND(LEN(TRIM('DATOS'!N432&amp;""))&gt;0,TRIM('DATOS'!N432&amp;"")&lt;&gt;"Pendiente",TRIM('DATOS'!N432&amp;"")&lt;&gt;"Por confirmar",TRIM('DATOS'!N432&amp;"")&lt;&gt;"No consta",TRIM('DATOS'!N432&amp;"")&lt;&gt;"Desconocido",TRIM('DATOS'!N432&amp;"")&lt;&gt;"Sin confirmar",TRIM('DATOS'!N432&amp;"")&lt;&gt;"Por decidir",TRIM('DATOS'!N432&amp;"")&lt;&gt;"Por comprobar")),NOT(Y432=1),W432&lt;&gt;1,X432&gt;1,NOT(OR(LEN(TRIM('DATOS'!K432&amp;""))=0,'DATOS'!K432="Sin valorar",'DATOS'!K432="Sin coste documentado",'DATOS'!K432="Incluido en otra partida",'DATOS'!K432="Por confirmar")),NOT(OR(LEN(TRIM('DATOS'!M432&amp;""))=0,'DATOS'!M432="Sí",'DATOS'!M432="No",'DATOS'!M432="Por confirmar")),NOT(OR(LEN(TRIM('DATOS'!O432&amp;""))=0,'DATOS'!O432="Comparamos",'DATOS'!O432="No existe",'DATOS'!O432="Por confirmar"))),2,IF(AND(OR('DATOS'!G432&lt;0,'DATOS'!H432&lt;0,'DATOS'!J432&lt;0),NOT(AND(LEN(TRIM('DATOS'!L432&amp;""))&gt;0,TRIM('DATOS'!L432&amp;"")&lt;&gt;"Pendiente",TRIM('DATOS'!L432&amp;"")&lt;&gt;"Por confirmar",TRIM('DATOS'!L432&amp;"")&lt;&gt;"No consta",TRIM('DATOS'!L432&amp;"")&lt;&gt;"Desconocido",TRIM('DATOS'!L432&amp;"")&lt;&gt;"Sin confirmar",TRIM('DATOS'!L432&amp;"")&lt;&gt;"Por decidir",TRIM('DATOS'!L432&amp;"")&lt;&gt;"Por comprobar"))),1,0))),2)</f>
      </c>
      <c r="P432" s="29">
        <f>IFERROR(IF(N432=0,"",IF(NOT(Y432=1),1,IF('REFERENCIAS'!$Q$8&lt;&gt;1,2,IF(ABS('DATOS'!J432-ROUND('DATOS'!G432*'DATOS'!H432,'REFERENCIAS'!$K$8))&gt;0.00000001,2,IF('DATOS'!O432="No existe",IF(LEN(TRIM('DATOS'!I432&amp;""))=0,0,2),IF('DATOS'!O432="Comparamos",IF(LEN(TRIM('DATOS'!I432&amp;""))=0,1,IF(ISNUMBER('DATOS'!I432),IF(ABS('DATOS'!H432-'DATOS'!I432)&gt;0.00000001,2,0),2)),1)))))),2)</f>
      </c>
      <c r="Q432" s="29">
        <f>IFERROR(IF(N432=0,"",IF(NOT(Y432=1),1,IF('DATOS'!K432="Sin valorar",2,IF('DATOS'!G432=0,1,IF(OR('DATOS'!H432=0,'DATOS'!J432=0),IF(AND(OR('DATOS'!K432="Sin coste documentado",'DATOS'!K432="Incluido en otra partida"),AND(LEN(TRIM('DATOS'!L432&amp;""))&gt;0,TRIM('DATOS'!L432&amp;"")&lt;&gt;"Pendiente",TRIM('DATOS'!L432&amp;"")&lt;&gt;"Por confirmar",TRIM('DATOS'!L432&amp;"")&lt;&gt;"No consta",TRIM('DATOS'!L432&amp;"")&lt;&gt;"Desconocido",TRIM('DATOS'!L432&amp;"")&lt;&gt;"Sin confirmar",TRIM('DATOS'!L432&amp;"")&lt;&gt;"Por decidir",TRIM('DATOS'!L432&amp;"")&lt;&gt;"Por comprobar")),0,1),0))))),2)</f>
      </c>
      <c r="R432" s="29">
        <f>IFERROR(IF(N432=0,"",IF(OR(NOT(AND(LEN(TRIM('DATOS'!D432&amp;""))&gt;0,TRIM('DATOS'!D432&amp;"")&lt;&gt;"Pendiente",TRIM('DATOS'!D432&amp;"")&lt;&gt;"Por confirmar",TRIM('DATOS'!D432&amp;"")&lt;&gt;"No consta",TRIM('DATOS'!D432&amp;"")&lt;&gt;"Desconocido",TRIM('DATOS'!D432&amp;"")&lt;&gt;"Sin confirmar",TRIM('DATOS'!D432&amp;"")&lt;&gt;"Por decidir",TRIM('DATOS'!D432&amp;"")&lt;&gt;"Por comprobar")),NOT(AND(LEN(TRIM('DATOS'!E432&amp;""))&gt;0,TRIM('DATOS'!E432&amp;"")&lt;&gt;"Pendiente",TRIM('DATOS'!E432&amp;"")&lt;&gt;"Por confirmar",TRIM('DATOS'!E432&amp;"")&lt;&gt;"No consta",TRIM('DATOS'!E432&amp;"")&lt;&gt;"Desconocido",TRIM('DATOS'!E432&amp;"")&lt;&gt;"Sin confirmar",TRIM('DATOS'!E432&amp;"")&lt;&gt;"Por decidir",TRIM('DATOS'!E432&amp;"")&lt;&gt;"Por comprobar"))),2,IF('DATOS'!M432="No",2,IF('DATOS'!M432="Sí",0,IF(OR('DATOS'!D432&lt;&gt;'DATOS'!E432,LEN('DATOS'!E432)&gt;300,RIGHT(TRIM('DATOS'!E432),3)="...",RIGHT(TRIM('DATOS'!E432),1)="…"),1,0))))),2)</f>
      </c>
      <c r="S432" s="29">
        <f>IFERROR(IF(N432=0,"",IF('REFERENCIAS'!$Q$8&lt;&gt;1,2,IF(NOT(Y432=1),1,IF(OR(ABS('DATOS'!G432-ROUND('DATOS'!G432,'REFERENCIAS'!$E$8))&gt;0.00000001,ABS('DATOS'!H432-ROUND('DATOS'!H432,'REFERENCIAS'!$H$8))&gt;0.00000001,ABS('DATOS'!J432-ROUND('DATOS'!J432,'REFERENCIAS'!$K$8))&gt;0.00000001,IF(ISNUMBER('DATOS'!I432),ABS('DATOS'!I432-ROUND('DATOS'!I432,'REFERENCIAS'!$H$8))&gt;0.00000001,FALSE)),1,0)))),2)</f>
      </c>
      <c r="T432" s="29">
        <f>IFERROR(IF(N432=0,"",IF(NOT(AND(LEN(TRIM('DATOS'!F432&amp;""))&gt;0,TRIM('DATOS'!F432&amp;"")&lt;&gt;"Pendiente",TRIM('DATOS'!F432&amp;"")&lt;&gt;"Por confirmar",TRIM('DATOS'!F432&amp;"")&lt;&gt;"No consta",TRIM('DATOS'!F432&amp;"")&lt;&gt;"Desconocido",TRIM('DATOS'!F432&amp;"")&lt;&gt;"Sin confirmar",TRIM('DATOS'!F432&amp;"")&lt;&gt;"Por decidir",TRIM('DATOS'!F432&amp;"")&lt;&gt;"Por comprobar")),2,IF(COUNTIFS('REFERENCIAS'!$T$15:$T$34,"ID:"&amp;SUBSTITUTE(SUBSTITUTE(SUBSTITUTE(SUBSTITUTE(UPPER(TRIM('DATOS'!F432&amp;"")),"!","!E"),"*","!A"),"?","!B"),"~","!C"),'REFERENCIAS'!$H$15:$H$34,"&lt;&gt;")&gt;0,0,1))),2)</f>
      </c>
      <c r="U432" s="29" t="str">
        <f>'DATOS'!R432</f>
        <v>ID:</v>
      </c>
      <c r="V432" s="29" t="str">
        <f>'DATOS'!S432</f>
        <v>ID:</v>
      </c>
      <c r="W432" s="29" t="n">
        <f>IF(N432=0,0,COUNTIFS('REFERENCIAS'!$R$15:$R$64,U432))</f>
        <v>0</v>
      </c>
      <c r="X432" s="29" t="n">
        <f>IF(N432=0,0,COUNTIFS('DATOS'!$R$10:$R$509,U432,'DATOS'!$S$10:$S$509,V432))</f>
        <v>0</v>
      </c>
      <c r="Y432" s="29" t="n">
        <f>IF(AND(ISNUMBER('DATOS'!G432),ISNUMBER('DATOS'!H432),ISNUMBER('DATOS'!J432)),1,0)</f>
        <v>0</v>
      </c>
    </row>
    <row r="433" ht="64" customHeight="1">
      <c r="B433" s="26">
        <f>IF(N433=1,424,"")</f>
      </c>
      <c r="C433" s="26">
        <f>IF(AND(N433=1,LEN(TRIM('DATOS'!B433&amp;""))&gt;0),'DATOS'!B433,"")</f>
      </c>
      <c r="D433" s="26">
        <f>IF(AND(N433=1,LEN(TRIM('DATOS'!C433&amp;""))&gt;0),'DATOS'!C433,"")</f>
      </c>
      <c r="E433" s="26">
        <f>IF(NOT(ISNUMBER(P433)),"",IF(P433=2,"ROJO",IF(P433=1,"ÁMBAR","VERDE")))</f>
      </c>
      <c r="F433" s="26">
        <f>IF(NOT(ISNUMBER(Q433)),"",IF(Q433=2,"ROJO",IF(Q433=1,"ÁMBAR","VERDE")))</f>
      </c>
      <c r="G433" s="26">
        <f>IF(NOT(ISNUMBER(R433)),"",IF(R433=2,"ROJO",IF(R433=1,"ÁMBAR","VERDE")))</f>
      </c>
      <c r="H433" s="26">
        <f>IF(NOT(ISNUMBER(S433)),"",IF(S433=2,"ROJO",IF(S433=1,"ÁMBAR","VERDE")))</f>
      </c>
      <c r="I433" s="26">
        <f>IF(NOT(ISNUMBER(T433)),"",IF(T433=2,"ROJO",IF(T433=1,"ÁMBAR","VERDE")))</f>
      </c>
      <c r="J433" s="26">
        <f>IF(NOT(ISNUMBER(O433)),"",IF(O433=2,"ROJO",IF(O433=1,"ÁMBAR","VERDE")))</f>
      </c>
      <c r="K433" s="26">
        <f>IFERROR(IF(AND(N433=1,LEN(TRIM('DATOS'!N433&amp;""))&gt;0),'DATOS'!N433,""),"Hay una entrada con error. Corregimos el dato antes de cerrar la comprobación.")</f>
      </c>
      <c r="L433" s="26">
        <f>IFERROR(IF(N433=0,"",IF(O433&gt;0,"Completamos datos, claves o motivo. ","")&amp;IF(P433&gt;0,"Cotejamos precios e importe. ","")&amp;IF(Q433&gt;0,"Aclaramos el cero. ","")&amp;IF(R433&gt;0,"Comprobamos el texto. ","")&amp;IF(S433&gt;0,"Revisamos decimales visibles. ","")&amp;IF(T433&gt;0,"Confirmamos la unidad.","")),"Hay una entrada con error. Corregimos el dato antes de cerrar la comprobación.")</f>
      </c>
      <c r="N433" s="29" t="n">
        <f>IF(COUNTA('DATOS'!B433:O433)&gt;0,1,0)</f>
        <v>0</v>
      </c>
      <c r="O433" s="29">
        <f>IFERROR(IF(N433=0,"",IF(OR(NOT(AND(LEN(TRIM('DATOS'!B433&amp;""))&gt;0,TRIM('DATOS'!B433&amp;"")&lt;&gt;"Pendiente",TRIM('DATOS'!B433&amp;"")&lt;&gt;"Por confirmar",TRIM('DATOS'!B433&amp;"")&lt;&gt;"No consta",TRIM('DATOS'!B433&amp;"")&lt;&gt;"Desconocido",TRIM('DATOS'!B433&amp;"")&lt;&gt;"Sin confirmar",TRIM('DATOS'!B433&amp;"")&lt;&gt;"Por decidir",TRIM('DATOS'!B433&amp;"")&lt;&gt;"Por comprobar")),NOT(AND(LEN(TRIM('DATOS'!C433&amp;""))&gt;0,TRIM('DATOS'!C433&amp;"")&lt;&gt;"Pendiente",TRIM('DATOS'!C433&amp;"")&lt;&gt;"Por confirmar",TRIM('DATOS'!C433&amp;"")&lt;&gt;"No consta",TRIM('DATOS'!C433&amp;"")&lt;&gt;"Desconocido",TRIM('DATOS'!C433&amp;"")&lt;&gt;"Sin confirmar",TRIM('DATOS'!C433&amp;"")&lt;&gt;"Por decidir",TRIM('DATOS'!C433&amp;"")&lt;&gt;"Por comprobar")),NOT(AND(LEN(TRIM('DATOS'!D433&amp;""))&gt;0,TRIM('DATOS'!D433&amp;"")&lt;&gt;"Pendiente",TRIM('DATOS'!D433&amp;"")&lt;&gt;"Por confirmar",TRIM('DATOS'!D433&amp;"")&lt;&gt;"No consta",TRIM('DATOS'!D433&amp;"")&lt;&gt;"Desconocido",TRIM('DATOS'!D433&amp;"")&lt;&gt;"Sin confirmar",TRIM('DATOS'!D433&amp;"")&lt;&gt;"Por decidir",TRIM('DATOS'!D433&amp;"")&lt;&gt;"Por comprobar")),NOT(AND(LEN(TRIM('DATOS'!E433&amp;""))&gt;0,TRIM('DATOS'!E433&amp;"")&lt;&gt;"Pendiente",TRIM('DATOS'!E433&amp;"")&lt;&gt;"Por confirmar",TRIM('DATOS'!E433&amp;"")&lt;&gt;"No consta",TRIM('DATOS'!E433&amp;"")&lt;&gt;"Desconocido",TRIM('DATOS'!E433&amp;"")&lt;&gt;"Sin confirmar",TRIM('DATOS'!E433&amp;"")&lt;&gt;"Por decidir",TRIM('DATOS'!E433&amp;"")&lt;&gt;"Por comprobar")),NOT(AND(LEN(TRIM('DATOS'!F433&amp;""))&gt;0,TRIM('DATOS'!F433&amp;"")&lt;&gt;"Pendiente",TRIM('DATOS'!F433&amp;"")&lt;&gt;"Por confirmar",TRIM('DATOS'!F433&amp;"")&lt;&gt;"No consta",TRIM('DATOS'!F433&amp;"")&lt;&gt;"Desconocido",TRIM('DATOS'!F433&amp;"")&lt;&gt;"Sin confirmar",TRIM('DATOS'!F433&amp;"")&lt;&gt;"Por decidir",TRIM('DATOS'!F433&amp;"")&lt;&gt;"Por comprobar")),NOT(AND(LEN(TRIM('DATOS'!N433&amp;""))&gt;0,TRIM('DATOS'!N433&amp;"")&lt;&gt;"Pendiente",TRIM('DATOS'!N433&amp;"")&lt;&gt;"Por confirmar",TRIM('DATOS'!N433&amp;"")&lt;&gt;"No consta",TRIM('DATOS'!N433&amp;"")&lt;&gt;"Desconocido",TRIM('DATOS'!N433&amp;"")&lt;&gt;"Sin confirmar",TRIM('DATOS'!N433&amp;"")&lt;&gt;"Por decidir",TRIM('DATOS'!N433&amp;"")&lt;&gt;"Por comprobar")),NOT(Y433=1),W433&lt;&gt;1,X433&gt;1,NOT(OR(LEN(TRIM('DATOS'!K433&amp;""))=0,'DATOS'!K433="Sin valorar",'DATOS'!K433="Sin coste documentado",'DATOS'!K433="Incluido en otra partida",'DATOS'!K433="Por confirmar")),NOT(OR(LEN(TRIM('DATOS'!M433&amp;""))=0,'DATOS'!M433="Sí",'DATOS'!M433="No",'DATOS'!M433="Por confirmar")),NOT(OR(LEN(TRIM('DATOS'!O433&amp;""))=0,'DATOS'!O433="Comparamos",'DATOS'!O433="No existe",'DATOS'!O433="Por confirmar"))),2,IF(AND(OR('DATOS'!G433&lt;0,'DATOS'!H433&lt;0,'DATOS'!J433&lt;0),NOT(AND(LEN(TRIM('DATOS'!L433&amp;""))&gt;0,TRIM('DATOS'!L433&amp;"")&lt;&gt;"Pendiente",TRIM('DATOS'!L433&amp;"")&lt;&gt;"Por confirmar",TRIM('DATOS'!L433&amp;"")&lt;&gt;"No consta",TRIM('DATOS'!L433&amp;"")&lt;&gt;"Desconocido",TRIM('DATOS'!L433&amp;"")&lt;&gt;"Sin confirmar",TRIM('DATOS'!L433&amp;"")&lt;&gt;"Por decidir",TRIM('DATOS'!L433&amp;"")&lt;&gt;"Por comprobar"))),1,0))),2)</f>
      </c>
      <c r="P433" s="29">
        <f>IFERROR(IF(N433=0,"",IF(NOT(Y433=1),1,IF('REFERENCIAS'!$Q$8&lt;&gt;1,2,IF(ABS('DATOS'!J433-ROUND('DATOS'!G433*'DATOS'!H433,'REFERENCIAS'!$K$8))&gt;0.00000001,2,IF('DATOS'!O433="No existe",IF(LEN(TRIM('DATOS'!I433&amp;""))=0,0,2),IF('DATOS'!O433="Comparamos",IF(LEN(TRIM('DATOS'!I433&amp;""))=0,1,IF(ISNUMBER('DATOS'!I433),IF(ABS('DATOS'!H433-'DATOS'!I433)&gt;0.00000001,2,0),2)),1)))))),2)</f>
      </c>
      <c r="Q433" s="29">
        <f>IFERROR(IF(N433=0,"",IF(NOT(Y433=1),1,IF('DATOS'!K433="Sin valorar",2,IF('DATOS'!G433=0,1,IF(OR('DATOS'!H433=0,'DATOS'!J433=0),IF(AND(OR('DATOS'!K433="Sin coste documentado",'DATOS'!K433="Incluido en otra partida"),AND(LEN(TRIM('DATOS'!L433&amp;""))&gt;0,TRIM('DATOS'!L433&amp;"")&lt;&gt;"Pendiente",TRIM('DATOS'!L433&amp;"")&lt;&gt;"Por confirmar",TRIM('DATOS'!L433&amp;"")&lt;&gt;"No consta",TRIM('DATOS'!L433&amp;"")&lt;&gt;"Desconocido",TRIM('DATOS'!L433&amp;"")&lt;&gt;"Sin confirmar",TRIM('DATOS'!L433&amp;"")&lt;&gt;"Por decidir",TRIM('DATOS'!L433&amp;"")&lt;&gt;"Por comprobar")),0,1),0))))),2)</f>
      </c>
      <c r="R433" s="29">
        <f>IFERROR(IF(N433=0,"",IF(OR(NOT(AND(LEN(TRIM('DATOS'!D433&amp;""))&gt;0,TRIM('DATOS'!D433&amp;"")&lt;&gt;"Pendiente",TRIM('DATOS'!D433&amp;"")&lt;&gt;"Por confirmar",TRIM('DATOS'!D433&amp;"")&lt;&gt;"No consta",TRIM('DATOS'!D433&amp;"")&lt;&gt;"Desconocido",TRIM('DATOS'!D433&amp;"")&lt;&gt;"Sin confirmar",TRIM('DATOS'!D433&amp;"")&lt;&gt;"Por decidir",TRIM('DATOS'!D433&amp;"")&lt;&gt;"Por comprobar")),NOT(AND(LEN(TRIM('DATOS'!E433&amp;""))&gt;0,TRIM('DATOS'!E433&amp;"")&lt;&gt;"Pendiente",TRIM('DATOS'!E433&amp;"")&lt;&gt;"Por confirmar",TRIM('DATOS'!E433&amp;"")&lt;&gt;"No consta",TRIM('DATOS'!E433&amp;"")&lt;&gt;"Desconocido",TRIM('DATOS'!E433&amp;"")&lt;&gt;"Sin confirmar",TRIM('DATOS'!E433&amp;"")&lt;&gt;"Por decidir",TRIM('DATOS'!E433&amp;"")&lt;&gt;"Por comprobar"))),2,IF('DATOS'!M433="No",2,IF('DATOS'!M433="Sí",0,IF(OR('DATOS'!D433&lt;&gt;'DATOS'!E433,LEN('DATOS'!E433)&gt;300,RIGHT(TRIM('DATOS'!E433),3)="...",RIGHT(TRIM('DATOS'!E433),1)="…"),1,0))))),2)</f>
      </c>
      <c r="S433" s="29">
        <f>IFERROR(IF(N433=0,"",IF('REFERENCIAS'!$Q$8&lt;&gt;1,2,IF(NOT(Y433=1),1,IF(OR(ABS('DATOS'!G433-ROUND('DATOS'!G433,'REFERENCIAS'!$E$8))&gt;0.00000001,ABS('DATOS'!H433-ROUND('DATOS'!H433,'REFERENCIAS'!$H$8))&gt;0.00000001,ABS('DATOS'!J433-ROUND('DATOS'!J433,'REFERENCIAS'!$K$8))&gt;0.00000001,IF(ISNUMBER('DATOS'!I433),ABS('DATOS'!I433-ROUND('DATOS'!I433,'REFERENCIAS'!$H$8))&gt;0.00000001,FALSE)),1,0)))),2)</f>
      </c>
      <c r="T433" s="29">
        <f>IFERROR(IF(N433=0,"",IF(NOT(AND(LEN(TRIM('DATOS'!F433&amp;""))&gt;0,TRIM('DATOS'!F433&amp;"")&lt;&gt;"Pendiente",TRIM('DATOS'!F433&amp;"")&lt;&gt;"Por confirmar",TRIM('DATOS'!F433&amp;"")&lt;&gt;"No consta",TRIM('DATOS'!F433&amp;"")&lt;&gt;"Desconocido",TRIM('DATOS'!F433&amp;"")&lt;&gt;"Sin confirmar",TRIM('DATOS'!F433&amp;"")&lt;&gt;"Por decidir",TRIM('DATOS'!F433&amp;"")&lt;&gt;"Por comprobar")),2,IF(COUNTIFS('REFERENCIAS'!$T$15:$T$34,"ID:"&amp;SUBSTITUTE(SUBSTITUTE(SUBSTITUTE(SUBSTITUTE(UPPER(TRIM('DATOS'!F433&amp;"")),"!","!E"),"*","!A"),"?","!B"),"~","!C"),'REFERENCIAS'!$H$15:$H$34,"&lt;&gt;")&gt;0,0,1))),2)</f>
      </c>
      <c r="U433" s="29" t="str">
        <f>'DATOS'!R433</f>
        <v>ID:</v>
      </c>
      <c r="V433" s="29" t="str">
        <f>'DATOS'!S433</f>
        <v>ID:</v>
      </c>
      <c r="W433" s="29" t="n">
        <f>IF(N433=0,0,COUNTIFS('REFERENCIAS'!$R$15:$R$64,U433))</f>
        <v>0</v>
      </c>
      <c r="X433" s="29" t="n">
        <f>IF(N433=0,0,COUNTIFS('DATOS'!$R$10:$R$509,U433,'DATOS'!$S$10:$S$509,V433))</f>
        <v>0</v>
      </c>
      <c r="Y433" s="29" t="n">
        <f>IF(AND(ISNUMBER('DATOS'!G433),ISNUMBER('DATOS'!H433),ISNUMBER('DATOS'!J433)),1,0)</f>
        <v>0</v>
      </c>
    </row>
    <row r="434" ht="64" customHeight="1">
      <c r="B434" s="26">
        <f>IF(N434=1,425,"")</f>
      </c>
      <c r="C434" s="26">
        <f>IF(AND(N434=1,LEN(TRIM('DATOS'!B434&amp;""))&gt;0),'DATOS'!B434,"")</f>
      </c>
      <c r="D434" s="26">
        <f>IF(AND(N434=1,LEN(TRIM('DATOS'!C434&amp;""))&gt;0),'DATOS'!C434,"")</f>
      </c>
      <c r="E434" s="26">
        <f>IF(NOT(ISNUMBER(P434)),"",IF(P434=2,"ROJO",IF(P434=1,"ÁMBAR","VERDE")))</f>
      </c>
      <c r="F434" s="26">
        <f>IF(NOT(ISNUMBER(Q434)),"",IF(Q434=2,"ROJO",IF(Q434=1,"ÁMBAR","VERDE")))</f>
      </c>
      <c r="G434" s="26">
        <f>IF(NOT(ISNUMBER(R434)),"",IF(R434=2,"ROJO",IF(R434=1,"ÁMBAR","VERDE")))</f>
      </c>
      <c r="H434" s="26">
        <f>IF(NOT(ISNUMBER(S434)),"",IF(S434=2,"ROJO",IF(S434=1,"ÁMBAR","VERDE")))</f>
      </c>
      <c r="I434" s="26">
        <f>IF(NOT(ISNUMBER(T434)),"",IF(T434=2,"ROJO",IF(T434=1,"ÁMBAR","VERDE")))</f>
      </c>
      <c r="J434" s="26">
        <f>IF(NOT(ISNUMBER(O434)),"",IF(O434=2,"ROJO",IF(O434=1,"ÁMBAR","VERDE")))</f>
      </c>
      <c r="K434" s="26">
        <f>IFERROR(IF(AND(N434=1,LEN(TRIM('DATOS'!N434&amp;""))&gt;0),'DATOS'!N434,""),"Hay una entrada con error. Corregimos el dato antes de cerrar la comprobación.")</f>
      </c>
      <c r="L434" s="26">
        <f>IFERROR(IF(N434=0,"",IF(O434&gt;0,"Completamos datos, claves o motivo. ","")&amp;IF(P434&gt;0,"Cotejamos precios e importe. ","")&amp;IF(Q434&gt;0,"Aclaramos el cero. ","")&amp;IF(R434&gt;0,"Comprobamos el texto. ","")&amp;IF(S434&gt;0,"Revisamos decimales visibles. ","")&amp;IF(T434&gt;0,"Confirmamos la unidad.","")),"Hay una entrada con error. Corregimos el dato antes de cerrar la comprobación.")</f>
      </c>
      <c r="N434" s="29" t="n">
        <f>IF(COUNTA('DATOS'!B434:O434)&gt;0,1,0)</f>
        <v>0</v>
      </c>
      <c r="O434" s="29">
        <f>IFERROR(IF(N434=0,"",IF(OR(NOT(AND(LEN(TRIM('DATOS'!B434&amp;""))&gt;0,TRIM('DATOS'!B434&amp;"")&lt;&gt;"Pendiente",TRIM('DATOS'!B434&amp;"")&lt;&gt;"Por confirmar",TRIM('DATOS'!B434&amp;"")&lt;&gt;"No consta",TRIM('DATOS'!B434&amp;"")&lt;&gt;"Desconocido",TRIM('DATOS'!B434&amp;"")&lt;&gt;"Sin confirmar",TRIM('DATOS'!B434&amp;"")&lt;&gt;"Por decidir",TRIM('DATOS'!B434&amp;"")&lt;&gt;"Por comprobar")),NOT(AND(LEN(TRIM('DATOS'!C434&amp;""))&gt;0,TRIM('DATOS'!C434&amp;"")&lt;&gt;"Pendiente",TRIM('DATOS'!C434&amp;"")&lt;&gt;"Por confirmar",TRIM('DATOS'!C434&amp;"")&lt;&gt;"No consta",TRIM('DATOS'!C434&amp;"")&lt;&gt;"Desconocido",TRIM('DATOS'!C434&amp;"")&lt;&gt;"Sin confirmar",TRIM('DATOS'!C434&amp;"")&lt;&gt;"Por decidir",TRIM('DATOS'!C434&amp;"")&lt;&gt;"Por comprobar")),NOT(AND(LEN(TRIM('DATOS'!D434&amp;""))&gt;0,TRIM('DATOS'!D434&amp;"")&lt;&gt;"Pendiente",TRIM('DATOS'!D434&amp;"")&lt;&gt;"Por confirmar",TRIM('DATOS'!D434&amp;"")&lt;&gt;"No consta",TRIM('DATOS'!D434&amp;"")&lt;&gt;"Desconocido",TRIM('DATOS'!D434&amp;"")&lt;&gt;"Sin confirmar",TRIM('DATOS'!D434&amp;"")&lt;&gt;"Por decidir",TRIM('DATOS'!D434&amp;"")&lt;&gt;"Por comprobar")),NOT(AND(LEN(TRIM('DATOS'!E434&amp;""))&gt;0,TRIM('DATOS'!E434&amp;"")&lt;&gt;"Pendiente",TRIM('DATOS'!E434&amp;"")&lt;&gt;"Por confirmar",TRIM('DATOS'!E434&amp;"")&lt;&gt;"No consta",TRIM('DATOS'!E434&amp;"")&lt;&gt;"Desconocido",TRIM('DATOS'!E434&amp;"")&lt;&gt;"Sin confirmar",TRIM('DATOS'!E434&amp;"")&lt;&gt;"Por decidir",TRIM('DATOS'!E434&amp;"")&lt;&gt;"Por comprobar")),NOT(AND(LEN(TRIM('DATOS'!F434&amp;""))&gt;0,TRIM('DATOS'!F434&amp;"")&lt;&gt;"Pendiente",TRIM('DATOS'!F434&amp;"")&lt;&gt;"Por confirmar",TRIM('DATOS'!F434&amp;"")&lt;&gt;"No consta",TRIM('DATOS'!F434&amp;"")&lt;&gt;"Desconocido",TRIM('DATOS'!F434&amp;"")&lt;&gt;"Sin confirmar",TRIM('DATOS'!F434&amp;"")&lt;&gt;"Por decidir",TRIM('DATOS'!F434&amp;"")&lt;&gt;"Por comprobar")),NOT(AND(LEN(TRIM('DATOS'!N434&amp;""))&gt;0,TRIM('DATOS'!N434&amp;"")&lt;&gt;"Pendiente",TRIM('DATOS'!N434&amp;"")&lt;&gt;"Por confirmar",TRIM('DATOS'!N434&amp;"")&lt;&gt;"No consta",TRIM('DATOS'!N434&amp;"")&lt;&gt;"Desconocido",TRIM('DATOS'!N434&amp;"")&lt;&gt;"Sin confirmar",TRIM('DATOS'!N434&amp;"")&lt;&gt;"Por decidir",TRIM('DATOS'!N434&amp;"")&lt;&gt;"Por comprobar")),NOT(Y434=1),W434&lt;&gt;1,X434&gt;1,NOT(OR(LEN(TRIM('DATOS'!K434&amp;""))=0,'DATOS'!K434="Sin valorar",'DATOS'!K434="Sin coste documentado",'DATOS'!K434="Incluido en otra partida",'DATOS'!K434="Por confirmar")),NOT(OR(LEN(TRIM('DATOS'!M434&amp;""))=0,'DATOS'!M434="Sí",'DATOS'!M434="No",'DATOS'!M434="Por confirmar")),NOT(OR(LEN(TRIM('DATOS'!O434&amp;""))=0,'DATOS'!O434="Comparamos",'DATOS'!O434="No existe",'DATOS'!O434="Por confirmar"))),2,IF(AND(OR('DATOS'!G434&lt;0,'DATOS'!H434&lt;0,'DATOS'!J434&lt;0),NOT(AND(LEN(TRIM('DATOS'!L434&amp;""))&gt;0,TRIM('DATOS'!L434&amp;"")&lt;&gt;"Pendiente",TRIM('DATOS'!L434&amp;"")&lt;&gt;"Por confirmar",TRIM('DATOS'!L434&amp;"")&lt;&gt;"No consta",TRIM('DATOS'!L434&amp;"")&lt;&gt;"Desconocido",TRIM('DATOS'!L434&amp;"")&lt;&gt;"Sin confirmar",TRIM('DATOS'!L434&amp;"")&lt;&gt;"Por decidir",TRIM('DATOS'!L434&amp;"")&lt;&gt;"Por comprobar"))),1,0))),2)</f>
      </c>
      <c r="P434" s="29">
        <f>IFERROR(IF(N434=0,"",IF(NOT(Y434=1),1,IF('REFERENCIAS'!$Q$8&lt;&gt;1,2,IF(ABS('DATOS'!J434-ROUND('DATOS'!G434*'DATOS'!H434,'REFERENCIAS'!$K$8))&gt;0.00000001,2,IF('DATOS'!O434="No existe",IF(LEN(TRIM('DATOS'!I434&amp;""))=0,0,2),IF('DATOS'!O434="Comparamos",IF(LEN(TRIM('DATOS'!I434&amp;""))=0,1,IF(ISNUMBER('DATOS'!I434),IF(ABS('DATOS'!H434-'DATOS'!I434)&gt;0.00000001,2,0),2)),1)))))),2)</f>
      </c>
      <c r="Q434" s="29">
        <f>IFERROR(IF(N434=0,"",IF(NOT(Y434=1),1,IF('DATOS'!K434="Sin valorar",2,IF('DATOS'!G434=0,1,IF(OR('DATOS'!H434=0,'DATOS'!J434=0),IF(AND(OR('DATOS'!K434="Sin coste documentado",'DATOS'!K434="Incluido en otra partida"),AND(LEN(TRIM('DATOS'!L434&amp;""))&gt;0,TRIM('DATOS'!L434&amp;"")&lt;&gt;"Pendiente",TRIM('DATOS'!L434&amp;"")&lt;&gt;"Por confirmar",TRIM('DATOS'!L434&amp;"")&lt;&gt;"No consta",TRIM('DATOS'!L434&amp;"")&lt;&gt;"Desconocido",TRIM('DATOS'!L434&amp;"")&lt;&gt;"Sin confirmar",TRIM('DATOS'!L434&amp;"")&lt;&gt;"Por decidir",TRIM('DATOS'!L434&amp;"")&lt;&gt;"Por comprobar")),0,1),0))))),2)</f>
      </c>
      <c r="R434" s="29">
        <f>IFERROR(IF(N434=0,"",IF(OR(NOT(AND(LEN(TRIM('DATOS'!D434&amp;""))&gt;0,TRIM('DATOS'!D434&amp;"")&lt;&gt;"Pendiente",TRIM('DATOS'!D434&amp;"")&lt;&gt;"Por confirmar",TRIM('DATOS'!D434&amp;"")&lt;&gt;"No consta",TRIM('DATOS'!D434&amp;"")&lt;&gt;"Desconocido",TRIM('DATOS'!D434&amp;"")&lt;&gt;"Sin confirmar",TRIM('DATOS'!D434&amp;"")&lt;&gt;"Por decidir",TRIM('DATOS'!D434&amp;"")&lt;&gt;"Por comprobar")),NOT(AND(LEN(TRIM('DATOS'!E434&amp;""))&gt;0,TRIM('DATOS'!E434&amp;"")&lt;&gt;"Pendiente",TRIM('DATOS'!E434&amp;"")&lt;&gt;"Por confirmar",TRIM('DATOS'!E434&amp;"")&lt;&gt;"No consta",TRIM('DATOS'!E434&amp;"")&lt;&gt;"Desconocido",TRIM('DATOS'!E434&amp;"")&lt;&gt;"Sin confirmar",TRIM('DATOS'!E434&amp;"")&lt;&gt;"Por decidir",TRIM('DATOS'!E434&amp;"")&lt;&gt;"Por comprobar"))),2,IF('DATOS'!M434="No",2,IF('DATOS'!M434="Sí",0,IF(OR('DATOS'!D434&lt;&gt;'DATOS'!E434,LEN('DATOS'!E434)&gt;300,RIGHT(TRIM('DATOS'!E434),3)="...",RIGHT(TRIM('DATOS'!E434),1)="…"),1,0))))),2)</f>
      </c>
      <c r="S434" s="29">
        <f>IFERROR(IF(N434=0,"",IF('REFERENCIAS'!$Q$8&lt;&gt;1,2,IF(NOT(Y434=1),1,IF(OR(ABS('DATOS'!G434-ROUND('DATOS'!G434,'REFERENCIAS'!$E$8))&gt;0.00000001,ABS('DATOS'!H434-ROUND('DATOS'!H434,'REFERENCIAS'!$H$8))&gt;0.00000001,ABS('DATOS'!J434-ROUND('DATOS'!J434,'REFERENCIAS'!$K$8))&gt;0.00000001,IF(ISNUMBER('DATOS'!I434),ABS('DATOS'!I434-ROUND('DATOS'!I434,'REFERENCIAS'!$H$8))&gt;0.00000001,FALSE)),1,0)))),2)</f>
      </c>
      <c r="T434" s="29">
        <f>IFERROR(IF(N434=0,"",IF(NOT(AND(LEN(TRIM('DATOS'!F434&amp;""))&gt;0,TRIM('DATOS'!F434&amp;"")&lt;&gt;"Pendiente",TRIM('DATOS'!F434&amp;"")&lt;&gt;"Por confirmar",TRIM('DATOS'!F434&amp;"")&lt;&gt;"No consta",TRIM('DATOS'!F434&amp;"")&lt;&gt;"Desconocido",TRIM('DATOS'!F434&amp;"")&lt;&gt;"Sin confirmar",TRIM('DATOS'!F434&amp;"")&lt;&gt;"Por decidir",TRIM('DATOS'!F434&amp;"")&lt;&gt;"Por comprobar")),2,IF(COUNTIFS('REFERENCIAS'!$T$15:$T$34,"ID:"&amp;SUBSTITUTE(SUBSTITUTE(SUBSTITUTE(SUBSTITUTE(UPPER(TRIM('DATOS'!F434&amp;"")),"!","!E"),"*","!A"),"?","!B"),"~","!C"),'REFERENCIAS'!$H$15:$H$34,"&lt;&gt;")&gt;0,0,1))),2)</f>
      </c>
      <c r="U434" s="29" t="str">
        <f>'DATOS'!R434</f>
        <v>ID:</v>
      </c>
      <c r="V434" s="29" t="str">
        <f>'DATOS'!S434</f>
        <v>ID:</v>
      </c>
      <c r="W434" s="29" t="n">
        <f>IF(N434=0,0,COUNTIFS('REFERENCIAS'!$R$15:$R$64,U434))</f>
        <v>0</v>
      </c>
      <c r="X434" s="29" t="n">
        <f>IF(N434=0,0,COUNTIFS('DATOS'!$R$10:$R$509,U434,'DATOS'!$S$10:$S$509,V434))</f>
        <v>0</v>
      </c>
      <c r="Y434" s="29" t="n">
        <f>IF(AND(ISNUMBER('DATOS'!G434),ISNUMBER('DATOS'!H434),ISNUMBER('DATOS'!J434)),1,0)</f>
        <v>0</v>
      </c>
    </row>
    <row r="435" ht="64" customHeight="1">
      <c r="B435" s="26">
        <f>IF(N435=1,426,"")</f>
      </c>
      <c r="C435" s="26">
        <f>IF(AND(N435=1,LEN(TRIM('DATOS'!B435&amp;""))&gt;0),'DATOS'!B435,"")</f>
      </c>
      <c r="D435" s="26">
        <f>IF(AND(N435=1,LEN(TRIM('DATOS'!C435&amp;""))&gt;0),'DATOS'!C435,"")</f>
      </c>
      <c r="E435" s="26">
        <f>IF(NOT(ISNUMBER(P435)),"",IF(P435=2,"ROJO",IF(P435=1,"ÁMBAR","VERDE")))</f>
      </c>
      <c r="F435" s="26">
        <f>IF(NOT(ISNUMBER(Q435)),"",IF(Q435=2,"ROJO",IF(Q435=1,"ÁMBAR","VERDE")))</f>
      </c>
      <c r="G435" s="26">
        <f>IF(NOT(ISNUMBER(R435)),"",IF(R435=2,"ROJO",IF(R435=1,"ÁMBAR","VERDE")))</f>
      </c>
      <c r="H435" s="26">
        <f>IF(NOT(ISNUMBER(S435)),"",IF(S435=2,"ROJO",IF(S435=1,"ÁMBAR","VERDE")))</f>
      </c>
      <c r="I435" s="26">
        <f>IF(NOT(ISNUMBER(T435)),"",IF(T435=2,"ROJO",IF(T435=1,"ÁMBAR","VERDE")))</f>
      </c>
      <c r="J435" s="26">
        <f>IF(NOT(ISNUMBER(O435)),"",IF(O435=2,"ROJO",IF(O435=1,"ÁMBAR","VERDE")))</f>
      </c>
      <c r="K435" s="26">
        <f>IFERROR(IF(AND(N435=1,LEN(TRIM('DATOS'!N435&amp;""))&gt;0),'DATOS'!N435,""),"Hay una entrada con error. Corregimos el dato antes de cerrar la comprobación.")</f>
      </c>
      <c r="L435" s="26">
        <f>IFERROR(IF(N435=0,"",IF(O435&gt;0,"Completamos datos, claves o motivo. ","")&amp;IF(P435&gt;0,"Cotejamos precios e importe. ","")&amp;IF(Q435&gt;0,"Aclaramos el cero. ","")&amp;IF(R435&gt;0,"Comprobamos el texto. ","")&amp;IF(S435&gt;0,"Revisamos decimales visibles. ","")&amp;IF(T435&gt;0,"Confirmamos la unidad.","")),"Hay una entrada con error. Corregimos el dato antes de cerrar la comprobación.")</f>
      </c>
      <c r="N435" s="29" t="n">
        <f>IF(COUNTA('DATOS'!B435:O435)&gt;0,1,0)</f>
        <v>0</v>
      </c>
      <c r="O435" s="29">
        <f>IFERROR(IF(N435=0,"",IF(OR(NOT(AND(LEN(TRIM('DATOS'!B435&amp;""))&gt;0,TRIM('DATOS'!B435&amp;"")&lt;&gt;"Pendiente",TRIM('DATOS'!B435&amp;"")&lt;&gt;"Por confirmar",TRIM('DATOS'!B435&amp;"")&lt;&gt;"No consta",TRIM('DATOS'!B435&amp;"")&lt;&gt;"Desconocido",TRIM('DATOS'!B435&amp;"")&lt;&gt;"Sin confirmar",TRIM('DATOS'!B435&amp;"")&lt;&gt;"Por decidir",TRIM('DATOS'!B435&amp;"")&lt;&gt;"Por comprobar")),NOT(AND(LEN(TRIM('DATOS'!C435&amp;""))&gt;0,TRIM('DATOS'!C435&amp;"")&lt;&gt;"Pendiente",TRIM('DATOS'!C435&amp;"")&lt;&gt;"Por confirmar",TRIM('DATOS'!C435&amp;"")&lt;&gt;"No consta",TRIM('DATOS'!C435&amp;"")&lt;&gt;"Desconocido",TRIM('DATOS'!C435&amp;"")&lt;&gt;"Sin confirmar",TRIM('DATOS'!C435&amp;"")&lt;&gt;"Por decidir",TRIM('DATOS'!C435&amp;"")&lt;&gt;"Por comprobar")),NOT(AND(LEN(TRIM('DATOS'!D435&amp;""))&gt;0,TRIM('DATOS'!D435&amp;"")&lt;&gt;"Pendiente",TRIM('DATOS'!D435&amp;"")&lt;&gt;"Por confirmar",TRIM('DATOS'!D435&amp;"")&lt;&gt;"No consta",TRIM('DATOS'!D435&amp;"")&lt;&gt;"Desconocido",TRIM('DATOS'!D435&amp;"")&lt;&gt;"Sin confirmar",TRIM('DATOS'!D435&amp;"")&lt;&gt;"Por decidir",TRIM('DATOS'!D435&amp;"")&lt;&gt;"Por comprobar")),NOT(AND(LEN(TRIM('DATOS'!E435&amp;""))&gt;0,TRIM('DATOS'!E435&amp;"")&lt;&gt;"Pendiente",TRIM('DATOS'!E435&amp;"")&lt;&gt;"Por confirmar",TRIM('DATOS'!E435&amp;"")&lt;&gt;"No consta",TRIM('DATOS'!E435&amp;"")&lt;&gt;"Desconocido",TRIM('DATOS'!E435&amp;"")&lt;&gt;"Sin confirmar",TRIM('DATOS'!E435&amp;"")&lt;&gt;"Por decidir",TRIM('DATOS'!E435&amp;"")&lt;&gt;"Por comprobar")),NOT(AND(LEN(TRIM('DATOS'!F435&amp;""))&gt;0,TRIM('DATOS'!F435&amp;"")&lt;&gt;"Pendiente",TRIM('DATOS'!F435&amp;"")&lt;&gt;"Por confirmar",TRIM('DATOS'!F435&amp;"")&lt;&gt;"No consta",TRIM('DATOS'!F435&amp;"")&lt;&gt;"Desconocido",TRIM('DATOS'!F435&amp;"")&lt;&gt;"Sin confirmar",TRIM('DATOS'!F435&amp;"")&lt;&gt;"Por decidir",TRIM('DATOS'!F435&amp;"")&lt;&gt;"Por comprobar")),NOT(AND(LEN(TRIM('DATOS'!N435&amp;""))&gt;0,TRIM('DATOS'!N435&amp;"")&lt;&gt;"Pendiente",TRIM('DATOS'!N435&amp;"")&lt;&gt;"Por confirmar",TRIM('DATOS'!N435&amp;"")&lt;&gt;"No consta",TRIM('DATOS'!N435&amp;"")&lt;&gt;"Desconocido",TRIM('DATOS'!N435&amp;"")&lt;&gt;"Sin confirmar",TRIM('DATOS'!N435&amp;"")&lt;&gt;"Por decidir",TRIM('DATOS'!N435&amp;"")&lt;&gt;"Por comprobar")),NOT(Y435=1),W435&lt;&gt;1,X435&gt;1,NOT(OR(LEN(TRIM('DATOS'!K435&amp;""))=0,'DATOS'!K435="Sin valorar",'DATOS'!K435="Sin coste documentado",'DATOS'!K435="Incluido en otra partida",'DATOS'!K435="Por confirmar")),NOT(OR(LEN(TRIM('DATOS'!M435&amp;""))=0,'DATOS'!M435="Sí",'DATOS'!M435="No",'DATOS'!M435="Por confirmar")),NOT(OR(LEN(TRIM('DATOS'!O435&amp;""))=0,'DATOS'!O435="Comparamos",'DATOS'!O435="No existe",'DATOS'!O435="Por confirmar"))),2,IF(AND(OR('DATOS'!G435&lt;0,'DATOS'!H435&lt;0,'DATOS'!J435&lt;0),NOT(AND(LEN(TRIM('DATOS'!L435&amp;""))&gt;0,TRIM('DATOS'!L435&amp;"")&lt;&gt;"Pendiente",TRIM('DATOS'!L435&amp;"")&lt;&gt;"Por confirmar",TRIM('DATOS'!L435&amp;"")&lt;&gt;"No consta",TRIM('DATOS'!L435&amp;"")&lt;&gt;"Desconocido",TRIM('DATOS'!L435&amp;"")&lt;&gt;"Sin confirmar",TRIM('DATOS'!L435&amp;"")&lt;&gt;"Por decidir",TRIM('DATOS'!L435&amp;"")&lt;&gt;"Por comprobar"))),1,0))),2)</f>
      </c>
      <c r="P435" s="29">
        <f>IFERROR(IF(N435=0,"",IF(NOT(Y435=1),1,IF('REFERENCIAS'!$Q$8&lt;&gt;1,2,IF(ABS('DATOS'!J435-ROUND('DATOS'!G435*'DATOS'!H435,'REFERENCIAS'!$K$8))&gt;0.00000001,2,IF('DATOS'!O435="No existe",IF(LEN(TRIM('DATOS'!I435&amp;""))=0,0,2),IF('DATOS'!O435="Comparamos",IF(LEN(TRIM('DATOS'!I435&amp;""))=0,1,IF(ISNUMBER('DATOS'!I435),IF(ABS('DATOS'!H435-'DATOS'!I435)&gt;0.00000001,2,0),2)),1)))))),2)</f>
      </c>
      <c r="Q435" s="29">
        <f>IFERROR(IF(N435=0,"",IF(NOT(Y435=1),1,IF('DATOS'!K435="Sin valorar",2,IF('DATOS'!G435=0,1,IF(OR('DATOS'!H435=0,'DATOS'!J435=0),IF(AND(OR('DATOS'!K435="Sin coste documentado",'DATOS'!K435="Incluido en otra partida"),AND(LEN(TRIM('DATOS'!L435&amp;""))&gt;0,TRIM('DATOS'!L435&amp;"")&lt;&gt;"Pendiente",TRIM('DATOS'!L435&amp;"")&lt;&gt;"Por confirmar",TRIM('DATOS'!L435&amp;"")&lt;&gt;"No consta",TRIM('DATOS'!L435&amp;"")&lt;&gt;"Desconocido",TRIM('DATOS'!L435&amp;"")&lt;&gt;"Sin confirmar",TRIM('DATOS'!L435&amp;"")&lt;&gt;"Por decidir",TRIM('DATOS'!L435&amp;"")&lt;&gt;"Por comprobar")),0,1),0))))),2)</f>
      </c>
      <c r="R435" s="29">
        <f>IFERROR(IF(N435=0,"",IF(OR(NOT(AND(LEN(TRIM('DATOS'!D435&amp;""))&gt;0,TRIM('DATOS'!D435&amp;"")&lt;&gt;"Pendiente",TRIM('DATOS'!D435&amp;"")&lt;&gt;"Por confirmar",TRIM('DATOS'!D435&amp;"")&lt;&gt;"No consta",TRIM('DATOS'!D435&amp;"")&lt;&gt;"Desconocido",TRIM('DATOS'!D435&amp;"")&lt;&gt;"Sin confirmar",TRIM('DATOS'!D435&amp;"")&lt;&gt;"Por decidir",TRIM('DATOS'!D435&amp;"")&lt;&gt;"Por comprobar")),NOT(AND(LEN(TRIM('DATOS'!E435&amp;""))&gt;0,TRIM('DATOS'!E435&amp;"")&lt;&gt;"Pendiente",TRIM('DATOS'!E435&amp;"")&lt;&gt;"Por confirmar",TRIM('DATOS'!E435&amp;"")&lt;&gt;"No consta",TRIM('DATOS'!E435&amp;"")&lt;&gt;"Desconocido",TRIM('DATOS'!E435&amp;"")&lt;&gt;"Sin confirmar",TRIM('DATOS'!E435&amp;"")&lt;&gt;"Por decidir",TRIM('DATOS'!E435&amp;"")&lt;&gt;"Por comprobar"))),2,IF('DATOS'!M435="No",2,IF('DATOS'!M435="Sí",0,IF(OR('DATOS'!D435&lt;&gt;'DATOS'!E435,LEN('DATOS'!E435)&gt;300,RIGHT(TRIM('DATOS'!E435),3)="...",RIGHT(TRIM('DATOS'!E435),1)="…"),1,0))))),2)</f>
      </c>
      <c r="S435" s="29">
        <f>IFERROR(IF(N435=0,"",IF('REFERENCIAS'!$Q$8&lt;&gt;1,2,IF(NOT(Y435=1),1,IF(OR(ABS('DATOS'!G435-ROUND('DATOS'!G435,'REFERENCIAS'!$E$8))&gt;0.00000001,ABS('DATOS'!H435-ROUND('DATOS'!H435,'REFERENCIAS'!$H$8))&gt;0.00000001,ABS('DATOS'!J435-ROUND('DATOS'!J435,'REFERENCIAS'!$K$8))&gt;0.00000001,IF(ISNUMBER('DATOS'!I435),ABS('DATOS'!I435-ROUND('DATOS'!I435,'REFERENCIAS'!$H$8))&gt;0.00000001,FALSE)),1,0)))),2)</f>
      </c>
      <c r="T435" s="29">
        <f>IFERROR(IF(N435=0,"",IF(NOT(AND(LEN(TRIM('DATOS'!F435&amp;""))&gt;0,TRIM('DATOS'!F435&amp;"")&lt;&gt;"Pendiente",TRIM('DATOS'!F435&amp;"")&lt;&gt;"Por confirmar",TRIM('DATOS'!F435&amp;"")&lt;&gt;"No consta",TRIM('DATOS'!F435&amp;"")&lt;&gt;"Desconocido",TRIM('DATOS'!F435&amp;"")&lt;&gt;"Sin confirmar",TRIM('DATOS'!F435&amp;"")&lt;&gt;"Por decidir",TRIM('DATOS'!F435&amp;"")&lt;&gt;"Por comprobar")),2,IF(COUNTIFS('REFERENCIAS'!$T$15:$T$34,"ID:"&amp;SUBSTITUTE(SUBSTITUTE(SUBSTITUTE(SUBSTITUTE(UPPER(TRIM('DATOS'!F435&amp;"")),"!","!E"),"*","!A"),"?","!B"),"~","!C"),'REFERENCIAS'!$H$15:$H$34,"&lt;&gt;")&gt;0,0,1))),2)</f>
      </c>
      <c r="U435" s="29" t="str">
        <f>'DATOS'!R435</f>
        <v>ID:</v>
      </c>
      <c r="V435" s="29" t="str">
        <f>'DATOS'!S435</f>
        <v>ID:</v>
      </c>
      <c r="W435" s="29" t="n">
        <f>IF(N435=0,0,COUNTIFS('REFERENCIAS'!$R$15:$R$64,U435))</f>
        <v>0</v>
      </c>
      <c r="X435" s="29" t="n">
        <f>IF(N435=0,0,COUNTIFS('DATOS'!$R$10:$R$509,U435,'DATOS'!$S$10:$S$509,V435))</f>
        <v>0</v>
      </c>
      <c r="Y435" s="29" t="n">
        <f>IF(AND(ISNUMBER('DATOS'!G435),ISNUMBER('DATOS'!H435),ISNUMBER('DATOS'!J435)),1,0)</f>
        <v>0</v>
      </c>
    </row>
    <row r="436" ht="64" customHeight="1">
      <c r="B436" s="26">
        <f>IF(N436=1,427,"")</f>
      </c>
      <c r="C436" s="26">
        <f>IF(AND(N436=1,LEN(TRIM('DATOS'!B436&amp;""))&gt;0),'DATOS'!B436,"")</f>
      </c>
      <c r="D436" s="26">
        <f>IF(AND(N436=1,LEN(TRIM('DATOS'!C436&amp;""))&gt;0),'DATOS'!C436,"")</f>
      </c>
      <c r="E436" s="26">
        <f>IF(NOT(ISNUMBER(P436)),"",IF(P436=2,"ROJO",IF(P436=1,"ÁMBAR","VERDE")))</f>
      </c>
      <c r="F436" s="26">
        <f>IF(NOT(ISNUMBER(Q436)),"",IF(Q436=2,"ROJO",IF(Q436=1,"ÁMBAR","VERDE")))</f>
      </c>
      <c r="G436" s="26">
        <f>IF(NOT(ISNUMBER(R436)),"",IF(R436=2,"ROJO",IF(R436=1,"ÁMBAR","VERDE")))</f>
      </c>
      <c r="H436" s="26">
        <f>IF(NOT(ISNUMBER(S436)),"",IF(S436=2,"ROJO",IF(S436=1,"ÁMBAR","VERDE")))</f>
      </c>
      <c r="I436" s="26">
        <f>IF(NOT(ISNUMBER(T436)),"",IF(T436=2,"ROJO",IF(T436=1,"ÁMBAR","VERDE")))</f>
      </c>
      <c r="J436" s="26">
        <f>IF(NOT(ISNUMBER(O436)),"",IF(O436=2,"ROJO",IF(O436=1,"ÁMBAR","VERDE")))</f>
      </c>
      <c r="K436" s="26">
        <f>IFERROR(IF(AND(N436=1,LEN(TRIM('DATOS'!N436&amp;""))&gt;0),'DATOS'!N436,""),"Hay una entrada con error. Corregimos el dato antes de cerrar la comprobación.")</f>
      </c>
      <c r="L436" s="26">
        <f>IFERROR(IF(N436=0,"",IF(O436&gt;0,"Completamos datos, claves o motivo. ","")&amp;IF(P436&gt;0,"Cotejamos precios e importe. ","")&amp;IF(Q436&gt;0,"Aclaramos el cero. ","")&amp;IF(R436&gt;0,"Comprobamos el texto. ","")&amp;IF(S436&gt;0,"Revisamos decimales visibles. ","")&amp;IF(T436&gt;0,"Confirmamos la unidad.","")),"Hay una entrada con error. Corregimos el dato antes de cerrar la comprobación.")</f>
      </c>
      <c r="N436" s="29" t="n">
        <f>IF(COUNTA('DATOS'!B436:O436)&gt;0,1,0)</f>
        <v>0</v>
      </c>
      <c r="O436" s="29">
        <f>IFERROR(IF(N436=0,"",IF(OR(NOT(AND(LEN(TRIM('DATOS'!B436&amp;""))&gt;0,TRIM('DATOS'!B436&amp;"")&lt;&gt;"Pendiente",TRIM('DATOS'!B436&amp;"")&lt;&gt;"Por confirmar",TRIM('DATOS'!B436&amp;"")&lt;&gt;"No consta",TRIM('DATOS'!B436&amp;"")&lt;&gt;"Desconocido",TRIM('DATOS'!B436&amp;"")&lt;&gt;"Sin confirmar",TRIM('DATOS'!B436&amp;"")&lt;&gt;"Por decidir",TRIM('DATOS'!B436&amp;"")&lt;&gt;"Por comprobar")),NOT(AND(LEN(TRIM('DATOS'!C436&amp;""))&gt;0,TRIM('DATOS'!C436&amp;"")&lt;&gt;"Pendiente",TRIM('DATOS'!C436&amp;"")&lt;&gt;"Por confirmar",TRIM('DATOS'!C436&amp;"")&lt;&gt;"No consta",TRIM('DATOS'!C436&amp;"")&lt;&gt;"Desconocido",TRIM('DATOS'!C436&amp;"")&lt;&gt;"Sin confirmar",TRIM('DATOS'!C436&amp;"")&lt;&gt;"Por decidir",TRIM('DATOS'!C436&amp;"")&lt;&gt;"Por comprobar")),NOT(AND(LEN(TRIM('DATOS'!D436&amp;""))&gt;0,TRIM('DATOS'!D436&amp;"")&lt;&gt;"Pendiente",TRIM('DATOS'!D436&amp;"")&lt;&gt;"Por confirmar",TRIM('DATOS'!D436&amp;"")&lt;&gt;"No consta",TRIM('DATOS'!D436&amp;"")&lt;&gt;"Desconocido",TRIM('DATOS'!D436&amp;"")&lt;&gt;"Sin confirmar",TRIM('DATOS'!D436&amp;"")&lt;&gt;"Por decidir",TRIM('DATOS'!D436&amp;"")&lt;&gt;"Por comprobar")),NOT(AND(LEN(TRIM('DATOS'!E436&amp;""))&gt;0,TRIM('DATOS'!E436&amp;"")&lt;&gt;"Pendiente",TRIM('DATOS'!E436&amp;"")&lt;&gt;"Por confirmar",TRIM('DATOS'!E436&amp;"")&lt;&gt;"No consta",TRIM('DATOS'!E436&amp;"")&lt;&gt;"Desconocido",TRIM('DATOS'!E436&amp;"")&lt;&gt;"Sin confirmar",TRIM('DATOS'!E436&amp;"")&lt;&gt;"Por decidir",TRIM('DATOS'!E436&amp;"")&lt;&gt;"Por comprobar")),NOT(AND(LEN(TRIM('DATOS'!F436&amp;""))&gt;0,TRIM('DATOS'!F436&amp;"")&lt;&gt;"Pendiente",TRIM('DATOS'!F436&amp;"")&lt;&gt;"Por confirmar",TRIM('DATOS'!F436&amp;"")&lt;&gt;"No consta",TRIM('DATOS'!F436&amp;"")&lt;&gt;"Desconocido",TRIM('DATOS'!F436&amp;"")&lt;&gt;"Sin confirmar",TRIM('DATOS'!F436&amp;"")&lt;&gt;"Por decidir",TRIM('DATOS'!F436&amp;"")&lt;&gt;"Por comprobar")),NOT(AND(LEN(TRIM('DATOS'!N436&amp;""))&gt;0,TRIM('DATOS'!N436&amp;"")&lt;&gt;"Pendiente",TRIM('DATOS'!N436&amp;"")&lt;&gt;"Por confirmar",TRIM('DATOS'!N436&amp;"")&lt;&gt;"No consta",TRIM('DATOS'!N436&amp;"")&lt;&gt;"Desconocido",TRIM('DATOS'!N436&amp;"")&lt;&gt;"Sin confirmar",TRIM('DATOS'!N436&amp;"")&lt;&gt;"Por decidir",TRIM('DATOS'!N436&amp;"")&lt;&gt;"Por comprobar")),NOT(Y436=1),W436&lt;&gt;1,X436&gt;1,NOT(OR(LEN(TRIM('DATOS'!K436&amp;""))=0,'DATOS'!K436="Sin valorar",'DATOS'!K436="Sin coste documentado",'DATOS'!K436="Incluido en otra partida",'DATOS'!K436="Por confirmar")),NOT(OR(LEN(TRIM('DATOS'!M436&amp;""))=0,'DATOS'!M436="Sí",'DATOS'!M436="No",'DATOS'!M436="Por confirmar")),NOT(OR(LEN(TRIM('DATOS'!O436&amp;""))=0,'DATOS'!O436="Comparamos",'DATOS'!O436="No existe",'DATOS'!O436="Por confirmar"))),2,IF(AND(OR('DATOS'!G436&lt;0,'DATOS'!H436&lt;0,'DATOS'!J436&lt;0),NOT(AND(LEN(TRIM('DATOS'!L436&amp;""))&gt;0,TRIM('DATOS'!L436&amp;"")&lt;&gt;"Pendiente",TRIM('DATOS'!L436&amp;"")&lt;&gt;"Por confirmar",TRIM('DATOS'!L436&amp;"")&lt;&gt;"No consta",TRIM('DATOS'!L436&amp;"")&lt;&gt;"Desconocido",TRIM('DATOS'!L436&amp;"")&lt;&gt;"Sin confirmar",TRIM('DATOS'!L436&amp;"")&lt;&gt;"Por decidir",TRIM('DATOS'!L436&amp;"")&lt;&gt;"Por comprobar"))),1,0))),2)</f>
      </c>
      <c r="P436" s="29">
        <f>IFERROR(IF(N436=0,"",IF(NOT(Y436=1),1,IF('REFERENCIAS'!$Q$8&lt;&gt;1,2,IF(ABS('DATOS'!J436-ROUND('DATOS'!G436*'DATOS'!H436,'REFERENCIAS'!$K$8))&gt;0.00000001,2,IF('DATOS'!O436="No existe",IF(LEN(TRIM('DATOS'!I436&amp;""))=0,0,2),IF('DATOS'!O436="Comparamos",IF(LEN(TRIM('DATOS'!I436&amp;""))=0,1,IF(ISNUMBER('DATOS'!I436),IF(ABS('DATOS'!H436-'DATOS'!I436)&gt;0.00000001,2,0),2)),1)))))),2)</f>
      </c>
      <c r="Q436" s="29">
        <f>IFERROR(IF(N436=0,"",IF(NOT(Y436=1),1,IF('DATOS'!K436="Sin valorar",2,IF('DATOS'!G436=0,1,IF(OR('DATOS'!H436=0,'DATOS'!J436=0),IF(AND(OR('DATOS'!K436="Sin coste documentado",'DATOS'!K436="Incluido en otra partida"),AND(LEN(TRIM('DATOS'!L436&amp;""))&gt;0,TRIM('DATOS'!L436&amp;"")&lt;&gt;"Pendiente",TRIM('DATOS'!L436&amp;"")&lt;&gt;"Por confirmar",TRIM('DATOS'!L436&amp;"")&lt;&gt;"No consta",TRIM('DATOS'!L436&amp;"")&lt;&gt;"Desconocido",TRIM('DATOS'!L436&amp;"")&lt;&gt;"Sin confirmar",TRIM('DATOS'!L436&amp;"")&lt;&gt;"Por decidir",TRIM('DATOS'!L436&amp;"")&lt;&gt;"Por comprobar")),0,1),0))))),2)</f>
      </c>
      <c r="R436" s="29">
        <f>IFERROR(IF(N436=0,"",IF(OR(NOT(AND(LEN(TRIM('DATOS'!D436&amp;""))&gt;0,TRIM('DATOS'!D436&amp;"")&lt;&gt;"Pendiente",TRIM('DATOS'!D436&amp;"")&lt;&gt;"Por confirmar",TRIM('DATOS'!D436&amp;"")&lt;&gt;"No consta",TRIM('DATOS'!D436&amp;"")&lt;&gt;"Desconocido",TRIM('DATOS'!D436&amp;"")&lt;&gt;"Sin confirmar",TRIM('DATOS'!D436&amp;"")&lt;&gt;"Por decidir",TRIM('DATOS'!D436&amp;"")&lt;&gt;"Por comprobar")),NOT(AND(LEN(TRIM('DATOS'!E436&amp;""))&gt;0,TRIM('DATOS'!E436&amp;"")&lt;&gt;"Pendiente",TRIM('DATOS'!E436&amp;"")&lt;&gt;"Por confirmar",TRIM('DATOS'!E436&amp;"")&lt;&gt;"No consta",TRIM('DATOS'!E436&amp;"")&lt;&gt;"Desconocido",TRIM('DATOS'!E436&amp;"")&lt;&gt;"Sin confirmar",TRIM('DATOS'!E436&amp;"")&lt;&gt;"Por decidir",TRIM('DATOS'!E436&amp;"")&lt;&gt;"Por comprobar"))),2,IF('DATOS'!M436="No",2,IF('DATOS'!M436="Sí",0,IF(OR('DATOS'!D436&lt;&gt;'DATOS'!E436,LEN('DATOS'!E436)&gt;300,RIGHT(TRIM('DATOS'!E436),3)="...",RIGHT(TRIM('DATOS'!E436),1)="…"),1,0))))),2)</f>
      </c>
      <c r="S436" s="29">
        <f>IFERROR(IF(N436=0,"",IF('REFERENCIAS'!$Q$8&lt;&gt;1,2,IF(NOT(Y436=1),1,IF(OR(ABS('DATOS'!G436-ROUND('DATOS'!G436,'REFERENCIAS'!$E$8))&gt;0.00000001,ABS('DATOS'!H436-ROUND('DATOS'!H436,'REFERENCIAS'!$H$8))&gt;0.00000001,ABS('DATOS'!J436-ROUND('DATOS'!J436,'REFERENCIAS'!$K$8))&gt;0.00000001,IF(ISNUMBER('DATOS'!I436),ABS('DATOS'!I436-ROUND('DATOS'!I436,'REFERENCIAS'!$H$8))&gt;0.00000001,FALSE)),1,0)))),2)</f>
      </c>
      <c r="T436" s="29">
        <f>IFERROR(IF(N436=0,"",IF(NOT(AND(LEN(TRIM('DATOS'!F436&amp;""))&gt;0,TRIM('DATOS'!F436&amp;"")&lt;&gt;"Pendiente",TRIM('DATOS'!F436&amp;"")&lt;&gt;"Por confirmar",TRIM('DATOS'!F436&amp;"")&lt;&gt;"No consta",TRIM('DATOS'!F436&amp;"")&lt;&gt;"Desconocido",TRIM('DATOS'!F436&amp;"")&lt;&gt;"Sin confirmar",TRIM('DATOS'!F436&amp;"")&lt;&gt;"Por decidir",TRIM('DATOS'!F436&amp;"")&lt;&gt;"Por comprobar")),2,IF(COUNTIFS('REFERENCIAS'!$T$15:$T$34,"ID:"&amp;SUBSTITUTE(SUBSTITUTE(SUBSTITUTE(SUBSTITUTE(UPPER(TRIM('DATOS'!F436&amp;"")),"!","!E"),"*","!A"),"?","!B"),"~","!C"),'REFERENCIAS'!$H$15:$H$34,"&lt;&gt;")&gt;0,0,1))),2)</f>
      </c>
      <c r="U436" s="29" t="str">
        <f>'DATOS'!R436</f>
        <v>ID:</v>
      </c>
      <c r="V436" s="29" t="str">
        <f>'DATOS'!S436</f>
        <v>ID:</v>
      </c>
      <c r="W436" s="29" t="n">
        <f>IF(N436=0,0,COUNTIFS('REFERENCIAS'!$R$15:$R$64,U436))</f>
        <v>0</v>
      </c>
      <c r="X436" s="29" t="n">
        <f>IF(N436=0,0,COUNTIFS('DATOS'!$R$10:$R$509,U436,'DATOS'!$S$10:$S$509,V436))</f>
        <v>0</v>
      </c>
      <c r="Y436" s="29" t="n">
        <f>IF(AND(ISNUMBER('DATOS'!G436),ISNUMBER('DATOS'!H436),ISNUMBER('DATOS'!J436)),1,0)</f>
        <v>0</v>
      </c>
    </row>
    <row r="437" ht="64" customHeight="1">
      <c r="B437" s="26">
        <f>IF(N437=1,428,"")</f>
      </c>
      <c r="C437" s="26">
        <f>IF(AND(N437=1,LEN(TRIM('DATOS'!B437&amp;""))&gt;0),'DATOS'!B437,"")</f>
      </c>
      <c r="D437" s="26">
        <f>IF(AND(N437=1,LEN(TRIM('DATOS'!C437&amp;""))&gt;0),'DATOS'!C437,"")</f>
      </c>
      <c r="E437" s="26">
        <f>IF(NOT(ISNUMBER(P437)),"",IF(P437=2,"ROJO",IF(P437=1,"ÁMBAR","VERDE")))</f>
      </c>
      <c r="F437" s="26">
        <f>IF(NOT(ISNUMBER(Q437)),"",IF(Q437=2,"ROJO",IF(Q437=1,"ÁMBAR","VERDE")))</f>
      </c>
      <c r="G437" s="26">
        <f>IF(NOT(ISNUMBER(R437)),"",IF(R437=2,"ROJO",IF(R437=1,"ÁMBAR","VERDE")))</f>
      </c>
      <c r="H437" s="26">
        <f>IF(NOT(ISNUMBER(S437)),"",IF(S437=2,"ROJO",IF(S437=1,"ÁMBAR","VERDE")))</f>
      </c>
      <c r="I437" s="26">
        <f>IF(NOT(ISNUMBER(T437)),"",IF(T437=2,"ROJO",IF(T437=1,"ÁMBAR","VERDE")))</f>
      </c>
      <c r="J437" s="26">
        <f>IF(NOT(ISNUMBER(O437)),"",IF(O437=2,"ROJO",IF(O437=1,"ÁMBAR","VERDE")))</f>
      </c>
      <c r="K437" s="26">
        <f>IFERROR(IF(AND(N437=1,LEN(TRIM('DATOS'!N437&amp;""))&gt;0),'DATOS'!N437,""),"Hay una entrada con error. Corregimos el dato antes de cerrar la comprobación.")</f>
      </c>
      <c r="L437" s="26">
        <f>IFERROR(IF(N437=0,"",IF(O437&gt;0,"Completamos datos, claves o motivo. ","")&amp;IF(P437&gt;0,"Cotejamos precios e importe. ","")&amp;IF(Q437&gt;0,"Aclaramos el cero. ","")&amp;IF(R437&gt;0,"Comprobamos el texto. ","")&amp;IF(S437&gt;0,"Revisamos decimales visibles. ","")&amp;IF(T437&gt;0,"Confirmamos la unidad.","")),"Hay una entrada con error. Corregimos el dato antes de cerrar la comprobación.")</f>
      </c>
      <c r="N437" s="29" t="n">
        <f>IF(COUNTA('DATOS'!B437:O437)&gt;0,1,0)</f>
        <v>0</v>
      </c>
      <c r="O437" s="29">
        <f>IFERROR(IF(N437=0,"",IF(OR(NOT(AND(LEN(TRIM('DATOS'!B437&amp;""))&gt;0,TRIM('DATOS'!B437&amp;"")&lt;&gt;"Pendiente",TRIM('DATOS'!B437&amp;"")&lt;&gt;"Por confirmar",TRIM('DATOS'!B437&amp;"")&lt;&gt;"No consta",TRIM('DATOS'!B437&amp;"")&lt;&gt;"Desconocido",TRIM('DATOS'!B437&amp;"")&lt;&gt;"Sin confirmar",TRIM('DATOS'!B437&amp;"")&lt;&gt;"Por decidir",TRIM('DATOS'!B437&amp;"")&lt;&gt;"Por comprobar")),NOT(AND(LEN(TRIM('DATOS'!C437&amp;""))&gt;0,TRIM('DATOS'!C437&amp;"")&lt;&gt;"Pendiente",TRIM('DATOS'!C437&amp;"")&lt;&gt;"Por confirmar",TRIM('DATOS'!C437&amp;"")&lt;&gt;"No consta",TRIM('DATOS'!C437&amp;"")&lt;&gt;"Desconocido",TRIM('DATOS'!C437&amp;"")&lt;&gt;"Sin confirmar",TRIM('DATOS'!C437&amp;"")&lt;&gt;"Por decidir",TRIM('DATOS'!C437&amp;"")&lt;&gt;"Por comprobar")),NOT(AND(LEN(TRIM('DATOS'!D437&amp;""))&gt;0,TRIM('DATOS'!D437&amp;"")&lt;&gt;"Pendiente",TRIM('DATOS'!D437&amp;"")&lt;&gt;"Por confirmar",TRIM('DATOS'!D437&amp;"")&lt;&gt;"No consta",TRIM('DATOS'!D437&amp;"")&lt;&gt;"Desconocido",TRIM('DATOS'!D437&amp;"")&lt;&gt;"Sin confirmar",TRIM('DATOS'!D437&amp;"")&lt;&gt;"Por decidir",TRIM('DATOS'!D437&amp;"")&lt;&gt;"Por comprobar")),NOT(AND(LEN(TRIM('DATOS'!E437&amp;""))&gt;0,TRIM('DATOS'!E437&amp;"")&lt;&gt;"Pendiente",TRIM('DATOS'!E437&amp;"")&lt;&gt;"Por confirmar",TRIM('DATOS'!E437&amp;"")&lt;&gt;"No consta",TRIM('DATOS'!E437&amp;"")&lt;&gt;"Desconocido",TRIM('DATOS'!E437&amp;"")&lt;&gt;"Sin confirmar",TRIM('DATOS'!E437&amp;"")&lt;&gt;"Por decidir",TRIM('DATOS'!E437&amp;"")&lt;&gt;"Por comprobar")),NOT(AND(LEN(TRIM('DATOS'!F437&amp;""))&gt;0,TRIM('DATOS'!F437&amp;"")&lt;&gt;"Pendiente",TRIM('DATOS'!F437&amp;"")&lt;&gt;"Por confirmar",TRIM('DATOS'!F437&amp;"")&lt;&gt;"No consta",TRIM('DATOS'!F437&amp;"")&lt;&gt;"Desconocido",TRIM('DATOS'!F437&amp;"")&lt;&gt;"Sin confirmar",TRIM('DATOS'!F437&amp;"")&lt;&gt;"Por decidir",TRIM('DATOS'!F437&amp;"")&lt;&gt;"Por comprobar")),NOT(AND(LEN(TRIM('DATOS'!N437&amp;""))&gt;0,TRIM('DATOS'!N437&amp;"")&lt;&gt;"Pendiente",TRIM('DATOS'!N437&amp;"")&lt;&gt;"Por confirmar",TRIM('DATOS'!N437&amp;"")&lt;&gt;"No consta",TRIM('DATOS'!N437&amp;"")&lt;&gt;"Desconocido",TRIM('DATOS'!N437&amp;"")&lt;&gt;"Sin confirmar",TRIM('DATOS'!N437&amp;"")&lt;&gt;"Por decidir",TRIM('DATOS'!N437&amp;"")&lt;&gt;"Por comprobar")),NOT(Y437=1),W437&lt;&gt;1,X437&gt;1,NOT(OR(LEN(TRIM('DATOS'!K437&amp;""))=0,'DATOS'!K437="Sin valorar",'DATOS'!K437="Sin coste documentado",'DATOS'!K437="Incluido en otra partida",'DATOS'!K437="Por confirmar")),NOT(OR(LEN(TRIM('DATOS'!M437&amp;""))=0,'DATOS'!M437="Sí",'DATOS'!M437="No",'DATOS'!M437="Por confirmar")),NOT(OR(LEN(TRIM('DATOS'!O437&amp;""))=0,'DATOS'!O437="Comparamos",'DATOS'!O437="No existe",'DATOS'!O437="Por confirmar"))),2,IF(AND(OR('DATOS'!G437&lt;0,'DATOS'!H437&lt;0,'DATOS'!J437&lt;0),NOT(AND(LEN(TRIM('DATOS'!L437&amp;""))&gt;0,TRIM('DATOS'!L437&amp;"")&lt;&gt;"Pendiente",TRIM('DATOS'!L437&amp;"")&lt;&gt;"Por confirmar",TRIM('DATOS'!L437&amp;"")&lt;&gt;"No consta",TRIM('DATOS'!L437&amp;"")&lt;&gt;"Desconocido",TRIM('DATOS'!L437&amp;"")&lt;&gt;"Sin confirmar",TRIM('DATOS'!L437&amp;"")&lt;&gt;"Por decidir",TRIM('DATOS'!L437&amp;"")&lt;&gt;"Por comprobar"))),1,0))),2)</f>
      </c>
      <c r="P437" s="29">
        <f>IFERROR(IF(N437=0,"",IF(NOT(Y437=1),1,IF('REFERENCIAS'!$Q$8&lt;&gt;1,2,IF(ABS('DATOS'!J437-ROUND('DATOS'!G437*'DATOS'!H437,'REFERENCIAS'!$K$8))&gt;0.00000001,2,IF('DATOS'!O437="No existe",IF(LEN(TRIM('DATOS'!I437&amp;""))=0,0,2),IF('DATOS'!O437="Comparamos",IF(LEN(TRIM('DATOS'!I437&amp;""))=0,1,IF(ISNUMBER('DATOS'!I437),IF(ABS('DATOS'!H437-'DATOS'!I437)&gt;0.00000001,2,0),2)),1)))))),2)</f>
      </c>
      <c r="Q437" s="29">
        <f>IFERROR(IF(N437=0,"",IF(NOT(Y437=1),1,IF('DATOS'!K437="Sin valorar",2,IF('DATOS'!G437=0,1,IF(OR('DATOS'!H437=0,'DATOS'!J437=0),IF(AND(OR('DATOS'!K437="Sin coste documentado",'DATOS'!K437="Incluido en otra partida"),AND(LEN(TRIM('DATOS'!L437&amp;""))&gt;0,TRIM('DATOS'!L437&amp;"")&lt;&gt;"Pendiente",TRIM('DATOS'!L437&amp;"")&lt;&gt;"Por confirmar",TRIM('DATOS'!L437&amp;"")&lt;&gt;"No consta",TRIM('DATOS'!L437&amp;"")&lt;&gt;"Desconocido",TRIM('DATOS'!L437&amp;"")&lt;&gt;"Sin confirmar",TRIM('DATOS'!L437&amp;"")&lt;&gt;"Por decidir",TRIM('DATOS'!L437&amp;"")&lt;&gt;"Por comprobar")),0,1),0))))),2)</f>
      </c>
      <c r="R437" s="29">
        <f>IFERROR(IF(N437=0,"",IF(OR(NOT(AND(LEN(TRIM('DATOS'!D437&amp;""))&gt;0,TRIM('DATOS'!D437&amp;"")&lt;&gt;"Pendiente",TRIM('DATOS'!D437&amp;"")&lt;&gt;"Por confirmar",TRIM('DATOS'!D437&amp;"")&lt;&gt;"No consta",TRIM('DATOS'!D437&amp;"")&lt;&gt;"Desconocido",TRIM('DATOS'!D437&amp;"")&lt;&gt;"Sin confirmar",TRIM('DATOS'!D437&amp;"")&lt;&gt;"Por decidir",TRIM('DATOS'!D437&amp;"")&lt;&gt;"Por comprobar")),NOT(AND(LEN(TRIM('DATOS'!E437&amp;""))&gt;0,TRIM('DATOS'!E437&amp;"")&lt;&gt;"Pendiente",TRIM('DATOS'!E437&amp;"")&lt;&gt;"Por confirmar",TRIM('DATOS'!E437&amp;"")&lt;&gt;"No consta",TRIM('DATOS'!E437&amp;"")&lt;&gt;"Desconocido",TRIM('DATOS'!E437&amp;"")&lt;&gt;"Sin confirmar",TRIM('DATOS'!E437&amp;"")&lt;&gt;"Por decidir",TRIM('DATOS'!E437&amp;"")&lt;&gt;"Por comprobar"))),2,IF('DATOS'!M437="No",2,IF('DATOS'!M437="Sí",0,IF(OR('DATOS'!D437&lt;&gt;'DATOS'!E437,LEN('DATOS'!E437)&gt;300,RIGHT(TRIM('DATOS'!E437),3)="...",RIGHT(TRIM('DATOS'!E437),1)="…"),1,0))))),2)</f>
      </c>
      <c r="S437" s="29">
        <f>IFERROR(IF(N437=0,"",IF('REFERENCIAS'!$Q$8&lt;&gt;1,2,IF(NOT(Y437=1),1,IF(OR(ABS('DATOS'!G437-ROUND('DATOS'!G437,'REFERENCIAS'!$E$8))&gt;0.00000001,ABS('DATOS'!H437-ROUND('DATOS'!H437,'REFERENCIAS'!$H$8))&gt;0.00000001,ABS('DATOS'!J437-ROUND('DATOS'!J437,'REFERENCIAS'!$K$8))&gt;0.00000001,IF(ISNUMBER('DATOS'!I437),ABS('DATOS'!I437-ROUND('DATOS'!I437,'REFERENCIAS'!$H$8))&gt;0.00000001,FALSE)),1,0)))),2)</f>
      </c>
      <c r="T437" s="29">
        <f>IFERROR(IF(N437=0,"",IF(NOT(AND(LEN(TRIM('DATOS'!F437&amp;""))&gt;0,TRIM('DATOS'!F437&amp;"")&lt;&gt;"Pendiente",TRIM('DATOS'!F437&amp;"")&lt;&gt;"Por confirmar",TRIM('DATOS'!F437&amp;"")&lt;&gt;"No consta",TRIM('DATOS'!F437&amp;"")&lt;&gt;"Desconocido",TRIM('DATOS'!F437&amp;"")&lt;&gt;"Sin confirmar",TRIM('DATOS'!F437&amp;"")&lt;&gt;"Por decidir",TRIM('DATOS'!F437&amp;"")&lt;&gt;"Por comprobar")),2,IF(COUNTIFS('REFERENCIAS'!$T$15:$T$34,"ID:"&amp;SUBSTITUTE(SUBSTITUTE(SUBSTITUTE(SUBSTITUTE(UPPER(TRIM('DATOS'!F437&amp;"")),"!","!E"),"*","!A"),"?","!B"),"~","!C"),'REFERENCIAS'!$H$15:$H$34,"&lt;&gt;")&gt;0,0,1))),2)</f>
      </c>
      <c r="U437" s="29" t="str">
        <f>'DATOS'!R437</f>
        <v>ID:</v>
      </c>
      <c r="V437" s="29" t="str">
        <f>'DATOS'!S437</f>
        <v>ID:</v>
      </c>
      <c r="W437" s="29" t="n">
        <f>IF(N437=0,0,COUNTIFS('REFERENCIAS'!$R$15:$R$64,U437))</f>
        <v>0</v>
      </c>
      <c r="X437" s="29" t="n">
        <f>IF(N437=0,0,COUNTIFS('DATOS'!$R$10:$R$509,U437,'DATOS'!$S$10:$S$509,V437))</f>
        <v>0</v>
      </c>
      <c r="Y437" s="29" t="n">
        <f>IF(AND(ISNUMBER('DATOS'!G437),ISNUMBER('DATOS'!H437),ISNUMBER('DATOS'!J437)),1,0)</f>
        <v>0</v>
      </c>
    </row>
    <row r="438" ht="64" customHeight="1">
      <c r="B438" s="26">
        <f>IF(N438=1,429,"")</f>
      </c>
      <c r="C438" s="26">
        <f>IF(AND(N438=1,LEN(TRIM('DATOS'!B438&amp;""))&gt;0),'DATOS'!B438,"")</f>
      </c>
      <c r="D438" s="26">
        <f>IF(AND(N438=1,LEN(TRIM('DATOS'!C438&amp;""))&gt;0),'DATOS'!C438,"")</f>
      </c>
      <c r="E438" s="26">
        <f>IF(NOT(ISNUMBER(P438)),"",IF(P438=2,"ROJO",IF(P438=1,"ÁMBAR","VERDE")))</f>
      </c>
      <c r="F438" s="26">
        <f>IF(NOT(ISNUMBER(Q438)),"",IF(Q438=2,"ROJO",IF(Q438=1,"ÁMBAR","VERDE")))</f>
      </c>
      <c r="G438" s="26">
        <f>IF(NOT(ISNUMBER(R438)),"",IF(R438=2,"ROJO",IF(R438=1,"ÁMBAR","VERDE")))</f>
      </c>
      <c r="H438" s="26">
        <f>IF(NOT(ISNUMBER(S438)),"",IF(S438=2,"ROJO",IF(S438=1,"ÁMBAR","VERDE")))</f>
      </c>
      <c r="I438" s="26">
        <f>IF(NOT(ISNUMBER(T438)),"",IF(T438=2,"ROJO",IF(T438=1,"ÁMBAR","VERDE")))</f>
      </c>
      <c r="J438" s="26">
        <f>IF(NOT(ISNUMBER(O438)),"",IF(O438=2,"ROJO",IF(O438=1,"ÁMBAR","VERDE")))</f>
      </c>
      <c r="K438" s="26">
        <f>IFERROR(IF(AND(N438=1,LEN(TRIM('DATOS'!N438&amp;""))&gt;0),'DATOS'!N438,""),"Hay una entrada con error. Corregimos el dato antes de cerrar la comprobación.")</f>
      </c>
      <c r="L438" s="26">
        <f>IFERROR(IF(N438=0,"",IF(O438&gt;0,"Completamos datos, claves o motivo. ","")&amp;IF(P438&gt;0,"Cotejamos precios e importe. ","")&amp;IF(Q438&gt;0,"Aclaramos el cero. ","")&amp;IF(R438&gt;0,"Comprobamos el texto. ","")&amp;IF(S438&gt;0,"Revisamos decimales visibles. ","")&amp;IF(T438&gt;0,"Confirmamos la unidad.","")),"Hay una entrada con error. Corregimos el dato antes de cerrar la comprobación.")</f>
      </c>
      <c r="N438" s="29" t="n">
        <f>IF(COUNTA('DATOS'!B438:O438)&gt;0,1,0)</f>
        <v>0</v>
      </c>
      <c r="O438" s="29">
        <f>IFERROR(IF(N438=0,"",IF(OR(NOT(AND(LEN(TRIM('DATOS'!B438&amp;""))&gt;0,TRIM('DATOS'!B438&amp;"")&lt;&gt;"Pendiente",TRIM('DATOS'!B438&amp;"")&lt;&gt;"Por confirmar",TRIM('DATOS'!B438&amp;"")&lt;&gt;"No consta",TRIM('DATOS'!B438&amp;"")&lt;&gt;"Desconocido",TRIM('DATOS'!B438&amp;"")&lt;&gt;"Sin confirmar",TRIM('DATOS'!B438&amp;"")&lt;&gt;"Por decidir",TRIM('DATOS'!B438&amp;"")&lt;&gt;"Por comprobar")),NOT(AND(LEN(TRIM('DATOS'!C438&amp;""))&gt;0,TRIM('DATOS'!C438&amp;"")&lt;&gt;"Pendiente",TRIM('DATOS'!C438&amp;"")&lt;&gt;"Por confirmar",TRIM('DATOS'!C438&amp;"")&lt;&gt;"No consta",TRIM('DATOS'!C438&amp;"")&lt;&gt;"Desconocido",TRIM('DATOS'!C438&amp;"")&lt;&gt;"Sin confirmar",TRIM('DATOS'!C438&amp;"")&lt;&gt;"Por decidir",TRIM('DATOS'!C438&amp;"")&lt;&gt;"Por comprobar")),NOT(AND(LEN(TRIM('DATOS'!D438&amp;""))&gt;0,TRIM('DATOS'!D438&amp;"")&lt;&gt;"Pendiente",TRIM('DATOS'!D438&amp;"")&lt;&gt;"Por confirmar",TRIM('DATOS'!D438&amp;"")&lt;&gt;"No consta",TRIM('DATOS'!D438&amp;"")&lt;&gt;"Desconocido",TRIM('DATOS'!D438&amp;"")&lt;&gt;"Sin confirmar",TRIM('DATOS'!D438&amp;"")&lt;&gt;"Por decidir",TRIM('DATOS'!D438&amp;"")&lt;&gt;"Por comprobar")),NOT(AND(LEN(TRIM('DATOS'!E438&amp;""))&gt;0,TRIM('DATOS'!E438&amp;"")&lt;&gt;"Pendiente",TRIM('DATOS'!E438&amp;"")&lt;&gt;"Por confirmar",TRIM('DATOS'!E438&amp;"")&lt;&gt;"No consta",TRIM('DATOS'!E438&amp;"")&lt;&gt;"Desconocido",TRIM('DATOS'!E438&amp;"")&lt;&gt;"Sin confirmar",TRIM('DATOS'!E438&amp;"")&lt;&gt;"Por decidir",TRIM('DATOS'!E438&amp;"")&lt;&gt;"Por comprobar")),NOT(AND(LEN(TRIM('DATOS'!F438&amp;""))&gt;0,TRIM('DATOS'!F438&amp;"")&lt;&gt;"Pendiente",TRIM('DATOS'!F438&amp;"")&lt;&gt;"Por confirmar",TRIM('DATOS'!F438&amp;"")&lt;&gt;"No consta",TRIM('DATOS'!F438&amp;"")&lt;&gt;"Desconocido",TRIM('DATOS'!F438&amp;"")&lt;&gt;"Sin confirmar",TRIM('DATOS'!F438&amp;"")&lt;&gt;"Por decidir",TRIM('DATOS'!F438&amp;"")&lt;&gt;"Por comprobar")),NOT(AND(LEN(TRIM('DATOS'!N438&amp;""))&gt;0,TRIM('DATOS'!N438&amp;"")&lt;&gt;"Pendiente",TRIM('DATOS'!N438&amp;"")&lt;&gt;"Por confirmar",TRIM('DATOS'!N438&amp;"")&lt;&gt;"No consta",TRIM('DATOS'!N438&amp;"")&lt;&gt;"Desconocido",TRIM('DATOS'!N438&amp;"")&lt;&gt;"Sin confirmar",TRIM('DATOS'!N438&amp;"")&lt;&gt;"Por decidir",TRIM('DATOS'!N438&amp;"")&lt;&gt;"Por comprobar")),NOT(Y438=1),W438&lt;&gt;1,X438&gt;1,NOT(OR(LEN(TRIM('DATOS'!K438&amp;""))=0,'DATOS'!K438="Sin valorar",'DATOS'!K438="Sin coste documentado",'DATOS'!K438="Incluido en otra partida",'DATOS'!K438="Por confirmar")),NOT(OR(LEN(TRIM('DATOS'!M438&amp;""))=0,'DATOS'!M438="Sí",'DATOS'!M438="No",'DATOS'!M438="Por confirmar")),NOT(OR(LEN(TRIM('DATOS'!O438&amp;""))=0,'DATOS'!O438="Comparamos",'DATOS'!O438="No existe",'DATOS'!O438="Por confirmar"))),2,IF(AND(OR('DATOS'!G438&lt;0,'DATOS'!H438&lt;0,'DATOS'!J438&lt;0),NOT(AND(LEN(TRIM('DATOS'!L438&amp;""))&gt;0,TRIM('DATOS'!L438&amp;"")&lt;&gt;"Pendiente",TRIM('DATOS'!L438&amp;"")&lt;&gt;"Por confirmar",TRIM('DATOS'!L438&amp;"")&lt;&gt;"No consta",TRIM('DATOS'!L438&amp;"")&lt;&gt;"Desconocido",TRIM('DATOS'!L438&amp;"")&lt;&gt;"Sin confirmar",TRIM('DATOS'!L438&amp;"")&lt;&gt;"Por decidir",TRIM('DATOS'!L438&amp;"")&lt;&gt;"Por comprobar"))),1,0))),2)</f>
      </c>
      <c r="P438" s="29">
        <f>IFERROR(IF(N438=0,"",IF(NOT(Y438=1),1,IF('REFERENCIAS'!$Q$8&lt;&gt;1,2,IF(ABS('DATOS'!J438-ROUND('DATOS'!G438*'DATOS'!H438,'REFERENCIAS'!$K$8))&gt;0.00000001,2,IF('DATOS'!O438="No existe",IF(LEN(TRIM('DATOS'!I438&amp;""))=0,0,2),IF('DATOS'!O438="Comparamos",IF(LEN(TRIM('DATOS'!I438&amp;""))=0,1,IF(ISNUMBER('DATOS'!I438),IF(ABS('DATOS'!H438-'DATOS'!I438)&gt;0.00000001,2,0),2)),1)))))),2)</f>
      </c>
      <c r="Q438" s="29">
        <f>IFERROR(IF(N438=0,"",IF(NOT(Y438=1),1,IF('DATOS'!K438="Sin valorar",2,IF('DATOS'!G438=0,1,IF(OR('DATOS'!H438=0,'DATOS'!J438=0),IF(AND(OR('DATOS'!K438="Sin coste documentado",'DATOS'!K438="Incluido en otra partida"),AND(LEN(TRIM('DATOS'!L438&amp;""))&gt;0,TRIM('DATOS'!L438&amp;"")&lt;&gt;"Pendiente",TRIM('DATOS'!L438&amp;"")&lt;&gt;"Por confirmar",TRIM('DATOS'!L438&amp;"")&lt;&gt;"No consta",TRIM('DATOS'!L438&amp;"")&lt;&gt;"Desconocido",TRIM('DATOS'!L438&amp;"")&lt;&gt;"Sin confirmar",TRIM('DATOS'!L438&amp;"")&lt;&gt;"Por decidir",TRIM('DATOS'!L438&amp;"")&lt;&gt;"Por comprobar")),0,1),0))))),2)</f>
      </c>
      <c r="R438" s="29">
        <f>IFERROR(IF(N438=0,"",IF(OR(NOT(AND(LEN(TRIM('DATOS'!D438&amp;""))&gt;0,TRIM('DATOS'!D438&amp;"")&lt;&gt;"Pendiente",TRIM('DATOS'!D438&amp;"")&lt;&gt;"Por confirmar",TRIM('DATOS'!D438&amp;"")&lt;&gt;"No consta",TRIM('DATOS'!D438&amp;"")&lt;&gt;"Desconocido",TRIM('DATOS'!D438&amp;"")&lt;&gt;"Sin confirmar",TRIM('DATOS'!D438&amp;"")&lt;&gt;"Por decidir",TRIM('DATOS'!D438&amp;"")&lt;&gt;"Por comprobar")),NOT(AND(LEN(TRIM('DATOS'!E438&amp;""))&gt;0,TRIM('DATOS'!E438&amp;"")&lt;&gt;"Pendiente",TRIM('DATOS'!E438&amp;"")&lt;&gt;"Por confirmar",TRIM('DATOS'!E438&amp;"")&lt;&gt;"No consta",TRIM('DATOS'!E438&amp;"")&lt;&gt;"Desconocido",TRIM('DATOS'!E438&amp;"")&lt;&gt;"Sin confirmar",TRIM('DATOS'!E438&amp;"")&lt;&gt;"Por decidir",TRIM('DATOS'!E438&amp;"")&lt;&gt;"Por comprobar"))),2,IF('DATOS'!M438="No",2,IF('DATOS'!M438="Sí",0,IF(OR('DATOS'!D438&lt;&gt;'DATOS'!E438,LEN('DATOS'!E438)&gt;300,RIGHT(TRIM('DATOS'!E438),3)="...",RIGHT(TRIM('DATOS'!E438),1)="…"),1,0))))),2)</f>
      </c>
      <c r="S438" s="29">
        <f>IFERROR(IF(N438=0,"",IF('REFERENCIAS'!$Q$8&lt;&gt;1,2,IF(NOT(Y438=1),1,IF(OR(ABS('DATOS'!G438-ROUND('DATOS'!G438,'REFERENCIAS'!$E$8))&gt;0.00000001,ABS('DATOS'!H438-ROUND('DATOS'!H438,'REFERENCIAS'!$H$8))&gt;0.00000001,ABS('DATOS'!J438-ROUND('DATOS'!J438,'REFERENCIAS'!$K$8))&gt;0.00000001,IF(ISNUMBER('DATOS'!I438),ABS('DATOS'!I438-ROUND('DATOS'!I438,'REFERENCIAS'!$H$8))&gt;0.00000001,FALSE)),1,0)))),2)</f>
      </c>
      <c r="T438" s="29">
        <f>IFERROR(IF(N438=0,"",IF(NOT(AND(LEN(TRIM('DATOS'!F438&amp;""))&gt;0,TRIM('DATOS'!F438&amp;"")&lt;&gt;"Pendiente",TRIM('DATOS'!F438&amp;"")&lt;&gt;"Por confirmar",TRIM('DATOS'!F438&amp;"")&lt;&gt;"No consta",TRIM('DATOS'!F438&amp;"")&lt;&gt;"Desconocido",TRIM('DATOS'!F438&amp;"")&lt;&gt;"Sin confirmar",TRIM('DATOS'!F438&amp;"")&lt;&gt;"Por decidir",TRIM('DATOS'!F438&amp;"")&lt;&gt;"Por comprobar")),2,IF(COUNTIFS('REFERENCIAS'!$T$15:$T$34,"ID:"&amp;SUBSTITUTE(SUBSTITUTE(SUBSTITUTE(SUBSTITUTE(UPPER(TRIM('DATOS'!F438&amp;"")),"!","!E"),"*","!A"),"?","!B"),"~","!C"),'REFERENCIAS'!$H$15:$H$34,"&lt;&gt;")&gt;0,0,1))),2)</f>
      </c>
      <c r="U438" s="29" t="str">
        <f>'DATOS'!R438</f>
        <v>ID:</v>
      </c>
      <c r="V438" s="29" t="str">
        <f>'DATOS'!S438</f>
        <v>ID:</v>
      </c>
      <c r="W438" s="29" t="n">
        <f>IF(N438=0,0,COUNTIFS('REFERENCIAS'!$R$15:$R$64,U438))</f>
        <v>0</v>
      </c>
      <c r="X438" s="29" t="n">
        <f>IF(N438=0,0,COUNTIFS('DATOS'!$R$10:$R$509,U438,'DATOS'!$S$10:$S$509,V438))</f>
        <v>0</v>
      </c>
      <c r="Y438" s="29" t="n">
        <f>IF(AND(ISNUMBER('DATOS'!G438),ISNUMBER('DATOS'!H438),ISNUMBER('DATOS'!J438)),1,0)</f>
        <v>0</v>
      </c>
    </row>
    <row r="439" ht="64" customHeight="1">
      <c r="B439" s="26">
        <f>IF(N439=1,430,"")</f>
      </c>
      <c r="C439" s="26">
        <f>IF(AND(N439=1,LEN(TRIM('DATOS'!B439&amp;""))&gt;0),'DATOS'!B439,"")</f>
      </c>
      <c r="D439" s="26">
        <f>IF(AND(N439=1,LEN(TRIM('DATOS'!C439&amp;""))&gt;0),'DATOS'!C439,"")</f>
      </c>
      <c r="E439" s="26">
        <f>IF(NOT(ISNUMBER(P439)),"",IF(P439=2,"ROJO",IF(P439=1,"ÁMBAR","VERDE")))</f>
      </c>
      <c r="F439" s="26">
        <f>IF(NOT(ISNUMBER(Q439)),"",IF(Q439=2,"ROJO",IF(Q439=1,"ÁMBAR","VERDE")))</f>
      </c>
      <c r="G439" s="26">
        <f>IF(NOT(ISNUMBER(R439)),"",IF(R439=2,"ROJO",IF(R439=1,"ÁMBAR","VERDE")))</f>
      </c>
      <c r="H439" s="26">
        <f>IF(NOT(ISNUMBER(S439)),"",IF(S439=2,"ROJO",IF(S439=1,"ÁMBAR","VERDE")))</f>
      </c>
      <c r="I439" s="26">
        <f>IF(NOT(ISNUMBER(T439)),"",IF(T439=2,"ROJO",IF(T439=1,"ÁMBAR","VERDE")))</f>
      </c>
      <c r="J439" s="26">
        <f>IF(NOT(ISNUMBER(O439)),"",IF(O439=2,"ROJO",IF(O439=1,"ÁMBAR","VERDE")))</f>
      </c>
      <c r="K439" s="26">
        <f>IFERROR(IF(AND(N439=1,LEN(TRIM('DATOS'!N439&amp;""))&gt;0),'DATOS'!N439,""),"Hay una entrada con error. Corregimos el dato antes de cerrar la comprobación.")</f>
      </c>
      <c r="L439" s="26">
        <f>IFERROR(IF(N439=0,"",IF(O439&gt;0,"Completamos datos, claves o motivo. ","")&amp;IF(P439&gt;0,"Cotejamos precios e importe. ","")&amp;IF(Q439&gt;0,"Aclaramos el cero. ","")&amp;IF(R439&gt;0,"Comprobamos el texto. ","")&amp;IF(S439&gt;0,"Revisamos decimales visibles. ","")&amp;IF(T439&gt;0,"Confirmamos la unidad.","")),"Hay una entrada con error. Corregimos el dato antes de cerrar la comprobación.")</f>
      </c>
      <c r="N439" s="29" t="n">
        <f>IF(COUNTA('DATOS'!B439:O439)&gt;0,1,0)</f>
        <v>0</v>
      </c>
      <c r="O439" s="29">
        <f>IFERROR(IF(N439=0,"",IF(OR(NOT(AND(LEN(TRIM('DATOS'!B439&amp;""))&gt;0,TRIM('DATOS'!B439&amp;"")&lt;&gt;"Pendiente",TRIM('DATOS'!B439&amp;"")&lt;&gt;"Por confirmar",TRIM('DATOS'!B439&amp;"")&lt;&gt;"No consta",TRIM('DATOS'!B439&amp;"")&lt;&gt;"Desconocido",TRIM('DATOS'!B439&amp;"")&lt;&gt;"Sin confirmar",TRIM('DATOS'!B439&amp;"")&lt;&gt;"Por decidir",TRIM('DATOS'!B439&amp;"")&lt;&gt;"Por comprobar")),NOT(AND(LEN(TRIM('DATOS'!C439&amp;""))&gt;0,TRIM('DATOS'!C439&amp;"")&lt;&gt;"Pendiente",TRIM('DATOS'!C439&amp;"")&lt;&gt;"Por confirmar",TRIM('DATOS'!C439&amp;"")&lt;&gt;"No consta",TRIM('DATOS'!C439&amp;"")&lt;&gt;"Desconocido",TRIM('DATOS'!C439&amp;"")&lt;&gt;"Sin confirmar",TRIM('DATOS'!C439&amp;"")&lt;&gt;"Por decidir",TRIM('DATOS'!C439&amp;"")&lt;&gt;"Por comprobar")),NOT(AND(LEN(TRIM('DATOS'!D439&amp;""))&gt;0,TRIM('DATOS'!D439&amp;"")&lt;&gt;"Pendiente",TRIM('DATOS'!D439&amp;"")&lt;&gt;"Por confirmar",TRIM('DATOS'!D439&amp;"")&lt;&gt;"No consta",TRIM('DATOS'!D439&amp;"")&lt;&gt;"Desconocido",TRIM('DATOS'!D439&amp;"")&lt;&gt;"Sin confirmar",TRIM('DATOS'!D439&amp;"")&lt;&gt;"Por decidir",TRIM('DATOS'!D439&amp;"")&lt;&gt;"Por comprobar")),NOT(AND(LEN(TRIM('DATOS'!E439&amp;""))&gt;0,TRIM('DATOS'!E439&amp;"")&lt;&gt;"Pendiente",TRIM('DATOS'!E439&amp;"")&lt;&gt;"Por confirmar",TRIM('DATOS'!E439&amp;"")&lt;&gt;"No consta",TRIM('DATOS'!E439&amp;"")&lt;&gt;"Desconocido",TRIM('DATOS'!E439&amp;"")&lt;&gt;"Sin confirmar",TRIM('DATOS'!E439&amp;"")&lt;&gt;"Por decidir",TRIM('DATOS'!E439&amp;"")&lt;&gt;"Por comprobar")),NOT(AND(LEN(TRIM('DATOS'!F439&amp;""))&gt;0,TRIM('DATOS'!F439&amp;"")&lt;&gt;"Pendiente",TRIM('DATOS'!F439&amp;"")&lt;&gt;"Por confirmar",TRIM('DATOS'!F439&amp;"")&lt;&gt;"No consta",TRIM('DATOS'!F439&amp;"")&lt;&gt;"Desconocido",TRIM('DATOS'!F439&amp;"")&lt;&gt;"Sin confirmar",TRIM('DATOS'!F439&amp;"")&lt;&gt;"Por decidir",TRIM('DATOS'!F439&amp;"")&lt;&gt;"Por comprobar")),NOT(AND(LEN(TRIM('DATOS'!N439&amp;""))&gt;0,TRIM('DATOS'!N439&amp;"")&lt;&gt;"Pendiente",TRIM('DATOS'!N439&amp;"")&lt;&gt;"Por confirmar",TRIM('DATOS'!N439&amp;"")&lt;&gt;"No consta",TRIM('DATOS'!N439&amp;"")&lt;&gt;"Desconocido",TRIM('DATOS'!N439&amp;"")&lt;&gt;"Sin confirmar",TRIM('DATOS'!N439&amp;"")&lt;&gt;"Por decidir",TRIM('DATOS'!N439&amp;"")&lt;&gt;"Por comprobar")),NOT(Y439=1),W439&lt;&gt;1,X439&gt;1,NOT(OR(LEN(TRIM('DATOS'!K439&amp;""))=0,'DATOS'!K439="Sin valorar",'DATOS'!K439="Sin coste documentado",'DATOS'!K439="Incluido en otra partida",'DATOS'!K439="Por confirmar")),NOT(OR(LEN(TRIM('DATOS'!M439&amp;""))=0,'DATOS'!M439="Sí",'DATOS'!M439="No",'DATOS'!M439="Por confirmar")),NOT(OR(LEN(TRIM('DATOS'!O439&amp;""))=0,'DATOS'!O439="Comparamos",'DATOS'!O439="No existe",'DATOS'!O439="Por confirmar"))),2,IF(AND(OR('DATOS'!G439&lt;0,'DATOS'!H439&lt;0,'DATOS'!J439&lt;0),NOT(AND(LEN(TRIM('DATOS'!L439&amp;""))&gt;0,TRIM('DATOS'!L439&amp;"")&lt;&gt;"Pendiente",TRIM('DATOS'!L439&amp;"")&lt;&gt;"Por confirmar",TRIM('DATOS'!L439&amp;"")&lt;&gt;"No consta",TRIM('DATOS'!L439&amp;"")&lt;&gt;"Desconocido",TRIM('DATOS'!L439&amp;"")&lt;&gt;"Sin confirmar",TRIM('DATOS'!L439&amp;"")&lt;&gt;"Por decidir",TRIM('DATOS'!L439&amp;"")&lt;&gt;"Por comprobar"))),1,0))),2)</f>
      </c>
      <c r="P439" s="29">
        <f>IFERROR(IF(N439=0,"",IF(NOT(Y439=1),1,IF('REFERENCIAS'!$Q$8&lt;&gt;1,2,IF(ABS('DATOS'!J439-ROUND('DATOS'!G439*'DATOS'!H439,'REFERENCIAS'!$K$8))&gt;0.00000001,2,IF('DATOS'!O439="No existe",IF(LEN(TRIM('DATOS'!I439&amp;""))=0,0,2),IF('DATOS'!O439="Comparamos",IF(LEN(TRIM('DATOS'!I439&amp;""))=0,1,IF(ISNUMBER('DATOS'!I439),IF(ABS('DATOS'!H439-'DATOS'!I439)&gt;0.00000001,2,0),2)),1)))))),2)</f>
      </c>
      <c r="Q439" s="29">
        <f>IFERROR(IF(N439=0,"",IF(NOT(Y439=1),1,IF('DATOS'!K439="Sin valorar",2,IF('DATOS'!G439=0,1,IF(OR('DATOS'!H439=0,'DATOS'!J439=0),IF(AND(OR('DATOS'!K439="Sin coste documentado",'DATOS'!K439="Incluido en otra partida"),AND(LEN(TRIM('DATOS'!L439&amp;""))&gt;0,TRIM('DATOS'!L439&amp;"")&lt;&gt;"Pendiente",TRIM('DATOS'!L439&amp;"")&lt;&gt;"Por confirmar",TRIM('DATOS'!L439&amp;"")&lt;&gt;"No consta",TRIM('DATOS'!L439&amp;"")&lt;&gt;"Desconocido",TRIM('DATOS'!L439&amp;"")&lt;&gt;"Sin confirmar",TRIM('DATOS'!L439&amp;"")&lt;&gt;"Por decidir",TRIM('DATOS'!L439&amp;"")&lt;&gt;"Por comprobar")),0,1),0))))),2)</f>
      </c>
      <c r="R439" s="29">
        <f>IFERROR(IF(N439=0,"",IF(OR(NOT(AND(LEN(TRIM('DATOS'!D439&amp;""))&gt;0,TRIM('DATOS'!D439&amp;"")&lt;&gt;"Pendiente",TRIM('DATOS'!D439&amp;"")&lt;&gt;"Por confirmar",TRIM('DATOS'!D439&amp;"")&lt;&gt;"No consta",TRIM('DATOS'!D439&amp;"")&lt;&gt;"Desconocido",TRIM('DATOS'!D439&amp;"")&lt;&gt;"Sin confirmar",TRIM('DATOS'!D439&amp;"")&lt;&gt;"Por decidir",TRIM('DATOS'!D439&amp;"")&lt;&gt;"Por comprobar")),NOT(AND(LEN(TRIM('DATOS'!E439&amp;""))&gt;0,TRIM('DATOS'!E439&amp;"")&lt;&gt;"Pendiente",TRIM('DATOS'!E439&amp;"")&lt;&gt;"Por confirmar",TRIM('DATOS'!E439&amp;"")&lt;&gt;"No consta",TRIM('DATOS'!E439&amp;"")&lt;&gt;"Desconocido",TRIM('DATOS'!E439&amp;"")&lt;&gt;"Sin confirmar",TRIM('DATOS'!E439&amp;"")&lt;&gt;"Por decidir",TRIM('DATOS'!E439&amp;"")&lt;&gt;"Por comprobar"))),2,IF('DATOS'!M439="No",2,IF('DATOS'!M439="Sí",0,IF(OR('DATOS'!D439&lt;&gt;'DATOS'!E439,LEN('DATOS'!E439)&gt;300,RIGHT(TRIM('DATOS'!E439),3)="...",RIGHT(TRIM('DATOS'!E439),1)="…"),1,0))))),2)</f>
      </c>
      <c r="S439" s="29">
        <f>IFERROR(IF(N439=0,"",IF('REFERENCIAS'!$Q$8&lt;&gt;1,2,IF(NOT(Y439=1),1,IF(OR(ABS('DATOS'!G439-ROUND('DATOS'!G439,'REFERENCIAS'!$E$8))&gt;0.00000001,ABS('DATOS'!H439-ROUND('DATOS'!H439,'REFERENCIAS'!$H$8))&gt;0.00000001,ABS('DATOS'!J439-ROUND('DATOS'!J439,'REFERENCIAS'!$K$8))&gt;0.00000001,IF(ISNUMBER('DATOS'!I439),ABS('DATOS'!I439-ROUND('DATOS'!I439,'REFERENCIAS'!$H$8))&gt;0.00000001,FALSE)),1,0)))),2)</f>
      </c>
      <c r="T439" s="29">
        <f>IFERROR(IF(N439=0,"",IF(NOT(AND(LEN(TRIM('DATOS'!F439&amp;""))&gt;0,TRIM('DATOS'!F439&amp;"")&lt;&gt;"Pendiente",TRIM('DATOS'!F439&amp;"")&lt;&gt;"Por confirmar",TRIM('DATOS'!F439&amp;"")&lt;&gt;"No consta",TRIM('DATOS'!F439&amp;"")&lt;&gt;"Desconocido",TRIM('DATOS'!F439&amp;"")&lt;&gt;"Sin confirmar",TRIM('DATOS'!F439&amp;"")&lt;&gt;"Por decidir",TRIM('DATOS'!F439&amp;"")&lt;&gt;"Por comprobar")),2,IF(COUNTIFS('REFERENCIAS'!$T$15:$T$34,"ID:"&amp;SUBSTITUTE(SUBSTITUTE(SUBSTITUTE(SUBSTITUTE(UPPER(TRIM('DATOS'!F439&amp;"")),"!","!E"),"*","!A"),"?","!B"),"~","!C"),'REFERENCIAS'!$H$15:$H$34,"&lt;&gt;")&gt;0,0,1))),2)</f>
      </c>
      <c r="U439" s="29" t="str">
        <f>'DATOS'!R439</f>
        <v>ID:</v>
      </c>
      <c r="V439" s="29" t="str">
        <f>'DATOS'!S439</f>
        <v>ID:</v>
      </c>
      <c r="W439" s="29" t="n">
        <f>IF(N439=0,0,COUNTIFS('REFERENCIAS'!$R$15:$R$64,U439))</f>
        <v>0</v>
      </c>
      <c r="X439" s="29" t="n">
        <f>IF(N439=0,0,COUNTIFS('DATOS'!$R$10:$R$509,U439,'DATOS'!$S$10:$S$509,V439))</f>
        <v>0</v>
      </c>
      <c r="Y439" s="29" t="n">
        <f>IF(AND(ISNUMBER('DATOS'!G439),ISNUMBER('DATOS'!H439),ISNUMBER('DATOS'!J439)),1,0)</f>
        <v>0</v>
      </c>
    </row>
    <row r="440" ht="64" customHeight="1">
      <c r="B440" s="26">
        <f>IF(N440=1,431,"")</f>
      </c>
      <c r="C440" s="26">
        <f>IF(AND(N440=1,LEN(TRIM('DATOS'!B440&amp;""))&gt;0),'DATOS'!B440,"")</f>
      </c>
      <c r="D440" s="26">
        <f>IF(AND(N440=1,LEN(TRIM('DATOS'!C440&amp;""))&gt;0),'DATOS'!C440,"")</f>
      </c>
      <c r="E440" s="26">
        <f>IF(NOT(ISNUMBER(P440)),"",IF(P440=2,"ROJO",IF(P440=1,"ÁMBAR","VERDE")))</f>
      </c>
      <c r="F440" s="26">
        <f>IF(NOT(ISNUMBER(Q440)),"",IF(Q440=2,"ROJO",IF(Q440=1,"ÁMBAR","VERDE")))</f>
      </c>
      <c r="G440" s="26">
        <f>IF(NOT(ISNUMBER(R440)),"",IF(R440=2,"ROJO",IF(R440=1,"ÁMBAR","VERDE")))</f>
      </c>
      <c r="H440" s="26">
        <f>IF(NOT(ISNUMBER(S440)),"",IF(S440=2,"ROJO",IF(S440=1,"ÁMBAR","VERDE")))</f>
      </c>
      <c r="I440" s="26">
        <f>IF(NOT(ISNUMBER(T440)),"",IF(T440=2,"ROJO",IF(T440=1,"ÁMBAR","VERDE")))</f>
      </c>
      <c r="J440" s="26">
        <f>IF(NOT(ISNUMBER(O440)),"",IF(O440=2,"ROJO",IF(O440=1,"ÁMBAR","VERDE")))</f>
      </c>
      <c r="K440" s="26">
        <f>IFERROR(IF(AND(N440=1,LEN(TRIM('DATOS'!N440&amp;""))&gt;0),'DATOS'!N440,""),"Hay una entrada con error. Corregimos el dato antes de cerrar la comprobación.")</f>
      </c>
      <c r="L440" s="26">
        <f>IFERROR(IF(N440=0,"",IF(O440&gt;0,"Completamos datos, claves o motivo. ","")&amp;IF(P440&gt;0,"Cotejamos precios e importe. ","")&amp;IF(Q440&gt;0,"Aclaramos el cero. ","")&amp;IF(R440&gt;0,"Comprobamos el texto. ","")&amp;IF(S440&gt;0,"Revisamos decimales visibles. ","")&amp;IF(T440&gt;0,"Confirmamos la unidad.","")),"Hay una entrada con error. Corregimos el dato antes de cerrar la comprobación.")</f>
      </c>
      <c r="N440" s="29" t="n">
        <f>IF(COUNTA('DATOS'!B440:O440)&gt;0,1,0)</f>
        <v>0</v>
      </c>
      <c r="O440" s="29">
        <f>IFERROR(IF(N440=0,"",IF(OR(NOT(AND(LEN(TRIM('DATOS'!B440&amp;""))&gt;0,TRIM('DATOS'!B440&amp;"")&lt;&gt;"Pendiente",TRIM('DATOS'!B440&amp;"")&lt;&gt;"Por confirmar",TRIM('DATOS'!B440&amp;"")&lt;&gt;"No consta",TRIM('DATOS'!B440&amp;"")&lt;&gt;"Desconocido",TRIM('DATOS'!B440&amp;"")&lt;&gt;"Sin confirmar",TRIM('DATOS'!B440&amp;"")&lt;&gt;"Por decidir",TRIM('DATOS'!B440&amp;"")&lt;&gt;"Por comprobar")),NOT(AND(LEN(TRIM('DATOS'!C440&amp;""))&gt;0,TRIM('DATOS'!C440&amp;"")&lt;&gt;"Pendiente",TRIM('DATOS'!C440&amp;"")&lt;&gt;"Por confirmar",TRIM('DATOS'!C440&amp;"")&lt;&gt;"No consta",TRIM('DATOS'!C440&amp;"")&lt;&gt;"Desconocido",TRIM('DATOS'!C440&amp;"")&lt;&gt;"Sin confirmar",TRIM('DATOS'!C440&amp;"")&lt;&gt;"Por decidir",TRIM('DATOS'!C440&amp;"")&lt;&gt;"Por comprobar")),NOT(AND(LEN(TRIM('DATOS'!D440&amp;""))&gt;0,TRIM('DATOS'!D440&amp;"")&lt;&gt;"Pendiente",TRIM('DATOS'!D440&amp;"")&lt;&gt;"Por confirmar",TRIM('DATOS'!D440&amp;"")&lt;&gt;"No consta",TRIM('DATOS'!D440&amp;"")&lt;&gt;"Desconocido",TRIM('DATOS'!D440&amp;"")&lt;&gt;"Sin confirmar",TRIM('DATOS'!D440&amp;"")&lt;&gt;"Por decidir",TRIM('DATOS'!D440&amp;"")&lt;&gt;"Por comprobar")),NOT(AND(LEN(TRIM('DATOS'!E440&amp;""))&gt;0,TRIM('DATOS'!E440&amp;"")&lt;&gt;"Pendiente",TRIM('DATOS'!E440&amp;"")&lt;&gt;"Por confirmar",TRIM('DATOS'!E440&amp;"")&lt;&gt;"No consta",TRIM('DATOS'!E440&amp;"")&lt;&gt;"Desconocido",TRIM('DATOS'!E440&amp;"")&lt;&gt;"Sin confirmar",TRIM('DATOS'!E440&amp;"")&lt;&gt;"Por decidir",TRIM('DATOS'!E440&amp;"")&lt;&gt;"Por comprobar")),NOT(AND(LEN(TRIM('DATOS'!F440&amp;""))&gt;0,TRIM('DATOS'!F440&amp;"")&lt;&gt;"Pendiente",TRIM('DATOS'!F440&amp;"")&lt;&gt;"Por confirmar",TRIM('DATOS'!F440&amp;"")&lt;&gt;"No consta",TRIM('DATOS'!F440&amp;"")&lt;&gt;"Desconocido",TRIM('DATOS'!F440&amp;"")&lt;&gt;"Sin confirmar",TRIM('DATOS'!F440&amp;"")&lt;&gt;"Por decidir",TRIM('DATOS'!F440&amp;"")&lt;&gt;"Por comprobar")),NOT(AND(LEN(TRIM('DATOS'!N440&amp;""))&gt;0,TRIM('DATOS'!N440&amp;"")&lt;&gt;"Pendiente",TRIM('DATOS'!N440&amp;"")&lt;&gt;"Por confirmar",TRIM('DATOS'!N440&amp;"")&lt;&gt;"No consta",TRIM('DATOS'!N440&amp;"")&lt;&gt;"Desconocido",TRIM('DATOS'!N440&amp;"")&lt;&gt;"Sin confirmar",TRIM('DATOS'!N440&amp;"")&lt;&gt;"Por decidir",TRIM('DATOS'!N440&amp;"")&lt;&gt;"Por comprobar")),NOT(Y440=1),W440&lt;&gt;1,X440&gt;1,NOT(OR(LEN(TRIM('DATOS'!K440&amp;""))=0,'DATOS'!K440="Sin valorar",'DATOS'!K440="Sin coste documentado",'DATOS'!K440="Incluido en otra partida",'DATOS'!K440="Por confirmar")),NOT(OR(LEN(TRIM('DATOS'!M440&amp;""))=0,'DATOS'!M440="Sí",'DATOS'!M440="No",'DATOS'!M440="Por confirmar")),NOT(OR(LEN(TRIM('DATOS'!O440&amp;""))=0,'DATOS'!O440="Comparamos",'DATOS'!O440="No existe",'DATOS'!O440="Por confirmar"))),2,IF(AND(OR('DATOS'!G440&lt;0,'DATOS'!H440&lt;0,'DATOS'!J440&lt;0),NOT(AND(LEN(TRIM('DATOS'!L440&amp;""))&gt;0,TRIM('DATOS'!L440&amp;"")&lt;&gt;"Pendiente",TRIM('DATOS'!L440&amp;"")&lt;&gt;"Por confirmar",TRIM('DATOS'!L440&amp;"")&lt;&gt;"No consta",TRIM('DATOS'!L440&amp;"")&lt;&gt;"Desconocido",TRIM('DATOS'!L440&amp;"")&lt;&gt;"Sin confirmar",TRIM('DATOS'!L440&amp;"")&lt;&gt;"Por decidir",TRIM('DATOS'!L440&amp;"")&lt;&gt;"Por comprobar"))),1,0))),2)</f>
      </c>
      <c r="P440" s="29">
        <f>IFERROR(IF(N440=0,"",IF(NOT(Y440=1),1,IF('REFERENCIAS'!$Q$8&lt;&gt;1,2,IF(ABS('DATOS'!J440-ROUND('DATOS'!G440*'DATOS'!H440,'REFERENCIAS'!$K$8))&gt;0.00000001,2,IF('DATOS'!O440="No existe",IF(LEN(TRIM('DATOS'!I440&amp;""))=0,0,2),IF('DATOS'!O440="Comparamos",IF(LEN(TRIM('DATOS'!I440&amp;""))=0,1,IF(ISNUMBER('DATOS'!I440),IF(ABS('DATOS'!H440-'DATOS'!I440)&gt;0.00000001,2,0),2)),1)))))),2)</f>
      </c>
      <c r="Q440" s="29">
        <f>IFERROR(IF(N440=0,"",IF(NOT(Y440=1),1,IF('DATOS'!K440="Sin valorar",2,IF('DATOS'!G440=0,1,IF(OR('DATOS'!H440=0,'DATOS'!J440=0),IF(AND(OR('DATOS'!K440="Sin coste documentado",'DATOS'!K440="Incluido en otra partida"),AND(LEN(TRIM('DATOS'!L440&amp;""))&gt;0,TRIM('DATOS'!L440&amp;"")&lt;&gt;"Pendiente",TRIM('DATOS'!L440&amp;"")&lt;&gt;"Por confirmar",TRIM('DATOS'!L440&amp;"")&lt;&gt;"No consta",TRIM('DATOS'!L440&amp;"")&lt;&gt;"Desconocido",TRIM('DATOS'!L440&amp;"")&lt;&gt;"Sin confirmar",TRIM('DATOS'!L440&amp;"")&lt;&gt;"Por decidir",TRIM('DATOS'!L440&amp;"")&lt;&gt;"Por comprobar")),0,1),0))))),2)</f>
      </c>
      <c r="R440" s="29">
        <f>IFERROR(IF(N440=0,"",IF(OR(NOT(AND(LEN(TRIM('DATOS'!D440&amp;""))&gt;0,TRIM('DATOS'!D440&amp;"")&lt;&gt;"Pendiente",TRIM('DATOS'!D440&amp;"")&lt;&gt;"Por confirmar",TRIM('DATOS'!D440&amp;"")&lt;&gt;"No consta",TRIM('DATOS'!D440&amp;"")&lt;&gt;"Desconocido",TRIM('DATOS'!D440&amp;"")&lt;&gt;"Sin confirmar",TRIM('DATOS'!D440&amp;"")&lt;&gt;"Por decidir",TRIM('DATOS'!D440&amp;"")&lt;&gt;"Por comprobar")),NOT(AND(LEN(TRIM('DATOS'!E440&amp;""))&gt;0,TRIM('DATOS'!E440&amp;"")&lt;&gt;"Pendiente",TRIM('DATOS'!E440&amp;"")&lt;&gt;"Por confirmar",TRIM('DATOS'!E440&amp;"")&lt;&gt;"No consta",TRIM('DATOS'!E440&amp;"")&lt;&gt;"Desconocido",TRIM('DATOS'!E440&amp;"")&lt;&gt;"Sin confirmar",TRIM('DATOS'!E440&amp;"")&lt;&gt;"Por decidir",TRIM('DATOS'!E440&amp;"")&lt;&gt;"Por comprobar"))),2,IF('DATOS'!M440="No",2,IF('DATOS'!M440="Sí",0,IF(OR('DATOS'!D440&lt;&gt;'DATOS'!E440,LEN('DATOS'!E440)&gt;300,RIGHT(TRIM('DATOS'!E440),3)="...",RIGHT(TRIM('DATOS'!E440),1)="…"),1,0))))),2)</f>
      </c>
      <c r="S440" s="29">
        <f>IFERROR(IF(N440=0,"",IF('REFERENCIAS'!$Q$8&lt;&gt;1,2,IF(NOT(Y440=1),1,IF(OR(ABS('DATOS'!G440-ROUND('DATOS'!G440,'REFERENCIAS'!$E$8))&gt;0.00000001,ABS('DATOS'!H440-ROUND('DATOS'!H440,'REFERENCIAS'!$H$8))&gt;0.00000001,ABS('DATOS'!J440-ROUND('DATOS'!J440,'REFERENCIAS'!$K$8))&gt;0.00000001,IF(ISNUMBER('DATOS'!I440),ABS('DATOS'!I440-ROUND('DATOS'!I440,'REFERENCIAS'!$H$8))&gt;0.00000001,FALSE)),1,0)))),2)</f>
      </c>
      <c r="T440" s="29">
        <f>IFERROR(IF(N440=0,"",IF(NOT(AND(LEN(TRIM('DATOS'!F440&amp;""))&gt;0,TRIM('DATOS'!F440&amp;"")&lt;&gt;"Pendiente",TRIM('DATOS'!F440&amp;"")&lt;&gt;"Por confirmar",TRIM('DATOS'!F440&amp;"")&lt;&gt;"No consta",TRIM('DATOS'!F440&amp;"")&lt;&gt;"Desconocido",TRIM('DATOS'!F440&amp;"")&lt;&gt;"Sin confirmar",TRIM('DATOS'!F440&amp;"")&lt;&gt;"Por decidir",TRIM('DATOS'!F440&amp;"")&lt;&gt;"Por comprobar")),2,IF(COUNTIFS('REFERENCIAS'!$T$15:$T$34,"ID:"&amp;SUBSTITUTE(SUBSTITUTE(SUBSTITUTE(SUBSTITUTE(UPPER(TRIM('DATOS'!F440&amp;"")),"!","!E"),"*","!A"),"?","!B"),"~","!C"),'REFERENCIAS'!$H$15:$H$34,"&lt;&gt;")&gt;0,0,1))),2)</f>
      </c>
      <c r="U440" s="29" t="str">
        <f>'DATOS'!R440</f>
        <v>ID:</v>
      </c>
      <c r="V440" s="29" t="str">
        <f>'DATOS'!S440</f>
        <v>ID:</v>
      </c>
      <c r="W440" s="29" t="n">
        <f>IF(N440=0,0,COUNTIFS('REFERENCIAS'!$R$15:$R$64,U440))</f>
        <v>0</v>
      </c>
      <c r="X440" s="29" t="n">
        <f>IF(N440=0,0,COUNTIFS('DATOS'!$R$10:$R$509,U440,'DATOS'!$S$10:$S$509,V440))</f>
        <v>0</v>
      </c>
      <c r="Y440" s="29" t="n">
        <f>IF(AND(ISNUMBER('DATOS'!G440),ISNUMBER('DATOS'!H440),ISNUMBER('DATOS'!J440)),1,0)</f>
        <v>0</v>
      </c>
    </row>
    <row r="441" ht="64" customHeight="1">
      <c r="B441" s="26">
        <f>IF(N441=1,432,"")</f>
      </c>
      <c r="C441" s="26">
        <f>IF(AND(N441=1,LEN(TRIM('DATOS'!B441&amp;""))&gt;0),'DATOS'!B441,"")</f>
      </c>
      <c r="D441" s="26">
        <f>IF(AND(N441=1,LEN(TRIM('DATOS'!C441&amp;""))&gt;0),'DATOS'!C441,"")</f>
      </c>
      <c r="E441" s="26">
        <f>IF(NOT(ISNUMBER(P441)),"",IF(P441=2,"ROJO",IF(P441=1,"ÁMBAR","VERDE")))</f>
      </c>
      <c r="F441" s="26">
        <f>IF(NOT(ISNUMBER(Q441)),"",IF(Q441=2,"ROJO",IF(Q441=1,"ÁMBAR","VERDE")))</f>
      </c>
      <c r="G441" s="26">
        <f>IF(NOT(ISNUMBER(R441)),"",IF(R441=2,"ROJO",IF(R441=1,"ÁMBAR","VERDE")))</f>
      </c>
      <c r="H441" s="26">
        <f>IF(NOT(ISNUMBER(S441)),"",IF(S441=2,"ROJO",IF(S441=1,"ÁMBAR","VERDE")))</f>
      </c>
      <c r="I441" s="26">
        <f>IF(NOT(ISNUMBER(T441)),"",IF(T441=2,"ROJO",IF(T441=1,"ÁMBAR","VERDE")))</f>
      </c>
      <c r="J441" s="26">
        <f>IF(NOT(ISNUMBER(O441)),"",IF(O441=2,"ROJO",IF(O441=1,"ÁMBAR","VERDE")))</f>
      </c>
      <c r="K441" s="26">
        <f>IFERROR(IF(AND(N441=1,LEN(TRIM('DATOS'!N441&amp;""))&gt;0),'DATOS'!N441,""),"Hay una entrada con error. Corregimos el dato antes de cerrar la comprobación.")</f>
      </c>
      <c r="L441" s="26">
        <f>IFERROR(IF(N441=0,"",IF(O441&gt;0,"Completamos datos, claves o motivo. ","")&amp;IF(P441&gt;0,"Cotejamos precios e importe. ","")&amp;IF(Q441&gt;0,"Aclaramos el cero. ","")&amp;IF(R441&gt;0,"Comprobamos el texto. ","")&amp;IF(S441&gt;0,"Revisamos decimales visibles. ","")&amp;IF(T441&gt;0,"Confirmamos la unidad.","")),"Hay una entrada con error. Corregimos el dato antes de cerrar la comprobación.")</f>
      </c>
      <c r="N441" s="29" t="n">
        <f>IF(COUNTA('DATOS'!B441:O441)&gt;0,1,0)</f>
        <v>0</v>
      </c>
      <c r="O441" s="29">
        <f>IFERROR(IF(N441=0,"",IF(OR(NOT(AND(LEN(TRIM('DATOS'!B441&amp;""))&gt;0,TRIM('DATOS'!B441&amp;"")&lt;&gt;"Pendiente",TRIM('DATOS'!B441&amp;"")&lt;&gt;"Por confirmar",TRIM('DATOS'!B441&amp;"")&lt;&gt;"No consta",TRIM('DATOS'!B441&amp;"")&lt;&gt;"Desconocido",TRIM('DATOS'!B441&amp;"")&lt;&gt;"Sin confirmar",TRIM('DATOS'!B441&amp;"")&lt;&gt;"Por decidir",TRIM('DATOS'!B441&amp;"")&lt;&gt;"Por comprobar")),NOT(AND(LEN(TRIM('DATOS'!C441&amp;""))&gt;0,TRIM('DATOS'!C441&amp;"")&lt;&gt;"Pendiente",TRIM('DATOS'!C441&amp;"")&lt;&gt;"Por confirmar",TRIM('DATOS'!C441&amp;"")&lt;&gt;"No consta",TRIM('DATOS'!C441&amp;"")&lt;&gt;"Desconocido",TRIM('DATOS'!C441&amp;"")&lt;&gt;"Sin confirmar",TRIM('DATOS'!C441&amp;"")&lt;&gt;"Por decidir",TRIM('DATOS'!C441&amp;"")&lt;&gt;"Por comprobar")),NOT(AND(LEN(TRIM('DATOS'!D441&amp;""))&gt;0,TRIM('DATOS'!D441&amp;"")&lt;&gt;"Pendiente",TRIM('DATOS'!D441&amp;"")&lt;&gt;"Por confirmar",TRIM('DATOS'!D441&amp;"")&lt;&gt;"No consta",TRIM('DATOS'!D441&amp;"")&lt;&gt;"Desconocido",TRIM('DATOS'!D441&amp;"")&lt;&gt;"Sin confirmar",TRIM('DATOS'!D441&amp;"")&lt;&gt;"Por decidir",TRIM('DATOS'!D441&amp;"")&lt;&gt;"Por comprobar")),NOT(AND(LEN(TRIM('DATOS'!E441&amp;""))&gt;0,TRIM('DATOS'!E441&amp;"")&lt;&gt;"Pendiente",TRIM('DATOS'!E441&amp;"")&lt;&gt;"Por confirmar",TRIM('DATOS'!E441&amp;"")&lt;&gt;"No consta",TRIM('DATOS'!E441&amp;"")&lt;&gt;"Desconocido",TRIM('DATOS'!E441&amp;"")&lt;&gt;"Sin confirmar",TRIM('DATOS'!E441&amp;"")&lt;&gt;"Por decidir",TRIM('DATOS'!E441&amp;"")&lt;&gt;"Por comprobar")),NOT(AND(LEN(TRIM('DATOS'!F441&amp;""))&gt;0,TRIM('DATOS'!F441&amp;"")&lt;&gt;"Pendiente",TRIM('DATOS'!F441&amp;"")&lt;&gt;"Por confirmar",TRIM('DATOS'!F441&amp;"")&lt;&gt;"No consta",TRIM('DATOS'!F441&amp;"")&lt;&gt;"Desconocido",TRIM('DATOS'!F441&amp;"")&lt;&gt;"Sin confirmar",TRIM('DATOS'!F441&amp;"")&lt;&gt;"Por decidir",TRIM('DATOS'!F441&amp;"")&lt;&gt;"Por comprobar")),NOT(AND(LEN(TRIM('DATOS'!N441&amp;""))&gt;0,TRIM('DATOS'!N441&amp;"")&lt;&gt;"Pendiente",TRIM('DATOS'!N441&amp;"")&lt;&gt;"Por confirmar",TRIM('DATOS'!N441&amp;"")&lt;&gt;"No consta",TRIM('DATOS'!N441&amp;"")&lt;&gt;"Desconocido",TRIM('DATOS'!N441&amp;"")&lt;&gt;"Sin confirmar",TRIM('DATOS'!N441&amp;"")&lt;&gt;"Por decidir",TRIM('DATOS'!N441&amp;"")&lt;&gt;"Por comprobar")),NOT(Y441=1),W441&lt;&gt;1,X441&gt;1,NOT(OR(LEN(TRIM('DATOS'!K441&amp;""))=0,'DATOS'!K441="Sin valorar",'DATOS'!K441="Sin coste documentado",'DATOS'!K441="Incluido en otra partida",'DATOS'!K441="Por confirmar")),NOT(OR(LEN(TRIM('DATOS'!M441&amp;""))=0,'DATOS'!M441="Sí",'DATOS'!M441="No",'DATOS'!M441="Por confirmar")),NOT(OR(LEN(TRIM('DATOS'!O441&amp;""))=0,'DATOS'!O441="Comparamos",'DATOS'!O441="No existe",'DATOS'!O441="Por confirmar"))),2,IF(AND(OR('DATOS'!G441&lt;0,'DATOS'!H441&lt;0,'DATOS'!J441&lt;0),NOT(AND(LEN(TRIM('DATOS'!L441&amp;""))&gt;0,TRIM('DATOS'!L441&amp;"")&lt;&gt;"Pendiente",TRIM('DATOS'!L441&amp;"")&lt;&gt;"Por confirmar",TRIM('DATOS'!L441&amp;"")&lt;&gt;"No consta",TRIM('DATOS'!L441&amp;"")&lt;&gt;"Desconocido",TRIM('DATOS'!L441&amp;"")&lt;&gt;"Sin confirmar",TRIM('DATOS'!L441&amp;"")&lt;&gt;"Por decidir",TRIM('DATOS'!L441&amp;"")&lt;&gt;"Por comprobar"))),1,0))),2)</f>
      </c>
      <c r="P441" s="29">
        <f>IFERROR(IF(N441=0,"",IF(NOT(Y441=1),1,IF('REFERENCIAS'!$Q$8&lt;&gt;1,2,IF(ABS('DATOS'!J441-ROUND('DATOS'!G441*'DATOS'!H441,'REFERENCIAS'!$K$8))&gt;0.00000001,2,IF('DATOS'!O441="No existe",IF(LEN(TRIM('DATOS'!I441&amp;""))=0,0,2),IF('DATOS'!O441="Comparamos",IF(LEN(TRIM('DATOS'!I441&amp;""))=0,1,IF(ISNUMBER('DATOS'!I441),IF(ABS('DATOS'!H441-'DATOS'!I441)&gt;0.00000001,2,0),2)),1)))))),2)</f>
      </c>
      <c r="Q441" s="29">
        <f>IFERROR(IF(N441=0,"",IF(NOT(Y441=1),1,IF('DATOS'!K441="Sin valorar",2,IF('DATOS'!G441=0,1,IF(OR('DATOS'!H441=0,'DATOS'!J441=0),IF(AND(OR('DATOS'!K441="Sin coste documentado",'DATOS'!K441="Incluido en otra partida"),AND(LEN(TRIM('DATOS'!L441&amp;""))&gt;0,TRIM('DATOS'!L441&amp;"")&lt;&gt;"Pendiente",TRIM('DATOS'!L441&amp;"")&lt;&gt;"Por confirmar",TRIM('DATOS'!L441&amp;"")&lt;&gt;"No consta",TRIM('DATOS'!L441&amp;"")&lt;&gt;"Desconocido",TRIM('DATOS'!L441&amp;"")&lt;&gt;"Sin confirmar",TRIM('DATOS'!L441&amp;"")&lt;&gt;"Por decidir",TRIM('DATOS'!L441&amp;"")&lt;&gt;"Por comprobar")),0,1),0))))),2)</f>
      </c>
      <c r="R441" s="29">
        <f>IFERROR(IF(N441=0,"",IF(OR(NOT(AND(LEN(TRIM('DATOS'!D441&amp;""))&gt;0,TRIM('DATOS'!D441&amp;"")&lt;&gt;"Pendiente",TRIM('DATOS'!D441&amp;"")&lt;&gt;"Por confirmar",TRIM('DATOS'!D441&amp;"")&lt;&gt;"No consta",TRIM('DATOS'!D441&amp;"")&lt;&gt;"Desconocido",TRIM('DATOS'!D441&amp;"")&lt;&gt;"Sin confirmar",TRIM('DATOS'!D441&amp;"")&lt;&gt;"Por decidir",TRIM('DATOS'!D441&amp;"")&lt;&gt;"Por comprobar")),NOT(AND(LEN(TRIM('DATOS'!E441&amp;""))&gt;0,TRIM('DATOS'!E441&amp;"")&lt;&gt;"Pendiente",TRIM('DATOS'!E441&amp;"")&lt;&gt;"Por confirmar",TRIM('DATOS'!E441&amp;"")&lt;&gt;"No consta",TRIM('DATOS'!E441&amp;"")&lt;&gt;"Desconocido",TRIM('DATOS'!E441&amp;"")&lt;&gt;"Sin confirmar",TRIM('DATOS'!E441&amp;"")&lt;&gt;"Por decidir",TRIM('DATOS'!E441&amp;"")&lt;&gt;"Por comprobar"))),2,IF('DATOS'!M441="No",2,IF('DATOS'!M441="Sí",0,IF(OR('DATOS'!D441&lt;&gt;'DATOS'!E441,LEN('DATOS'!E441)&gt;300,RIGHT(TRIM('DATOS'!E441),3)="...",RIGHT(TRIM('DATOS'!E441),1)="…"),1,0))))),2)</f>
      </c>
      <c r="S441" s="29">
        <f>IFERROR(IF(N441=0,"",IF('REFERENCIAS'!$Q$8&lt;&gt;1,2,IF(NOT(Y441=1),1,IF(OR(ABS('DATOS'!G441-ROUND('DATOS'!G441,'REFERENCIAS'!$E$8))&gt;0.00000001,ABS('DATOS'!H441-ROUND('DATOS'!H441,'REFERENCIAS'!$H$8))&gt;0.00000001,ABS('DATOS'!J441-ROUND('DATOS'!J441,'REFERENCIAS'!$K$8))&gt;0.00000001,IF(ISNUMBER('DATOS'!I441),ABS('DATOS'!I441-ROUND('DATOS'!I441,'REFERENCIAS'!$H$8))&gt;0.00000001,FALSE)),1,0)))),2)</f>
      </c>
      <c r="T441" s="29">
        <f>IFERROR(IF(N441=0,"",IF(NOT(AND(LEN(TRIM('DATOS'!F441&amp;""))&gt;0,TRIM('DATOS'!F441&amp;"")&lt;&gt;"Pendiente",TRIM('DATOS'!F441&amp;"")&lt;&gt;"Por confirmar",TRIM('DATOS'!F441&amp;"")&lt;&gt;"No consta",TRIM('DATOS'!F441&amp;"")&lt;&gt;"Desconocido",TRIM('DATOS'!F441&amp;"")&lt;&gt;"Sin confirmar",TRIM('DATOS'!F441&amp;"")&lt;&gt;"Por decidir",TRIM('DATOS'!F441&amp;"")&lt;&gt;"Por comprobar")),2,IF(COUNTIFS('REFERENCIAS'!$T$15:$T$34,"ID:"&amp;SUBSTITUTE(SUBSTITUTE(SUBSTITUTE(SUBSTITUTE(UPPER(TRIM('DATOS'!F441&amp;"")),"!","!E"),"*","!A"),"?","!B"),"~","!C"),'REFERENCIAS'!$H$15:$H$34,"&lt;&gt;")&gt;0,0,1))),2)</f>
      </c>
      <c r="U441" s="29" t="str">
        <f>'DATOS'!R441</f>
        <v>ID:</v>
      </c>
      <c r="V441" s="29" t="str">
        <f>'DATOS'!S441</f>
        <v>ID:</v>
      </c>
      <c r="W441" s="29" t="n">
        <f>IF(N441=0,0,COUNTIFS('REFERENCIAS'!$R$15:$R$64,U441))</f>
        <v>0</v>
      </c>
      <c r="X441" s="29" t="n">
        <f>IF(N441=0,0,COUNTIFS('DATOS'!$R$10:$R$509,U441,'DATOS'!$S$10:$S$509,V441))</f>
        <v>0</v>
      </c>
      <c r="Y441" s="29" t="n">
        <f>IF(AND(ISNUMBER('DATOS'!G441),ISNUMBER('DATOS'!H441),ISNUMBER('DATOS'!J441)),1,0)</f>
        <v>0</v>
      </c>
    </row>
    <row r="442" ht="64" customHeight="1">
      <c r="B442" s="26">
        <f>IF(N442=1,433,"")</f>
      </c>
      <c r="C442" s="26">
        <f>IF(AND(N442=1,LEN(TRIM('DATOS'!B442&amp;""))&gt;0),'DATOS'!B442,"")</f>
      </c>
      <c r="D442" s="26">
        <f>IF(AND(N442=1,LEN(TRIM('DATOS'!C442&amp;""))&gt;0),'DATOS'!C442,"")</f>
      </c>
      <c r="E442" s="26">
        <f>IF(NOT(ISNUMBER(P442)),"",IF(P442=2,"ROJO",IF(P442=1,"ÁMBAR","VERDE")))</f>
      </c>
      <c r="F442" s="26">
        <f>IF(NOT(ISNUMBER(Q442)),"",IF(Q442=2,"ROJO",IF(Q442=1,"ÁMBAR","VERDE")))</f>
      </c>
      <c r="G442" s="26">
        <f>IF(NOT(ISNUMBER(R442)),"",IF(R442=2,"ROJO",IF(R442=1,"ÁMBAR","VERDE")))</f>
      </c>
      <c r="H442" s="26">
        <f>IF(NOT(ISNUMBER(S442)),"",IF(S442=2,"ROJO",IF(S442=1,"ÁMBAR","VERDE")))</f>
      </c>
      <c r="I442" s="26">
        <f>IF(NOT(ISNUMBER(T442)),"",IF(T442=2,"ROJO",IF(T442=1,"ÁMBAR","VERDE")))</f>
      </c>
      <c r="J442" s="26">
        <f>IF(NOT(ISNUMBER(O442)),"",IF(O442=2,"ROJO",IF(O442=1,"ÁMBAR","VERDE")))</f>
      </c>
      <c r="K442" s="26">
        <f>IFERROR(IF(AND(N442=1,LEN(TRIM('DATOS'!N442&amp;""))&gt;0),'DATOS'!N442,""),"Hay una entrada con error. Corregimos el dato antes de cerrar la comprobación.")</f>
      </c>
      <c r="L442" s="26">
        <f>IFERROR(IF(N442=0,"",IF(O442&gt;0,"Completamos datos, claves o motivo. ","")&amp;IF(P442&gt;0,"Cotejamos precios e importe. ","")&amp;IF(Q442&gt;0,"Aclaramos el cero. ","")&amp;IF(R442&gt;0,"Comprobamos el texto. ","")&amp;IF(S442&gt;0,"Revisamos decimales visibles. ","")&amp;IF(T442&gt;0,"Confirmamos la unidad.","")),"Hay una entrada con error. Corregimos el dato antes de cerrar la comprobación.")</f>
      </c>
      <c r="N442" s="29" t="n">
        <f>IF(COUNTA('DATOS'!B442:O442)&gt;0,1,0)</f>
        <v>0</v>
      </c>
      <c r="O442" s="29">
        <f>IFERROR(IF(N442=0,"",IF(OR(NOT(AND(LEN(TRIM('DATOS'!B442&amp;""))&gt;0,TRIM('DATOS'!B442&amp;"")&lt;&gt;"Pendiente",TRIM('DATOS'!B442&amp;"")&lt;&gt;"Por confirmar",TRIM('DATOS'!B442&amp;"")&lt;&gt;"No consta",TRIM('DATOS'!B442&amp;"")&lt;&gt;"Desconocido",TRIM('DATOS'!B442&amp;"")&lt;&gt;"Sin confirmar",TRIM('DATOS'!B442&amp;"")&lt;&gt;"Por decidir",TRIM('DATOS'!B442&amp;"")&lt;&gt;"Por comprobar")),NOT(AND(LEN(TRIM('DATOS'!C442&amp;""))&gt;0,TRIM('DATOS'!C442&amp;"")&lt;&gt;"Pendiente",TRIM('DATOS'!C442&amp;"")&lt;&gt;"Por confirmar",TRIM('DATOS'!C442&amp;"")&lt;&gt;"No consta",TRIM('DATOS'!C442&amp;"")&lt;&gt;"Desconocido",TRIM('DATOS'!C442&amp;"")&lt;&gt;"Sin confirmar",TRIM('DATOS'!C442&amp;"")&lt;&gt;"Por decidir",TRIM('DATOS'!C442&amp;"")&lt;&gt;"Por comprobar")),NOT(AND(LEN(TRIM('DATOS'!D442&amp;""))&gt;0,TRIM('DATOS'!D442&amp;"")&lt;&gt;"Pendiente",TRIM('DATOS'!D442&amp;"")&lt;&gt;"Por confirmar",TRIM('DATOS'!D442&amp;"")&lt;&gt;"No consta",TRIM('DATOS'!D442&amp;"")&lt;&gt;"Desconocido",TRIM('DATOS'!D442&amp;"")&lt;&gt;"Sin confirmar",TRIM('DATOS'!D442&amp;"")&lt;&gt;"Por decidir",TRIM('DATOS'!D442&amp;"")&lt;&gt;"Por comprobar")),NOT(AND(LEN(TRIM('DATOS'!E442&amp;""))&gt;0,TRIM('DATOS'!E442&amp;"")&lt;&gt;"Pendiente",TRIM('DATOS'!E442&amp;"")&lt;&gt;"Por confirmar",TRIM('DATOS'!E442&amp;"")&lt;&gt;"No consta",TRIM('DATOS'!E442&amp;"")&lt;&gt;"Desconocido",TRIM('DATOS'!E442&amp;"")&lt;&gt;"Sin confirmar",TRIM('DATOS'!E442&amp;"")&lt;&gt;"Por decidir",TRIM('DATOS'!E442&amp;"")&lt;&gt;"Por comprobar")),NOT(AND(LEN(TRIM('DATOS'!F442&amp;""))&gt;0,TRIM('DATOS'!F442&amp;"")&lt;&gt;"Pendiente",TRIM('DATOS'!F442&amp;"")&lt;&gt;"Por confirmar",TRIM('DATOS'!F442&amp;"")&lt;&gt;"No consta",TRIM('DATOS'!F442&amp;"")&lt;&gt;"Desconocido",TRIM('DATOS'!F442&amp;"")&lt;&gt;"Sin confirmar",TRIM('DATOS'!F442&amp;"")&lt;&gt;"Por decidir",TRIM('DATOS'!F442&amp;"")&lt;&gt;"Por comprobar")),NOT(AND(LEN(TRIM('DATOS'!N442&amp;""))&gt;0,TRIM('DATOS'!N442&amp;"")&lt;&gt;"Pendiente",TRIM('DATOS'!N442&amp;"")&lt;&gt;"Por confirmar",TRIM('DATOS'!N442&amp;"")&lt;&gt;"No consta",TRIM('DATOS'!N442&amp;"")&lt;&gt;"Desconocido",TRIM('DATOS'!N442&amp;"")&lt;&gt;"Sin confirmar",TRIM('DATOS'!N442&amp;"")&lt;&gt;"Por decidir",TRIM('DATOS'!N442&amp;"")&lt;&gt;"Por comprobar")),NOT(Y442=1),W442&lt;&gt;1,X442&gt;1,NOT(OR(LEN(TRIM('DATOS'!K442&amp;""))=0,'DATOS'!K442="Sin valorar",'DATOS'!K442="Sin coste documentado",'DATOS'!K442="Incluido en otra partida",'DATOS'!K442="Por confirmar")),NOT(OR(LEN(TRIM('DATOS'!M442&amp;""))=0,'DATOS'!M442="Sí",'DATOS'!M442="No",'DATOS'!M442="Por confirmar")),NOT(OR(LEN(TRIM('DATOS'!O442&amp;""))=0,'DATOS'!O442="Comparamos",'DATOS'!O442="No existe",'DATOS'!O442="Por confirmar"))),2,IF(AND(OR('DATOS'!G442&lt;0,'DATOS'!H442&lt;0,'DATOS'!J442&lt;0),NOT(AND(LEN(TRIM('DATOS'!L442&amp;""))&gt;0,TRIM('DATOS'!L442&amp;"")&lt;&gt;"Pendiente",TRIM('DATOS'!L442&amp;"")&lt;&gt;"Por confirmar",TRIM('DATOS'!L442&amp;"")&lt;&gt;"No consta",TRIM('DATOS'!L442&amp;"")&lt;&gt;"Desconocido",TRIM('DATOS'!L442&amp;"")&lt;&gt;"Sin confirmar",TRIM('DATOS'!L442&amp;"")&lt;&gt;"Por decidir",TRIM('DATOS'!L442&amp;"")&lt;&gt;"Por comprobar"))),1,0))),2)</f>
      </c>
      <c r="P442" s="29">
        <f>IFERROR(IF(N442=0,"",IF(NOT(Y442=1),1,IF('REFERENCIAS'!$Q$8&lt;&gt;1,2,IF(ABS('DATOS'!J442-ROUND('DATOS'!G442*'DATOS'!H442,'REFERENCIAS'!$K$8))&gt;0.00000001,2,IF('DATOS'!O442="No existe",IF(LEN(TRIM('DATOS'!I442&amp;""))=0,0,2),IF('DATOS'!O442="Comparamos",IF(LEN(TRIM('DATOS'!I442&amp;""))=0,1,IF(ISNUMBER('DATOS'!I442),IF(ABS('DATOS'!H442-'DATOS'!I442)&gt;0.00000001,2,0),2)),1)))))),2)</f>
      </c>
      <c r="Q442" s="29">
        <f>IFERROR(IF(N442=0,"",IF(NOT(Y442=1),1,IF('DATOS'!K442="Sin valorar",2,IF('DATOS'!G442=0,1,IF(OR('DATOS'!H442=0,'DATOS'!J442=0),IF(AND(OR('DATOS'!K442="Sin coste documentado",'DATOS'!K442="Incluido en otra partida"),AND(LEN(TRIM('DATOS'!L442&amp;""))&gt;0,TRIM('DATOS'!L442&amp;"")&lt;&gt;"Pendiente",TRIM('DATOS'!L442&amp;"")&lt;&gt;"Por confirmar",TRIM('DATOS'!L442&amp;"")&lt;&gt;"No consta",TRIM('DATOS'!L442&amp;"")&lt;&gt;"Desconocido",TRIM('DATOS'!L442&amp;"")&lt;&gt;"Sin confirmar",TRIM('DATOS'!L442&amp;"")&lt;&gt;"Por decidir",TRIM('DATOS'!L442&amp;"")&lt;&gt;"Por comprobar")),0,1),0))))),2)</f>
      </c>
      <c r="R442" s="29">
        <f>IFERROR(IF(N442=0,"",IF(OR(NOT(AND(LEN(TRIM('DATOS'!D442&amp;""))&gt;0,TRIM('DATOS'!D442&amp;"")&lt;&gt;"Pendiente",TRIM('DATOS'!D442&amp;"")&lt;&gt;"Por confirmar",TRIM('DATOS'!D442&amp;"")&lt;&gt;"No consta",TRIM('DATOS'!D442&amp;"")&lt;&gt;"Desconocido",TRIM('DATOS'!D442&amp;"")&lt;&gt;"Sin confirmar",TRIM('DATOS'!D442&amp;"")&lt;&gt;"Por decidir",TRIM('DATOS'!D442&amp;"")&lt;&gt;"Por comprobar")),NOT(AND(LEN(TRIM('DATOS'!E442&amp;""))&gt;0,TRIM('DATOS'!E442&amp;"")&lt;&gt;"Pendiente",TRIM('DATOS'!E442&amp;"")&lt;&gt;"Por confirmar",TRIM('DATOS'!E442&amp;"")&lt;&gt;"No consta",TRIM('DATOS'!E442&amp;"")&lt;&gt;"Desconocido",TRIM('DATOS'!E442&amp;"")&lt;&gt;"Sin confirmar",TRIM('DATOS'!E442&amp;"")&lt;&gt;"Por decidir",TRIM('DATOS'!E442&amp;"")&lt;&gt;"Por comprobar"))),2,IF('DATOS'!M442="No",2,IF('DATOS'!M442="Sí",0,IF(OR('DATOS'!D442&lt;&gt;'DATOS'!E442,LEN('DATOS'!E442)&gt;300,RIGHT(TRIM('DATOS'!E442),3)="...",RIGHT(TRIM('DATOS'!E442),1)="…"),1,0))))),2)</f>
      </c>
      <c r="S442" s="29">
        <f>IFERROR(IF(N442=0,"",IF('REFERENCIAS'!$Q$8&lt;&gt;1,2,IF(NOT(Y442=1),1,IF(OR(ABS('DATOS'!G442-ROUND('DATOS'!G442,'REFERENCIAS'!$E$8))&gt;0.00000001,ABS('DATOS'!H442-ROUND('DATOS'!H442,'REFERENCIAS'!$H$8))&gt;0.00000001,ABS('DATOS'!J442-ROUND('DATOS'!J442,'REFERENCIAS'!$K$8))&gt;0.00000001,IF(ISNUMBER('DATOS'!I442),ABS('DATOS'!I442-ROUND('DATOS'!I442,'REFERENCIAS'!$H$8))&gt;0.00000001,FALSE)),1,0)))),2)</f>
      </c>
      <c r="T442" s="29">
        <f>IFERROR(IF(N442=0,"",IF(NOT(AND(LEN(TRIM('DATOS'!F442&amp;""))&gt;0,TRIM('DATOS'!F442&amp;"")&lt;&gt;"Pendiente",TRIM('DATOS'!F442&amp;"")&lt;&gt;"Por confirmar",TRIM('DATOS'!F442&amp;"")&lt;&gt;"No consta",TRIM('DATOS'!F442&amp;"")&lt;&gt;"Desconocido",TRIM('DATOS'!F442&amp;"")&lt;&gt;"Sin confirmar",TRIM('DATOS'!F442&amp;"")&lt;&gt;"Por decidir",TRIM('DATOS'!F442&amp;"")&lt;&gt;"Por comprobar")),2,IF(COUNTIFS('REFERENCIAS'!$T$15:$T$34,"ID:"&amp;SUBSTITUTE(SUBSTITUTE(SUBSTITUTE(SUBSTITUTE(UPPER(TRIM('DATOS'!F442&amp;"")),"!","!E"),"*","!A"),"?","!B"),"~","!C"),'REFERENCIAS'!$H$15:$H$34,"&lt;&gt;")&gt;0,0,1))),2)</f>
      </c>
      <c r="U442" s="29" t="str">
        <f>'DATOS'!R442</f>
        <v>ID:</v>
      </c>
      <c r="V442" s="29" t="str">
        <f>'DATOS'!S442</f>
        <v>ID:</v>
      </c>
      <c r="W442" s="29" t="n">
        <f>IF(N442=0,0,COUNTIFS('REFERENCIAS'!$R$15:$R$64,U442))</f>
        <v>0</v>
      </c>
      <c r="X442" s="29" t="n">
        <f>IF(N442=0,0,COUNTIFS('DATOS'!$R$10:$R$509,U442,'DATOS'!$S$10:$S$509,V442))</f>
        <v>0</v>
      </c>
      <c r="Y442" s="29" t="n">
        <f>IF(AND(ISNUMBER('DATOS'!G442),ISNUMBER('DATOS'!H442),ISNUMBER('DATOS'!J442)),1,0)</f>
        <v>0</v>
      </c>
    </row>
    <row r="443" ht="64" customHeight="1">
      <c r="B443" s="26">
        <f>IF(N443=1,434,"")</f>
      </c>
      <c r="C443" s="26">
        <f>IF(AND(N443=1,LEN(TRIM('DATOS'!B443&amp;""))&gt;0),'DATOS'!B443,"")</f>
      </c>
      <c r="D443" s="26">
        <f>IF(AND(N443=1,LEN(TRIM('DATOS'!C443&amp;""))&gt;0),'DATOS'!C443,"")</f>
      </c>
      <c r="E443" s="26">
        <f>IF(NOT(ISNUMBER(P443)),"",IF(P443=2,"ROJO",IF(P443=1,"ÁMBAR","VERDE")))</f>
      </c>
      <c r="F443" s="26">
        <f>IF(NOT(ISNUMBER(Q443)),"",IF(Q443=2,"ROJO",IF(Q443=1,"ÁMBAR","VERDE")))</f>
      </c>
      <c r="G443" s="26">
        <f>IF(NOT(ISNUMBER(R443)),"",IF(R443=2,"ROJO",IF(R443=1,"ÁMBAR","VERDE")))</f>
      </c>
      <c r="H443" s="26">
        <f>IF(NOT(ISNUMBER(S443)),"",IF(S443=2,"ROJO",IF(S443=1,"ÁMBAR","VERDE")))</f>
      </c>
      <c r="I443" s="26">
        <f>IF(NOT(ISNUMBER(T443)),"",IF(T443=2,"ROJO",IF(T443=1,"ÁMBAR","VERDE")))</f>
      </c>
      <c r="J443" s="26">
        <f>IF(NOT(ISNUMBER(O443)),"",IF(O443=2,"ROJO",IF(O443=1,"ÁMBAR","VERDE")))</f>
      </c>
      <c r="K443" s="26">
        <f>IFERROR(IF(AND(N443=1,LEN(TRIM('DATOS'!N443&amp;""))&gt;0),'DATOS'!N443,""),"Hay una entrada con error. Corregimos el dato antes de cerrar la comprobación.")</f>
      </c>
      <c r="L443" s="26">
        <f>IFERROR(IF(N443=0,"",IF(O443&gt;0,"Completamos datos, claves o motivo. ","")&amp;IF(P443&gt;0,"Cotejamos precios e importe. ","")&amp;IF(Q443&gt;0,"Aclaramos el cero. ","")&amp;IF(R443&gt;0,"Comprobamos el texto. ","")&amp;IF(S443&gt;0,"Revisamos decimales visibles. ","")&amp;IF(T443&gt;0,"Confirmamos la unidad.","")),"Hay una entrada con error. Corregimos el dato antes de cerrar la comprobación.")</f>
      </c>
      <c r="N443" s="29" t="n">
        <f>IF(COUNTA('DATOS'!B443:O443)&gt;0,1,0)</f>
        <v>0</v>
      </c>
      <c r="O443" s="29">
        <f>IFERROR(IF(N443=0,"",IF(OR(NOT(AND(LEN(TRIM('DATOS'!B443&amp;""))&gt;0,TRIM('DATOS'!B443&amp;"")&lt;&gt;"Pendiente",TRIM('DATOS'!B443&amp;"")&lt;&gt;"Por confirmar",TRIM('DATOS'!B443&amp;"")&lt;&gt;"No consta",TRIM('DATOS'!B443&amp;"")&lt;&gt;"Desconocido",TRIM('DATOS'!B443&amp;"")&lt;&gt;"Sin confirmar",TRIM('DATOS'!B443&amp;"")&lt;&gt;"Por decidir",TRIM('DATOS'!B443&amp;"")&lt;&gt;"Por comprobar")),NOT(AND(LEN(TRIM('DATOS'!C443&amp;""))&gt;0,TRIM('DATOS'!C443&amp;"")&lt;&gt;"Pendiente",TRIM('DATOS'!C443&amp;"")&lt;&gt;"Por confirmar",TRIM('DATOS'!C443&amp;"")&lt;&gt;"No consta",TRIM('DATOS'!C443&amp;"")&lt;&gt;"Desconocido",TRIM('DATOS'!C443&amp;"")&lt;&gt;"Sin confirmar",TRIM('DATOS'!C443&amp;"")&lt;&gt;"Por decidir",TRIM('DATOS'!C443&amp;"")&lt;&gt;"Por comprobar")),NOT(AND(LEN(TRIM('DATOS'!D443&amp;""))&gt;0,TRIM('DATOS'!D443&amp;"")&lt;&gt;"Pendiente",TRIM('DATOS'!D443&amp;"")&lt;&gt;"Por confirmar",TRIM('DATOS'!D443&amp;"")&lt;&gt;"No consta",TRIM('DATOS'!D443&amp;"")&lt;&gt;"Desconocido",TRIM('DATOS'!D443&amp;"")&lt;&gt;"Sin confirmar",TRIM('DATOS'!D443&amp;"")&lt;&gt;"Por decidir",TRIM('DATOS'!D443&amp;"")&lt;&gt;"Por comprobar")),NOT(AND(LEN(TRIM('DATOS'!E443&amp;""))&gt;0,TRIM('DATOS'!E443&amp;"")&lt;&gt;"Pendiente",TRIM('DATOS'!E443&amp;"")&lt;&gt;"Por confirmar",TRIM('DATOS'!E443&amp;"")&lt;&gt;"No consta",TRIM('DATOS'!E443&amp;"")&lt;&gt;"Desconocido",TRIM('DATOS'!E443&amp;"")&lt;&gt;"Sin confirmar",TRIM('DATOS'!E443&amp;"")&lt;&gt;"Por decidir",TRIM('DATOS'!E443&amp;"")&lt;&gt;"Por comprobar")),NOT(AND(LEN(TRIM('DATOS'!F443&amp;""))&gt;0,TRIM('DATOS'!F443&amp;"")&lt;&gt;"Pendiente",TRIM('DATOS'!F443&amp;"")&lt;&gt;"Por confirmar",TRIM('DATOS'!F443&amp;"")&lt;&gt;"No consta",TRIM('DATOS'!F443&amp;"")&lt;&gt;"Desconocido",TRIM('DATOS'!F443&amp;"")&lt;&gt;"Sin confirmar",TRIM('DATOS'!F443&amp;"")&lt;&gt;"Por decidir",TRIM('DATOS'!F443&amp;"")&lt;&gt;"Por comprobar")),NOT(AND(LEN(TRIM('DATOS'!N443&amp;""))&gt;0,TRIM('DATOS'!N443&amp;"")&lt;&gt;"Pendiente",TRIM('DATOS'!N443&amp;"")&lt;&gt;"Por confirmar",TRIM('DATOS'!N443&amp;"")&lt;&gt;"No consta",TRIM('DATOS'!N443&amp;"")&lt;&gt;"Desconocido",TRIM('DATOS'!N443&amp;"")&lt;&gt;"Sin confirmar",TRIM('DATOS'!N443&amp;"")&lt;&gt;"Por decidir",TRIM('DATOS'!N443&amp;"")&lt;&gt;"Por comprobar")),NOT(Y443=1),W443&lt;&gt;1,X443&gt;1,NOT(OR(LEN(TRIM('DATOS'!K443&amp;""))=0,'DATOS'!K443="Sin valorar",'DATOS'!K443="Sin coste documentado",'DATOS'!K443="Incluido en otra partida",'DATOS'!K443="Por confirmar")),NOT(OR(LEN(TRIM('DATOS'!M443&amp;""))=0,'DATOS'!M443="Sí",'DATOS'!M443="No",'DATOS'!M443="Por confirmar")),NOT(OR(LEN(TRIM('DATOS'!O443&amp;""))=0,'DATOS'!O443="Comparamos",'DATOS'!O443="No existe",'DATOS'!O443="Por confirmar"))),2,IF(AND(OR('DATOS'!G443&lt;0,'DATOS'!H443&lt;0,'DATOS'!J443&lt;0),NOT(AND(LEN(TRIM('DATOS'!L443&amp;""))&gt;0,TRIM('DATOS'!L443&amp;"")&lt;&gt;"Pendiente",TRIM('DATOS'!L443&amp;"")&lt;&gt;"Por confirmar",TRIM('DATOS'!L443&amp;"")&lt;&gt;"No consta",TRIM('DATOS'!L443&amp;"")&lt;&gt;"Desconocido",TRIM('DATOS'!L443&amp;"")&lt;&gt;"Sin confirmar",TRIM('DATOS'!L443&amp;"")&lt;&gt;"Por decidir",TRIM('DATOS'!L443&amp;"")&lt;&gt;"Por comprobar"))),1,0))),2)</f>
      </c>
      <c r="P443" s="29">
        <f>IFERROR(IF(N443=0,"",IF(NOT(Y443=1),1,IF('REFERENCIAS'!$Q$8&lt;&gt;1,2,IF(ABS('DATOS'!J443-ROUND('DATOS'!G443*'DATOS'!H443,'REFERENCIAS'!$K$8))&gt;0.00000001,2,IF('DATOS'!O443="No existe",IF(LEN(TRIM('DATOS'!I443&amp;""))=0,0,2),IF('DATOS'!O443="Comparamos",IF(LEN(TRIM('DATOS'!I443&amp;""))=0,1,IF(ISNUMBER('DATOS'!I443),IF(ABS('DATOS'!H443-'DATOS'!I443)&gt;0.00000001,2,0),2)),1)))))),2)</f>
      </c>
      <c r="Q443" s="29">
        <f>IFERROR(IF(N443=0,"",IF(NOT(Y443=1),1,IF('DATOS'!K443="Sin valorar",2,IF('DATOS'!G443=0,1,IF(OR('DATOS'!H443=0,'DATOS'!J443=0),IF(AND(OR('DATOS'!K443="Sin coste documentado",'DATOS'!K443="Incluido en otra partida"),AND(LEN(TRIM('DATOS'!L443&amp;""))&gt;0,TRIM('DATOS'!L443&amp;"")&lt;&gt;"Pendiente",TRIM('DATOS'!L443&amp;"")&lt;&gt;"Por confirmar",TRIM('DATOS'!L443&amp;"")&lt;&gt;"No consta",TRIM('DATOS'!L443&amp;"")&lt;&gt;"Desconocido",TRIM('DATOS'!L443&amp;"")&lt;&gt;"Sin confirmar",TRIM('DATOS'!L443&amp;"")&lt;&gt;"Por decidir",TRIM('DATOS'!L443&amp;"")&lt;&gt;"Por comprobar")),0,1),0))))),2)</f>
      </c>
      <c r="R443" s="29">
        <f>IFERROR(IF(N443=0,"",IF(OR(NOT(AND(LEN(TRIM('DATOS'!D443&amp;""))&gt;0,TRIM('DATOS'!D443&amp;"")&lt;&gt;"Pendiente",TRIM('DATOS'!D443&amp;"")&lt;&gt;"Por confirmar",TRIM('DATOS'!D443&amp;"")&lt;&gt;"No consta",TRIM('DATOS'!D443&amp;"")&lt;&gt;"Desconocido",TRIM('DATOS'!D443&amp;"")&lt;&gt;"Sin confirmar",TRIM('DATOS'!D443&amp;"")&lt;&gt;"Por decidir",TRIM('DATOS'!D443&amp;"")&lt;&gt;"Por comprobar")),NOT(AND(LEN(TRIM('DATOS'!E443&amp;""))&gt;0,TRIM('DATOS'!E443&amp;"")&lt;&gt;"Pendiente",TRIM('DATOS'!E443&amp;"")&lt;&gt;"Por confirmar",TRIM('DATOS'!E443&amp;"")&lt;&gt;"No consta",TRIM('DATOS'!E443&amp;"")&lt;&gt;"Desconocido",TRIM('DATOS'!E443&amp;"")&lt;&gt;"Sin confirmar",TRIM('DATOS'!E443&amp;"")&lt;&gt;"Por decidir",TRIM('DATOS'!E443&amp;"")&lt;&gt;"Por comprobar"))),2,IF('DATOS'!M443="No",2,IF('DATOS'!M443="Sí",0,IF(OR('DATOS'!D443&lt;&gt;'DATOS'!E443,LEN('DATOS'!E443)&gt;300,RIGHT(TRIM('DATOS'!E443),3)="...",RIGHT(TRIM('DATOS'!E443),1)="…"),1,0))))),2)</f>
      </c>
      <c r="S443" s="29">
        <f>IFERROR(IF(N443=0,"",IF('REFERENCIAS'!$Q$8&lt;&gt;1,2,IF(NOT(Y443=1),1,IF(OR(ABS('DATOS'!G443-ROUND('DATOS'!G443,'REFERENCIAS'!$E$8))&gt;0.00000001,ABS('DATOS'!H443-ROUND('DATOS'!H443,'REFERENCIAS'!$H$8))&gt;0.00000001,ABS('DATOS'!J443-ROUND('DATOS'!J443,'REFERENCIAS'!$K$8))&gt;0.00000001,IF(ISNUMBER('DATOS'!I443),ABS('DATOS'!I443-ROUND('DATOS'!I443,'REFERENCIAS'!$H$8))&gt;0.00000001,FALSE)),1,0)))),2)</f>
      </c>
      <c r="T443" s="29">
        <f>IFERROR(IF(N443=0,"",IF(NOT(AND(LEN(TRIM('DATOS'!F443&amp;""))&gt;0,TRIM('DATOS'!F443&amp;"")&lt;&gt;"Pendiente",TRIM('DATOS'!F443&amp;"")&lt;&gt;"Por confirmar",TRIM('DATOS'!F443&amp;"")&lt;&gt;"No consta",TRIM('DATOS'!F443&amp;"")&lt;&gt;"Desconocido",TRIM('DATOS'!F443&amp;"")&lt;&gt;"Sin confirmar",TRIM('DATOS'!F443&amp;"")&lt;&gt;"Por decidir",TRIM('DATOS'!F443&amp;"")&lt;&gt;"Por comprobar")),2,IF(COUNTIFS('REFERENCIAS'!$T$15:$T$34,"ID:"&amp;SUBSTITUTE(SUBSTITUTE(SUBSTITUTE(SUBSTITUTE(UPPER(TRIM('DATOS'!F443&amp;"")),"!","!E"),"*","!A"),"?","!B"),"~","!C"),'REFERENCIAS'!$H$15:$H$34,"&lt;&gt;")&gt;0,0,1))),2)</f>
      </c>
      <c r="U443" s="29" t="str">
        <f>'DATOS'!R443</f>
        <v>ID:</v>
      </c>
      <c r="V443" s="29" t="str">
        <f>'DATOS'!S443</f>
        <v>ID:</v>
      </c>
      <c r="W443" s="29" t="n">
        <f>IF(N443=0,0,COUNTIFS('REFERENCIAS'!$R$15:$R$64,U443))</f>
        <v>0</v>
      </c>
      <c r="X443" s="29" t="n">
        <f>IF(N443=0,0,COUNTIFS('DATOS'!$R$10:$R$509,U443,'DATOS'!$S$10:$S$509,V443))</f>
        <v>0</v>
      </c>
      <c r="Y443" s="29" t="n">
        <f>IF(AND(ISNUMBER('DATOS'!G443),ISNUMBER('DATOS'!H443),ISNUMBER('DATOS'!J443)),1,0)</f>
        <v>0</v>
      </c>
    </row>
    <row r="444" ht="64" customHeight="1">
      <c r="B444" s="26">
        <f>IF(N444=1,435,"")</f>
      </c>
      <c r="C444" s="26">
        <f>IF(AND(N444=1,LEN(TRIM('DATOS'!B444&amp;""))&gt;0),'DATOS'!B444,"")</f>
      </c>
      <c r="D444" s="26">
        <f>IF(AND(N444=1,LEN(TRIM('DATOS'!C444&amp;""))&gt;0),'DATOS'!C444,"")</f>
      </c>
      <c r="E444" s="26">
        <f>IF(NOT(ISNUMBER(P444)),"",IF(P444=2,"ROJO",IF(P444=1,"ÁMBAR","VERDE")))</f>
      </c>
      <c r="F444" s="26">
        <f>IF(NOT(ISNUMBER(Q444)),"",IF(Q444=2,"ROJO",IF(Q444=1,"ÁMBAR","VERDE")))</f>
      </c>
      <c r="G444" s="26">
        <f>IF(NOT(ISNUMBER(R444)),"",IF(R444=2,"ROJO",IF(R444=1,"ÁMBAR","VERDE")))</f>
      </c>
      <c r="H444" s="26">
        <f>IF(NOT(ISNUMBER(S444)),"",IF(S444=2,"ROJO",IF(S444=1,"ÁMBAR","VERDE")))</f>
      </c>
      <c r="I444" s="26">
        <f>IF(NOT(ISNUMBER(T444)),"",IF(T444=2,"ROJO",IF(T444=1,"ÁMBAR","VERDE")))</f>
      </c>
      <c r="J444" s="26">
        <f>IF(NOT(ISNUMBER(O444)),"",IF(O444=2,"ROJO",IF(O444=1,"ÁMBAR","VERDE")))</f>
      </c>
      <c r="K444" s="26">
        <f>IFERROR(IF(AND(N444=1,LEN(TRIM('DATOS'!N444&amp;""))&gt;0),'DATOS'!N444,""),"Hay una entrada con error. Corregimos el dato antes de cerrar la comprobación.")</f>
      </c>
      <c r="L444" s="26">
        <f>IFERROR(IF(N444=0,"",IF(O444&gt;0,"Completamos datos, claves o motivo. ","")&amp;IF(P444&gt;0,"Cotejamos precios e importe. ","")&amp;IF(Q444&gt;0,"Aclaramos el cero. ","")&amp;IF(R444&gt;0,"Comprobamos el texto. ","")&amp;IF(S444&gt;0,"Revisamos decimales visibles. ","")&amp;IF(T444&gt;0,"Confirmamos la unidad.","")),"Hay una entrada con error. Corregimos el dato antes de cerrar la comprobación.")</f>
      </c>
      <c r="N444" s="29" t="n">
        <f>IF(COUNTA('DATOS'!B444:O444)&gt;0,1,0)</f>
        <v>0</v>
      </c>
      <c r="O444" s="29">
        <f>IFERROR(IF(N444=0,"",IF(OR(NOT(AND(LEN(TRIM('DATOS'!B444&amp;""))&gt;0,TRIM('DATOS'!B444&amp;"")&lt;&gt;"Pendiente",TRIM('DATOS'!B444&amp;"")&lt;&gt;"Por confirmar",TRIM('DATOS'!B444&amp;"")&lt;&gt;"No consta",TRIM('DATOS'!B444&amp;"")&lt;&gt;"Desconocido",TRIM('DATOS'!B444&amp;"")&lt;&gt;"Sin confirmar",TRIM('DATOS'!B444&amp;"")&lt;&gt;"Por decidir",TRIM('DATOS'!B444&amp;"")&lt;&gt;"Por comprobar")),NOT(AND(LEN(TRIM('DATOS'!C444&amp;""))&gt;0,TRIM('DATOS'!C444&amp;"")&lt;&gt;"Pendiente",TRIM('DATOS'!C444&amp;"")&lt;&gt;"Por confirmar",TRIM('DATOS'!C444&amp;"")&lt;&gt;"No consta",TRIM('DATOS'!C444&amp;"")&lt;&gt;"Desconocido",TRIM('DATOS'!C444&amp;"")&lt;&gt;"Sin confirmar",TRIM('DATOS'!C444&amp;"")&lt;&gt;"Por decidir",TRIM('DATOS'!C444&amp;"")&lt;&gt;"Por comprobar")),NOT(AND(LEN(TRIM('DATOS'!D444&amp;""))&gt;0,TRIM('DATOS'!D444&amp;"")&lt;&gt;"Pendiente",TRIM('DATOS'!D444&amp;"")&lt;&gt;"Por confirmar",TRIM('DATOS'!D444&amp;"")&lt;&gt;"No consta",TRIM('DATOS'!D444&amp;"")&lt;&gt;"Desconocido",TRIM('DATOS'!D444&amp;"")&lt;&gt;"Sin confirmar",TRIM('DATOS'!D444&amp;"")&lt;&gt;"Por decidir",TRIM('DATOS'!D444&amp;"")&lt;&gt;"Por comprobar")),NOT(AND(LEN(TRIM('DATOS'!E444&amp;""))&gt;0,TRIM('DATOS'!E444&amp;"")&lt;&gt;"Pendiente",TRIM('DATOS'!E444&amp;"")&lt;&gt;"Por confirmar",TRIM('DATOS'!E444&amp;"")&lt;&gt;"No consta",TRIM('DATOS'!E444&amp;"")&lt;&gt;"Desconocido",TRIM('DATOS'!E444&amp;"")&lt;&gt;"Sin confirmar",TRIM('DATOS'!E444&amp;"")&lt;&gt;"Por decidir",TRIM('DATOS'!E444&amp;"")&lt;&gt;"Por comprobar")),NOT(AND(LEN(TRIM('DATOS'!F444&amp;""))&gt;0,TRIM('DATOS'!F444&amp;"")&lt;&gt;"Pendiente",TRIM('DATOS'!F444&amp;"")&lt;&gt;"Por confirmar",TRIM('DATOS'!F444&amp;"")&lt;&gt;"No consta",TRIM('DATOS'!F444&amp;"")&lt;&gt;"Desconocido",TRIM('DATOS'!F444&amp;"")&lt;&gt;"Sin confirmar",TRIM('DATOS'!F444&amp;"")&lt;&gt;"Por decidir",TRIM('DATOS'!F444&amp;"")&lt;&gt;"Por comprobar")),NOT(AND(LEN(TRIM('DATOS'!N444&amp;""))&gt;0,TRIM('DATOS'!N444&amp;"")&lt;&gt;"Pendiente",TRIM('DATOS'!N444&amp;"")&lt;&gt;"Por confirmar",TRIM('DATOS'!N444&amp;"")&lt;&gt;"No consta",TRIM('DATOS'!N444&amp;"")&lt;&gt;"Desconocido",TRIM('DATOS'!N444&amp;"")&lt;&gt;"Sin confirmar",TRIM('DATOS'!N444&amp;"")&lt;&gt;"Por decidir",TRIM('DATOS'!N444&amp;"")&lt;&gt;"Por comprobar")),NOT(Y444=1),W444&lt;&gt;1,X444&gt;1,NOT(OR(LEN(TRIM('DATOS'!K444&amp;""))=0,'DATOS'!K444="Sin valorar",'DATOS'!K444="Sin coste documentado",'DATOS'!K444="Incluido en otra partida",'DATOS'!K444="Por confirmar")),NOT(OR(LEN(TRIM('DATOS'!M444&amp;""))=0,'DATOS'!M444="Sí",'DATOS'!M444="No",'DATOS'!M444="Por confirmar")),NOT(OR(LEN(TRIM('DATOS'!O444&amp;""))=0,'DATOS'!O444="Comparamos",'DATOS'!O444="No existe",'DATOS'!O444="Por confirmar"))),2,IF(AND(OR('DATOS'!G444&lt;0,'DATOS'!H444&lt;0,'DATOS'!J444&lt;0),NOT(AND(LEN(TRIM('DATOS'!L444&amp;""))&gt;0,TRIM('DATOS'!L444&amp;"")&lt;&gt;"Pendiente",TRIM('DATOS'!L444&amp;"")&lt;&gt;"Por confirmar",TRIM('DATOS'!L444&amp;"")&lt;&gt;"No consta",TRIM('DATOS'!L444&amp;"")&lt;&gt;"Desconocido",TRIM('DATOS'!L444&amp;"")&lt;&gt;"Sin confirmar",TRIM('DATOS'!L444&amp;"")&lt;&gt;"Por decidir",TRIM('DATOS'!L444&amp;"")&lt;&gt;"Por comprobar"))),1,0))),2)</f>
      </c>
      <c r="P444" s="29">
        <f>IFERROR(IF(N444=0,"",IF(NOT(Y444=1),1,IF('REFERENCIAS'!$Q$8&lt;&gt;1,2,IF(ABS('DATOS'!J444-ROUND('DATOS'!G444*'DATOS'!H444,'REFERENCIAS'!$K$8))&gt;0.00000001,2,IF('DATOS'!O444="No existe",IF(LEN(TRIM('DATOS'!I444&amp;""))=0,0,2),IF('DATOS'!O444="Comparamos",IF(LEN(TRIM('DATOS'!I444&amp;""))=0,1,IF(ISNUMBER('DATOS'!I444),IF(ABS('DATOS'!H444-'DATOS'!I444)&gt;0.00000001,2,0),2)),1)))))),2)</f>
      </c>
      <c r="Q444" s="29">
        <f>IFERROR(IF(N444=0,"",IF(NOT(Y444=1),1,IF('DATOS'!K444="Sin valorar",2,IF('DATOS'!G444=0,1,IF(OR('DATOS'!H444=0,'DATOS'!J444=0),IF(AND(OR('DATOS'!K444="Sin coste documentado",'DATOS'!K444="Incluido en otra partida"),AND(LEN(TRIM('DATOS'!L444&amp;""))&gt;0,TRIM('DATOS'!L444&amp;"")&lt;&gt;"Pendiente",TRIM('DATOS'!L444&amp;"")&lt;&gt;"Por confirmar",TRIM('DATOS'!L444&amp;"")&lt;&gt;"No consta",TRIM('DATOS'!L444&amp;"")&lt;&gt;"Desconocido",TRIM('DATOS'!L444&amp;"")&lt;&gt;"Sin confirmar",TRIM('DATOS'!L444&amp;"")&lt;&gt;"Por decidir",TRIM('DATOS'!L444&amp;"")&lt;&gt;"Por comprobar")),0,1),0))))),2)</f>
      </c>
      <c r="R444" s="29">
        <f>IFERROR(IF(N444=0,"",IF(OR(NOT(AND(LEN(TRIM('DATOS'!D444&amp;""))&gt;0,TRIM('DATOS'!D444&amp;"")&lt;&gt;"Pendiente",TRIM('DATOS'!D444&amp;"")&lt;&gt;"Por confirmar",TRIM('DATOS'!D444&amp;"")&lt;&gt;"No consta",TRIM('DATOS'!D444&amp;"")&lt;&gt;"Desconocido",TRIM('DATOS'!D444&amp;"")&lt;&gt;"Sin confirmar",TRIM('DATOS'!D444&amp;"")&lt;&gt;"Por decidir",TRIM('DATOS'!D444&amp;"")&lt;&gt;"Por comprobar")),NOT(AND(LEN(TRIM('DATOS'!E444&amp;""))&gt;0,TRIM('DATOS'!E444&amp;"")&lt;&gt;"Pendiente",TRIM('DATOS'!E444&amp;"")&lt;&gt;"Por confirmar",TRIM('DATOS'!E444&amp;"")&lt;&gt;"No consta",TRIM('DATOS'!E444&amp;"")&lt;&gt;"Desconocido",TRIM('DATOS'!E444&amp;"")&lt;&gt;"Sin confirmar",TRIM('DATOS'!E444&amp;"")&lt;&gt;"Por decidir",TRIM('DATOS'!E444&amp;"")&lt;&gt;"Por comprobar"))),2,IF('DATOS'!M444="No",2,IF('DATOS'!M444="Sí",0,IF(OR('DATOS'!D444&lt;&gt;'DATOS'!E444,LEN('DATOS'!E444)&gt;300,RIGHT(TRIM('DATOS'!E444),3)="...",RIGHT(TRIM('DATOS'!E444),1)="…"),1,0))))),2)</f>
      </c>
      <c r="S444" s="29">
        <f>IFERROR(IF(N444=0,"",IF('REFERENCIAS'!$Q$8&lt;&gt;1,2,IF(NOT(Y444=1),1,IF(OR(ABS('DATOS'!G444-ROUND('DATOS'!G444,'REFERENCIAS'!$E$8))&gt;0.00000001,ABS('DATOS'!H444-ROUND('DATOS'!H444,'REFERENCIAS'!$H$8))&gt;0.00000001,ABS('DATOS'!J444-ROUND('DATOS'!J444,'REFERENCIAS'!$K$8))&gt;0.00000001,IF(ISNUMBER('DATOS'!I444),ABS('DATOS'!I444-ROUND('DATOS'!I444,'REFERENCIAS'!$H$8))&gt;0.00000001,FALSE)),1,0)))),2)</f>
      </c>
      <c r="T444" s="29">
        <f>IFERROR(IF(N444=0,"",IF(NOT(AND(LEN(TRIM('DATOS'!F444&amp;""))&gt;0,TRIM('DATOS'!F444&amp;"")&lt;&gt;"Pendiente",TRIM('DATOS'!F444&amp;"")&lt;&gt;"Por confirmar",TRIM('DATOS'!F444&amp;"")&lt;&gt;"No consta",TRIM('DATOS'!F444&amp;"")&lt;&gt;"Desconocido",TRIM('DATOS'!F444&amp;"")&lt;&gt;"Sin confirmar",TRIM('DATOS'!F444&amp;"")&lt;&gt;"Por decidir",TRIM('DATOS'!F444&amp;"")&lt;&gt;"Por comprobar")),2,IF(COUNTIFS('REFERENCIAS'!$T$15:$T$34,"ID:"&amp;SUBSTITUTE(SUBSTITUTE(SUBSTITUTE(SUBSTITUTE(UPPER(TRIM('DATOS'!F444&amp;"")),"!","!E"),"*","!A"),"?","!B"),"~","!C"),'REFERENCIAS'!$H$15:$H$34,"&lt;&gt;")&gt;0,0,1))),2)</f>
      </c>
      <c r="U444" s="29" t="str">
        <f>'DATOS'!R444</f>
        <v>ID:</v>
      </c>
      <c r="V444" s="29" t="str">
        <f>'DATOS'!S444</f>
        <v>ID:</v>
      </c>
      <c r="W444" s="29" t="n">
        <f>IF(N444=0,0,COUNTIFS('REFERENCIAS'!$R$15:$R$64,U444))</f>
        <v>0</v>
      </c>
      <c r="X444" s="29" t="n">
        <f>IF(N444=0,0,COUNTIFS('DATOS'!$R$10:$R$509,U444,'DATOS'!$S$10:$S$509,V444))</f>
        <v>0</v>
      </c>
      <c r="Y444" s="29" t="n">
        <f>IF(AND(ISNUMBER('DATOS'!G444),ISNUMBER('DATOS'!H444),ISNUMBER('DATOS'!J444)),1,0)</f>
        <v>0</v>
      </c>
    </row>
    <row r="445" ht="64" customHeight="1">
      <c r="B445" s="26">
        <f>IF(N445=1,436,"")</f>
      </c>
      <c r="C445" s="26">
        <f>IF(AND(N445=1,LEN(TRIM('DATOS'!B445&amp;""))&gt;0),'DATOS'!B445,"")</f>
      </c>
      <c r="D445" s="26">
        <f>IF(AND(N445=1,LEN(TRIM('DATOS'!C445&amp;""))&gt;0),'DATOS'!C445,"")</f>
      </c>
      <c r="E445" s="26">
        <f>IF(NOT(ISNUMBER(P445)),"",IF(P445=2,"ROJO",IF(P445=1,"ÁMBAR","VERDE")))</f>
      </c>
      <c r="F445" s="26">
        <f>IF(NOT(ISNUMBER(Q445)),"",IF(Q445=2,"ROJO",IF(Q445=1,"ÁMBAR","VERDE")))</f>
      </c>
      <c r="G445" s="26">
        <f>IF(NOT(ISNUMBER(R445)),"",IF(R445=2,"ROJO",IF(R445=1,"ÁMBAR","VERDE")))</f>
      </c>
      <c r="H445" s="26">
        <f>IF(NOT(ISNUMBER(S445)),"",IF(S445=2,"ROJO",IF(S445=1,"ÁMBAR","VERDE")))</f>
      </c>
      <c r="I445" s="26">
        <f>IF(NOT(ISNUMBER(T445)),"",IF(T445=2,"ROJO",IF(T445=1,"ÁMBAR","VERDE")))</f>
      </c>
      <c r="J445" s="26">
        <f>IF(NOT(ISNUMBER(O445)),"",IF(O445=2,"ROJO",IF(O445=1,"ÁMBAR","VERDE")))</f>
      </c>
      <c r="K445" s="26">
        <f>IFERROR(IF(AND(N445=1,LEN(TRIM('DATOS'!N445&amp;""))&gt;0),'DATOS'!N445,""),"Hay una entrada con error. Corregimos el dato antes de cerrar la comprobación.")</f>
      </c>
      <c r="L445" s="26">
        <f>IFERROR(IF(N445=0,"",IF(O445&gt;0,"Completamos datos, claves o motivo. ","")&amp;IF(P445&gt;0,"Cotejamos precios e importe. ","")&amp;IF(Q445&gt;0,"Aclaramos el cero. ","")&amp;IF(R445&gt;0,"Comprobamos el texto. ","")&amp;IF(S445&gt;0,"Revisamos decimales visibles. ","")&amp;IF(T445&gt;0,"Confirmamos la unidad.","")),"Hay una entrada con error. Corregimos el dato antes de cerrar la comprobación.")</f>
      </c>
      <c r="N445" s="29" t="n">
        <f>IF(COUNTA('DATOS'!B445:O445)&gt;0,1,0)</f>
        <v>0</v>
      </c>
      <c r="O445" s="29">
        <f>IFERROR(IF(N445=0,"",IF(OR(NOT(AND(LEN(TRIM('DATOS'!B445&amp;""))&gt;0,TRIM('DATOS'!B445&amp;"")&lt;&gt;"Pendiente",TRIM('DATOS'!B445&amp;"")&lt;&gt;"Por confirmar",TRIM('DATOS'!B445&amp;"")&lt;&gt;"No consta",TRIM('DATOS'!B445&amp;"")&lt;&gt;"Desconocido",TRIM('DATOS'!B445&amp;"")&lt;&gt;"Sin confirmar",TRIM('DATOS'!B445&amp;"")&lt;&gt;"Por decidir",TRIM('DATOS'!B445&amp;"")&lt;&gt;"Por comprobar")),NOT(AND(LEN(TRIM('DATOS'!C445&amp;""))&gt;0,TRIM('DATOS'!C445&amp;"")&lt;&gt;"Pendiente",TRIM('DATOS'!C445&amp;"")&lt;&gt;"Por confirmar",TRIM('DATOS'!C445&amp;"")&lt;&gt;"No consta",TRIM('DATOS'!C445&amp;"")&lt;&gt;"Desconocido",TRIM('DATOS'!C445&amp;"")&lt;&gt;"Sin confirmar",TRIM('DATOS'!C445&amp;"")&lt;&gt;"Por decidir",TRIM('DATOS'!C445&amp;"")&lt;&gt;"Por comprobar")),NOT(AND(LEN(TRIM('DATOS'!D445&amp;""))&gt;0,TRIM('DATOS'!D445&amp;"")&lt;&gt;"Pendiente",TRIM('DATOS'!D445&amp;"")&lt;&gt;"Por confirmar",TRIM('DATOS'!D445&amp;"")&lt;&gt;"No consta",TRIM('DATOS'!D445&amp;"")&lt;&gt;"Desconocido",TRIM('DATOS'!D445&amp;"")&lt;&gt;"Sin confirmar",TRIM('DATOS'!D445&amp;"")&lt;&gt;"Por decidir",TRIM('DATOS'!D445&amp;"")&lt;&gt;"Por comprobar")),NOT(AND(LEN(TRIM('DATOS'!E445&amp;""))&gt;0,TRIM('DATOS'!E445&amp;"")&lt;&gt;"Pendiente",TRIM('DATOS'!E445&amp;"")&lt;&gt;"Por confirmar",TRIM('DATOS'!E445&amp;"")&lt;&gt;"No consta",TRIM('DATOS'!E445&amp;"")&lt;&gt;"Desconocido",TRIM('DATOS'!E445&amp;"")&lt;&gt;"Sin confirmar",TRIM('DATOS'!E445&amp;"")&lt;&gt;"Por decidir",TRIM('DATOS'!E445&amp;"")&lt;&gt;"Por comprobar")),NOT(AND(LEN(TRIM('DATOS'!F445&amp;""))&gt;0,TRIM('DATOS'!F445&amp;"")&lt;&gt;"Pendiente",TRIM('DATOS'!F445&amp;"")&lt;&gt;"Por confirmar",TRIM('DATOS'!F445&amp;"")&lt;&gt;"No consta",TRIM('DATOS'!F445&amp;"")&lt;&gt;"Desconocido",TRIM('DATOS'!F445&amp;"")&lt;&gt;"Sin confirmar",TRIM('DATOS'!F445&amp;"")&lt;&gt;"Por decidir",TRIM('DATOS'!F445&amp;"")&lt;&gt;"Por comprobar")),NOT(AND(LEN(TRIM('DATOS'!N445&amp;""))&gt;0,TRIM('DATOS'!N445&amp;"")&lt;&gt;"Pendiente",TRIM('DATOS'!N445&amp;"")&lt;&gt;"Por confirmar",TRIM('DATOS'!N445&amp;"")&lt;&gt;"No consta",TRIM('DATOS'!N445&amp;"")&lt;&gt;"Desconocido",TRIM('DATOS'!N445&amp;"")&lt;&gt;"Sin confirmar",TRIM('DATOS'!N445&amp;"")&lt;&gt;"Por decidir",TRIM('DATOS'!N445&amp;"")&lt;&gt;"Por comprobar")),NOT(Y445=1),W445&lt;&gt;1,X445&gt;1,NOT(OR(LEN(TRIM('DATOS'!K445&amp;""))=0,'DATOS'!K445="Sin valorar",'DATOS'!K445="Sin coste documentado",'DATOS'!K445="Incluido en otra partida",'DATOS'!K445="Por confirmar")),NOT(OR(LEN(TRIM('DATOS'!M445&amp;""))=0,'DATOS'!M445="Sí",'DATOS'!M445="No",'DATOS'!M445="Por confirmar")),NOT(OR(LEN(TRIM('DATOS'!O445&amp;""))=0,'DATOS'!O445="Comparamos",'DATOS'!O445="No existe",'DATOS'!O445="Por confirmar"))),2,IF(AND(OR('DATOS'!G445&lt;0,'DATOS'!H445&lt;0,'DATOS'!J445&lt;0),NOT(AND(LEN(TRIM('DATOS'!L445&amp;""))&gt;0,TRIM('DATOS'!L445&amp;"")&lt;&gt;"Pendiente",TRIM('DATOS'!L445&amp;"")&lt;&gt;"Por confirmar",TRIM('DATOS'!L445&amp;"")&lt;&gt;"No consta",TRIM('DATOS'!L445&amp;"")&lt;&gt;"Desconocido",TRIM('DATOS'!L445&amp;"")&lt;&gt;"Sin confirmar",TRIM('DATOS'!L445&amp;"")&lt;&gt;"Por decidir",TRIM('DATOS'!L445&amp;"")&lt;&gt;"Por comprobar"))),1,0))),2)</f>
      </c>
      <c r="P445" s="29">
        <f>IFERROR(IF(N445=0,"",IF(NOT(Y445=1),1,IF('REFERENCIAS'!$Q$8&lt;&gt;1,2,IF(ABS('DATOS'!J445-ROUND('DATOS'!G445*'DATOS'!H445,'REFERENCIAS'!$K$8))&gt;0.00000001,2,IF('DATOS'!O445="No existe",IF(LEN(TRIM('DATOS'!I445&amp;""))=0,0,2),IF('DATOS'!O445="Comparamos",IF(LEN(TRIM('DATOS'!I445&amp;""))=0,1,IF(ISNUMBER('DATOS'!I445),IF(ABS('DATOS'!H445-'DATOS'!I445)&gt;0.00000001,2,0),2)),1)))))),2)</f>
      </c>
      <c r="Q445" s="29">
        <f>IFERROR(IF(N445=0,"",IF(NOT(Y445=1),1,IF('DATOS'!K445="Sin valorar",2,IF('DATOS'!G445=0,1,IF(OR('DATOS'!H445=0,'DATOS'!J445=0),IF(AND(OR('DATOS'!K445="Sin coste documentado",'DATOS'!K445="Incluido en otra partida"),AND(LEN(TRIM('DATOS'!L445&amp;""))&gt;0,TRIM('DATOS'!L445&amp;"")&lt;&gt;"Pendiente",TRIM('DATOS'!L445&amp;"")&lt;&gt;"Por confirmar",TRIM('DATOS'!L445&amp;"")&lt;&gt;"No consta",TRIM('DATOS'!L445&amp;"")&lt;&gt;"Desconocido",TRIM('DATOS'!L445&amp;"")&lt;&gt;"Sin confirmar",TRIM('DATOS'!L445&amp;"")&lt;&gt;"Por decidir",TRIM('DATOS'!L445&amp;"")&lt;&gt;"Por comprobar")),0,1),0))))),2)</f>
      </c>
      <c r="R445" s="29">
        <f>IFERROR(IF(N445=0,"",IF(OR(NOT(AND(LEN(TRIM('DATOS'!D445&amp;""))&gt;0,TRIM('DATOS'!D445&amp;"")&lt;&gt;"Pendiente",TRIM('DATOS'!D445&amp;"")&lt;&gt;"Por confirmar",TRIM('DATOS'!D445&amp;"")&lt;&gt;"No consta",TRIM('DATOS'!D445&amp;"")&lt;&gt;"Desconocido",TRIM('DATOS'!D445&amp;"")&lt;&gt;"Sin confirmar",TRIM('DATOS'!D445&amp;"")&lt;&gt;"Por decidir",TRIM('DATOS'!D445&amp;"")&lt;&gt;"Por comprobar")),NOT(AND(LEN(TRIM('DATOS'!E445&amp;""))&gt;0,TRIM('DATOS'!E445&amp;"")&lt;&gt;"Pendiente",TRIM('DATOS'!E445&amp;"")&lt;&gt;"Por confirmar",TRIM('DATOS'!E445&amp;"")&lt;&gt;"No consta",TRIM('DATOS'!E445&amp;"")&lt;&gt;"Desconocido",TRIM('DATOS'!E445&amp;"")&lt;&gt;"Sin confirmar",TRIM('DATOS'!E445&amp;"")&lt;&gt;"Por decidir",TRIM('DATOS'!E445&amp;"")&lt;&gt;"Por comprobar"))),2,IF('DATOS'!M445="No",2,IF('DATOS'!M445="Sí",0,IF(OR('DATOS'!D445&lt;&gt;'DATOS'!E445,LEN('DATOS'!E445)&gt;300,RIGHT(TRIM('DATOS'!E445),3)="...",RIGHT(TRIM('DATOS'!E445),1)="…"),1,0))))),2)</f>
      </c>
      <c r="S445" s="29">
        <f>IFERROR(IF(N445=0,"",IF('REFERENCIAS'!$Q$8&lt;&gt;1,2,IF(NOT(Y445=1),1,IF(OR(ABS('DATOS'!G445-ROUND('DATOS'!G445,'REFERENCIAS'!$E$8))&gt;0.00000001,ABS('DATOS'!H445-ROUND('DATOS'!H445,'REFERENCIAS'!$H$8))&gt;0.00000001,ABS('DATOS'!J445-ROUND('DATOS'!J445,'REFERENCIAS'!$K$8))&gt;0.00000001,IF(ISNUMBER('DATOS'!I445),ABS('DATOS'!I445-ROUND('DATOS'!I445,'REFERENCIAS'!$H$8))&gt;0.00000001,FALSE)),1,0)))),2)</f>
      </c>
      <c r="T445" s="29">
        <f>IFERROR(IF(N445=0,"",IF(NOT(AND(LEN(TRIM('DATOS'!F445&amp;""))&gt;0,TRIM('DATOS'!F445&amp;"")&lt;&gt;"Pendiente",TRIM('DATOS'!F445&amp;"")&lt;&gt;"Por confirmar",TRIM('DATOS'!F445&amp;"")&lt;&gt;"No consta",TRIM('DATOS'!F445&amp;"")&lt;&gt;"Desconocido",TRIM('DATOS'!F445&amp;"")&lt;&gt;"Sin confirmar",TRIM('DATOS'!F445&amp;"")&lt;&gt;"Por decidir",TRIM('DATOS'!F445&amp;"")&lt;&gt;"Por comprobar")),2,IF(COUNTIFS('REFERENCIAS'!$T$15:$T$34,"ID:"&amp;SUBSTITUTE(SUBSTITUTE(SUBSTITUTE(SUBSTITUTE(UPPER(TRIM('DATOS'!F445&amp;"")),"!","!E"),"*","!A"),"?","!B"),"~","!C"),'REFERENCIAS'!$H$15:$H$34,"&lt;&gt;")&gt;0,0,1))),2)</f>
      </c>
      <c r="U445" s="29" t="str">
        <f>'DATOS'!R445</f>
        <v>ID:</v>
      </c>
      <c r="V445" s="29" t="str">
        <f>'DATOS'!S445</f>
        <v>ID:</v>
      </c>
      <c r="W445" s="29" t="n">
        <f>IF(N445=0,0,COUNTIFS('REFERENCIAS'!$R$15:$R$64,U445))</f>
        <v>0</v>
      </c>
      <c r="X445" s="29" t="n">
        <f>IF(N445=0,0,COUNTIFS('DATOS'!$R$10:$R$509,U445,'DATOS'!$S$10:$S$509,V445))</f>
        <v>0</v>
      </c>
      <c r="Y445" s="29" t="n">
        <f>IF(AND(ISNUMBER('DATOS'!G445),ISNUMBER('DATOS'!H445),ISNUMBER('DATOS'!J445)),1,0)</f>
        <v>0</v>
      </c>
    </row>
    <row r="446" ht="64" customHeight="1">
      <c r="B446" s="26">
        <f>IF(N446=1,437,"")</f>
      </c>
      <c r="C446" s="26">
        <f>IF(AND(N446=1,LEN(TRIM('DATOS'!B446&amp;""))&gt;0),'DATOS'!B446,"")</f>
      </c>
      <c r="D446" s="26">
        <f>IF(AND(N446=1,LEN(TRIM('DATOS'!C446&amp;""))&gt;0),'DATOS'!C446,"")</f>
      </c>
      <c r="E446" s="26">
        <f>IF(NOT(ISNUMBER(P446)),"",IF(P446=2,"ROJO",IF(P446=1,"ÁMBAR","VERDE")))</f>
      </c>
      <c r="F446" s="26">
        <f>IF(NOT(ISNUMBER(Q446)),"",IF(Q446=2,"ROJO",IF(Q446=1,"ÁMBAR","VERDE")))</f>
      </c>
      <c r="G446" s="26">
        <f>IF(NOT(ISNUMBER(R446)),"",IF(R446=2,"ROJO",IF(R446=1,"ÁMBAR","VERDE")))</f>
      </c>
      <c r="H446" s="26">
        <f>IF(NOT(ISNUMBER(S446)),"",IF(S446=2,"ROJO",IF(S446=1,"ÁMBAR","VERDE")))</f>
      </c>
      <c r="I446" s="26">
        <f>IF(NOT(ISNUMBER(T446)),"",IF(T446=2,"ROJO",IF(T446=1,"ÁMBAR","VERDE")))</f>
      </c>
      <c r="J446" s="26">
        <f>IF(NOT(ISNUMBER(O446)),"",IF(O446=2,"ROJO",IF(O446=1,"ÁMBAR","VERDE")))</f>
      </c>
      <c r="K446" s="26">
        <f>IFERROR(IF(AND(N446=1,LEN(TRIM('DATOS'!N446&amp;""))&gt;0),'DATOS'!N446,""),"Hay una entrada con error. Corregimos el dato antes de cerrar la comprobación.")</f>
      </c>
      <c r="L446" s="26">
        <f>IFERROR(IF(N446=0,"",IF(O446&gt;0,"Completamos datos, claves o motivo. ","")&amp;IF(P446&gt;0,"Cotejamos precios e importe. ","")&amp;IF(Q446&gt;0,"Aclaramos el cero. ","")&amp;IF(R446&gt;0,"Comprobamos el texto. ","")&amp;IF(S446&gt;0,"Revisamos decimales visibles. ","")&amp;IF(T446&gt;0,"Confirmamos la unidad.","")),"Hay una entrada con error. Corregimos el dato antes de cerrar la comprobación.")</f>
      </c>
      <c r="N446" s="29" t="n">
        <f>IF(COUNTA('DATOS'!B446:O446)&gt;0,1,0)</f>
        <v>0</v>
      </c>
      <c r="O446" s="29">
        <f>IFERROR(IF(N446=0,"",IF(OR(NOT(AND(LEN(TRIM('DATOS'!B446&amp;""))&gt;0,TRIM('DATOS'!B446&amp;"")&lt;&gt;"Pendiente",TRIM('DATOS'!B446&amp;"")&lt;&gt;"Por confirmar",TRIM('DATOS'!B446&amp;"")&lt;&gt;"No consta",TRIM('DATOS'!B446&amp;"")&lt;&gt;"Desconocido",TRIM('DATOS'!B446&amp;"")&lt;&gt;"Sin confirmar",TRIM('DATOS'!B446&amp;"")&lt;&gt;"Por decidir",TRIM('DATOS'!B446&amp;"")&lt;&gt;"Por comprobar")),NOT(AND(LEN(TRIM('DATOS'!C446&amp;""))&gt;0,TRIM('DATOS'!C446&amp;"")&lt;&gt;"Pendiente",TRIM('DATOS'!C446&amp;"")&lt;&gt;"Por confirmar",TRIM('DATOS'!C446&amp;"")&lt;&gt;"No consta",TRIM('DATOS'!C446&amp;"")&lt;&gt;"Desconocido",TRIM('DATOS'!C446&amp;"")&lt;&gt;"Sin confirmar",TRIM('DATOS'!C446&amp;"")&lt;&gt;"Por decidir",TRIM('DATOS'!C446&amp;"")&lt;&gt;"Por comprobar")),NOT(AND(LEN(TRIM('DATOS'!D446&amp;""))&gt;0,TRIM('DATOS'!D446&amp;"")&lt;&gt;"Pendiente",TRIM('DATOS'!D446&amp;"")&lt;&gt;"Por confirmar",TRIM('DATOS'!D446&amp;"")&lt;&gt;"No consta",TRIM('DATOS'!D446&amp;"")&lt;&gt;"Desconocido",TRIM('DATOS'!D446&amp;"")&lt;&gt;"Sin confirmar",TRIM('DATOS'!D446&amp;"")&lt;&gt;"Por decidir",TRIM('DATOS'!D446&amp;"")&lt;&gt;"Por comprobar")),NOT(AND(LEN(TRIM('DATOS'!E446&amp;""))&gt;0,TRIM('DATOS'!E446&amp;"")&lt;&gt;"Pendiente",TRIM('DATOS'!E446&amp;"")&lt;&gt;"Por confirmar",TRIM('DATOS'!E446&amp;"")&lt;&gt;"No consta",TRIM('DATOS'!E446&amp;"")&lt;&gt;"Desconocido",TRIM('DATOS'!E446&amp;"")&lt;&gt;"Sin confirmar",TRIM('DATOS'!E446&amp;"")&lt;&gt;"Por decidir",TRIM('DATOS'!E446&amp;"")&lt;&gt;"Por comprobar")),NOT(AND(LEN(TRIM('DATOS'!F446&amp;""))&gt;0,TRIM('DATOS'!F446&amp;"")&lt;&gt;"Pendiente",TRIM('DATOS'!F446&amp;"")&lt;&gt;"Por confirmar",TRIM('DATOS'!F446&amp;"")&lt;&gt;"No consta",TRIM('DATOS'!F446&amp;"")&lt;&gt;"Desconocido",TRIM('DATOS'!F446&amp;"")&lt;&gt;"Sin confirmar",TRIM('DATOS'!F446&amp;"")&lt;&gt;"Por decidir",TRIM('DATOS'!F446&amp;"")&lt;&gt;"Por comprobar")),NOT(AND(LEN(TRIM('DATOS'!N446&amp;""))&gt;0,TRIM('DATOS'!N446&amp;"")&lt;&gt;"Pendiente",TRIM('DATOS'!N446&amp;"")&lt;&gt;"Por confirmar",TRIM('DATOS'!N446&amp;"")&lt;&gt;"No consta",TRIM('DATOS'!N446&amp;"")&lt;&gt;"Desconocido",TRIM('DATOS'!N446&amp;"")&lt;&gt;"Sin confirmar",TRIM('DATOS'!N446&amp;"")&lt;&gt;"Por decidir",TRIM('DATOS'!N446&amp;"")&lt;&gt;"Por comprobar")),NOT(Y446=1),W446&lt;&gt;1,X446&gt;1,NOT(OR(LEN(TRIM('DATOS'!K446&amp;""))=0,'DATOS'!K446="Sin valorar",'DATOS'!K446="Sin coste documentado",'DATOS'!K446="Incluido en otra partida",'DATOS'!K446="Por confirmar")),NOT(OR(LEN(TRIM('DATOS'!M446&amp;""))=0,'DATOS'!M446="Sí",'DATOS'!M446="No",'DATOS'!M446="Por confirmar")),NOT(OR(LEN(TRIM('DATOS'!O446&amp;""))=0,'DATOS'!O446="Comparamos",'DATOS'!O446="No existe",'DATOS'!O446="Por confirmar"))),2,IF(AND(OR('DATOS'!G446&lt;0,'DATOS'!H446&lt;0,'DATOS'!J446&lt;0),NOT(AND(LEN(TRIM('DATOS'!L446&amp;""))&gt;0,TRIM('DATOS'!L446&amp;"")&lt;&gt;"Pendiente",TRIM('DATOS'!L446&amp;"")&lt;&gt;"Por confirmar",TRIM('DATOS'!L446&amp;"")&lt;&gt;"No consta",TRIM('DATOS'!L446&amp;"")&lt;&gt;"Desconocido",TRIM('DATOS'!L446&amp;"")&lt;&gt;"Sin confirmar",TRIM('DATOS'!L446&amp;"")&lt;&gt;"Por decidir",TRIM('DATOS'!L446&amp;"")&lt;&gt;"Por comprobar"))),1,0))),2)</f>
      </c>
      <c r="P446" s="29">
        <f>IFERROR(IF(N446=0,"",IF(NOT(Y446=1),1,IF('REFERENCIAS'!$Q$8&lt;&gt;1,2,IF(ABS('DATOS'!J446-ROUND('DATOS'!G446*'DATOS'!H446,'REFERENCIAS'!$K$8))&gt;0.00000001,2,IF('DATOS'!O446="No existe",IF(LEN(TRIM('DATOS'!I446&amp;""))=0,0,2),IF('DATOS'!O446="Comparamos",IF(LEN(TRIM('DATOS'!I446&amp;""))=0,1,IF(ISNUMBER('DATOS'!I446),IF(ABS('DATOS'!H446-'DATOS'!I446)&gt;0.00000001,2,0),2)),1)))))),2)</f>
      </c>
      <c r="Q446" s="29">
        <f>IFERROR(IF(N446=0,"",IF(NOT(Y446=1),1,IF('DATOS'!K446="Sin valorar",2,IF('DATOS'!G446=0,1,IF(OR('DATOS'!H446=0,'DATOS'!J446=0),IF(AND(OR('DATOS'!K446="Sin coste documentado",'DATOS'!K446="Incluido en otra partida"),AND(LEN(TRIM('DATOS'!L446&amp;""))&gt;0,TRIM('DATOS'!L446&amp;"")&lt;&gt;"Pendiente",TRIM('DATOS'!L446&amp;"")&lt;&gt;"Por confirmar",TRIM('DATOS'!L446&amp;"")&lt;&gt;"No consta",TRIM('DATOS'!L446&amp;"")&lt;&gt;"Desconocido",TRIM('DATOS'!L446&amp;"")&lt;&gt;"Sin confirmar",TRIM('DATOS'!L446&amp;"")&lt;&gt;"Por decidir",TRIM('DATOS'!L446&amp;"")&lt;&gt;"Por comprobar")),0,1),0))))),2)</f>
      </c>
      <c r="R446" s="29">
        <f>IFERROR(IF(N446=0,"",IF(OR(NOT(AND(LEN(TRIM('DATOS'!D446&amp;""))&gt;0,TRIM('DATOS'!D446&amp;"")&lt;&gt;"Pendiente",TRIM('DATOS'!D446&amp;"")&lt;&gt;"Por confirmar",TRIM('DATOS'!D446&amp;"")&lt;&gt;"No consta",TRIM('DATOS'!D446&amp;"")&lt;&gt;"Desconocido",TRIM('DATOS'!D446&amp;"")&lt;&gt;"Sin confirmar",TRIM('DATOS'!D446&amp;"")&lt;&gt;"Por decidir",TRIM('DATOS'!D446&amp;"")&lt;&gt;"Por comprobar")),NOT(AND(LEN(TRIM('DATOS'!E446&amp;""))&gt;0,TRIM('DATOS'!E446&amp;"")&lt;&gt;"Pendiente",TRIM('DATOS'!E446&amp;"")&lt;&gt;"Por confirmar",TRIM('DATOS'!E446&amp;"")&lt;&gt;"No consta",TRIM('DATOS'!E446&amp;"")&lt;&gt;"Desconocido",TRIM('DATOS'!E446&amp;"")&lt;&gt;"Sin confirmar",TRIM('DATOS'!E446&amp;"")&lt;&gt;"Por decidir",TRIM('DATOS'!E446&amp;"")&lt;&gt;"Por comprobar"))),2,IF('DATOS'!M446="No",2,IF('DATOS'!M446="Sí",0,IF(OR('DATOS'!D446&lt;&gt;'DATOS'!E446,LEN('DATOS'!E446)&gt;300,RIGHT(TRIM('DATOS'!E446),3)="...",RIGHT(TRIM('DATOS'!E446),1)="…"),1,0))))),2)</f>
      </c>
      <c r="S446" s="29">
        <f>IFERROR(IF(N446=0,"",IF('REFERENCIAS'!$Q$8&lt;&gt;1,2,IF(NOT(Y446=1),1,IF(OR(ABS('DATOS'!G446-ROUND('DATOS'!G446,'REFERENCIAS'!$E$8))&gt;0.00000001,ABS('DATOS'!H446-ROUND('DATOS'!H446,'REFERENCIAS'!$H$8))&gt;0.00000001,ABS('DATOS'!J446-ROUND('DATOS'!J446,'REFERENCIAS'!$K$8))&gt;0.00000001,IF(ISNUMBER('DATOS'!I446),ABS('DATOS'!I446-ROUND('DATOS'!I446,'REFERENCIAS'!$H$8))&gt;0.00000001,FALSE)),1,0)))),2)</f>
      </c>
      <c r="T446" s="29">
        <f>IFERROR(IF(N446=0,"",IF(NOT(AND(LEN(TRIM('DATOS'!F446&amp;""))&gt;0,TRIM('DATOS'!F446&amp;"")&lt;&gt;"Pendiente",TRIM('DATOS'!F446&amp;"")&lt;&gt;"Por confirmar",TRIM('DATOS'!F446&amp;"")&lt;&gt;"No consta",TRIM('DATOS'!F446&amp;"")&lt;&gt;"Desconocido",TRIM('DATOS'!F446&amp;"")&lt;&gt;"Sin confirmar",TRIM('DATOS'!F446&amp;"")&lt;&gt;"Por decidir",TRIM('DATOS'!F446&amp;"")&lt;&gt;"Por comprobar")),2,IF(COUNTIFS('REFERENCIAS'!$T$15:$T$34,"ID:"&amp;SUBSTITUTE(SUBSTITUTE(SUBSTITUTE(SUBSTITUTE(UPPER(TRIM('DATOS'!F446&amp;"")),"!","!E"),"*","!A"),"?","!B"),"~","!C"),'REFERENCIAS'!$H$15:$H$34,"&lt;&gt;")&gt;0,0,1))),2)</f>
      </c>
      <c r="U446" s="29" t="str">
        <f>'DATOS'!R446</f>
        <v>ID:</v>
      </c>
      <c r="V446" s="29" t="str">
        <f>'DATOS'!S446</f>
        <v>ID:</v>
      </c>
      <c r="W446" s="29" t="n">
        <f>IF(N446=0,0,COUNTIFS('REFERENCIAS'!$R$15:$R$64,U446))</f>
        <v>0</v>
      </c>
      <c r="X446" s="29" t="n">
        <f>IF(N446=0,0,COUNTIFS('DATOS'!$R$10:$R$509,U446,'DATOS'!$S$10:$S$509,V446))</f>
        <v>0</v>
      </c>
      <c r="Y446" s="29" t="n">
        <f>IF(AND(ISNUMBER('DATOS'!G446),ISNUMBER('DATOS'!H446),ISNUMBER('DATOS'!J446)),1,0)</f>
        <v>0</v>
      </c>
    </row>
    <row r="447" ht="64" customHeight="1">
      <c r="B447" s="26">
        <f>IF(N447=1,438,"")</f>
      </c>
      <c r="C447" s="26">
        <f>IF(AND(N447=1,LEN(TRIM('DATOS'!B447&amp;""))&gt;0),'DATOS'!B447,"")</f>
      </c>
      <c r="D447" s="26">
        <f>IF(AND(N447=1,LEN(TRIM('DATOS'!C447&amp;""))&gt;0),'DATOS'!C447,"")</f>
      </c>
      <c r="E447" s="26">
        <f>IF(NOT(ISNUMBER(P447)),"",IF(P447=2,"ROJO",IF(P447=1,"ÁMBAR","VERDE")))</f>
      </c>
      <c r="F447" s="26">
        <f>IF(NOT(ISNUMBER(Q447)),"",IF(Q447=2,"ROJO",IF(Q447=1,"ÁMBAR","VERDE")))</f>
      </c>
      <c r="G447" s="26">
        <f>IF(NOT(ISNUMBER(R447)),"",IF(R447=2,"ROJO",IF(R447=1,"ÁMBAR","VERDE")))</f>
      </c>
      <c r="H447" s="26">
        <f>IF(NOT(ISNUMBER(S447)),"",IF(S447=2,"ROJO",IF(S447=1,"ÁMBAR","VERDE")))</f>
      </c>
      <c r="I447" s="26">
        <f>IF(NOT(ISNUMBER(T447)),"",IF(T447=2,"ROJO",IF(T447=1,"ÁMBAR","VERDE")))</f>
      </c>
      <c r="J447" s="26">
        <f>IF(NOT(ISNUMBER(O447)),"",IF(O447=2,"ROJO",IF(O447=1,"ÁMBAR","VERDE")))</f>
      </c>
      <c r="K447" s="26">
        <f>IFERROR(IF(AND(N447=1,LEN(TRIM('DATOS'!N447&amp;""))&gt;0),'DATOS'!N447,""),"Hay una entrada con error. Corregimos el dato antes de cerrar la comprobación.")</f>
      </c>
      <c r="L447" s="26">
        <f>IFERROR(IF(N447=0,"",IF(O447&gt;0,"Completamos datos, claves o motivo. ","")&amp;IF(P447&gt;0,"Cotejamos precios e importe. ","")&amp;IF(Q447&gt;0,"Aclaramos el cero. ","")&amp;IF(R447&gt;0,"Comprobamos el texto. ","")&amp;IF(S447&gt;0,"Revisamos decimales visibles. ","")&amp;IF(T447&gt;0,"Confirmamos la unidad.","")),"Hay una entrada con error. Corregimos el dato antes de cerrar la comprobación.")</f>
      </c>
      <c r="N447" s="29" t="n">
        <f>IF(COUNTA('DATOS'!B447:O447)&gt;0,1,0)</f>
        <v>0</v>
      </c>
      <c r="O447" s="29">
        <f>IFERROR(IF(N447=0,"",IF(OR(NOT(AND(LEN(TRIM('DATOS'!B447&amp;""))&gt;0,TRIM('DATOS'!B447&amp;"")&lt;&gt;"Pendiente",TRIM('DATOS'!B447&amp;"")&lt;&gt;"Por confirmar",TRIM('DATOS'!B447&amp;"")&lt;&gt;"No consta",TRIM('DATOS'!B447&amp;"")&lt;&gt;"Desconocido",TRIM('DATOS'!B447&amp;"")&lt;&gt;"Sin confirmar",TRIM('DATOS'!B447&amp;"")&lt;&gt;"Por decidir",TRIM('DATOS'!B447&amp;"")&lt;&gt;"Por comprobar")),NOT(AND(LEN(TRIM('DATOS'!C447&amp;""))&gt;0,TRIM('DATOS'!C447&amp;"")&lt;&gt;"Pendiente",TRIM('DATOS'!C447&amp;"")&lt;&gt;"Por confirmar",TRIM('DATOS'!C447&amp;"")&lt;&gt;"No consta",TRIM('DATOS'!C447&amp;"")&lt;&gt;"Desconocido",TRIM('DATOS'!C447&amp;"")&lt;&gt;"Sin confirmar",TRIM('DATOS'!C447&amp;"")&lt;&gt;"Por decidir",TRIM('DATOS'!C447&amp;"")&lt;&gt;"Por comprobar")),NOT(AND(LEN(TRIM('DATOS'!D447&amp;""))&gt;0,TRIM('DATOS'!D447&amp;"")&lt;&gt;"Pendiente",TRIM('DATOS'!D447&amp;"")&lt;&gt;"Por confirmar",TRIM('DATOS'!D447&amp;"")&lt;&gt;"No consta",TRIM('DATOS'!D447&amp;"")&lt;&gt;"Desconocido",TRIM('DATOS'!D447&amp;"")&lt;&gt;"Sin confirmar",TRIM('DATOS'!D447&amp;"")&lt;&gt;"Por decidir",TRIM('DATOS'!D447&amp;"")&lt;&gt;"Por comprobar")),NOT(AND(LEN(TRIM('DATOS'!E447&amp;""))&gt;0,TRIM('DATOS'!E447&amp;"")&lt;&gt;"Pendiente",TRIM('DATOS'!E447&amp;"")&lt;&gt;"Por confirmar",TRIM('DATOS'!E447&amp;"")&lt;&gt;"No consta",TRIM('DATOS'!E447&amp;"")&lt;&gt;"Desconocido",TRIM('DATOS'!E447&amp;"")&lt;&gt;"Sin confirmar",TRIM('DATOS'!E447&amp;"")&lt;&gt;"Por decidir",TRIM('DATOS'!E447&amp;"")&lt;&gt;"Por comprobar")),NOT(AND(LEN(TRIM('DATOS'!F447&amp;""))&gt;0,TRIM('DATOS'!F447&amp;"")&lt;&gt;"Pendiente",TRIM('DATOS'!F447&amp;"")&lt;&gt;"Por confirmar",TRIM('DATOS'!F447&amp;"")&lt;&gt;"No consta",TRIM('DATOS'!F447&amp;"")&lt;&gt;"Desconocido",TRIM('DATOS'!F447&amp;"")&lt;&gt;"Sin confirmar",TRIM('DATOS'!F447&amp;"")&lt;&gt;"Por decidir",TRIM('DATOS'!F447&amp;"")&lt;&gt;"Por comprobar")),NOT(AND(LEN(TRIM('DATOS'!N447&amp;""))&gt;0,TRIM('DATOS'!N447&amp;"")&lt;&gt;"Pendiente",TRIM('DATOS'!N447&amp;"")&lt;&gt;"Por confirmar",TRIM('DATOS'!N447&amp;"")&lt;&gt;"No consta",TRIM('DATOS'!N447&amp;"")&lt;&gt;"Desconocido",TRIM('DATOS'!N447&amp;"")&lt;&gt;"Sin confirmar",TRIM('DATOS'!N447&amp;"")&lt;&gt;"Por decidir",TRIM('DATOS'!N447&amp;"")&lt;&gt;"Por comprobar")),NOT(Y447=1),W447&lt;&gt;1,X447&gt;1,NOT(OR(LEN(TRIM('DATOS'!K447&amp;""))=0,'DATOS'!K447="Sin valorar",'DATOS'!K447="Sin coste documentado",'DATOS'!K447="Incluido en otra partida",'DATOS'!K447="Por confirmar")),NOT(OR(LEN(TRIM('DATOS'!M447&amp;""))=0,'DATOS'!M447="Sí",'DATOS'!M447="No",'DATOS'!M447="Por confirmar")),NOT(OR(LEN(TRIM('DATOS'!O447&amp;""))=0,'DATOS'!O447="Comparamos",'DATOS'!O447="No existe",'DATOS'!O447="Por confirmar"))),2,IF(AND(OR('DATOS'!G447&lt;0,'DATOS'!H447&lt;0,'DATOS'!J447&lt;0),NOT(AND(LEN(TRIM('DATOS'!L447&amp;""))&gt;0,TRIM('DATOS'!L447&amp;"")&lt;&gt;"Pendiente",TRIM('DATOS'!L447&amp;"")&lt;&gt;"Por confirmar",TRIM('DATOS'!L447&amp;"")&lt;&gt;"No consta",TRIM('DATOS'!L447&amp;"")&lt;&gt;"Desconocido",TRIM('DATOS'!L447&amp;"")&lt;&gt;"Sin confirmar",TRIM('DATOS'!L447&amp;"")&lt;&gt;"Por decidir",TRIM('DATOS'!L447&amp;"")&lt;&gt;"Por comprobar"))),1,0))),2)</f>
      </c>
      <c r="P447" s="29">
        <f>IFERROR(IF(N447=0,"",IF(NOT(Y447=1),1,IF('REFERENCIAS'!$Q$8&lt;&gt;1,2,IF(ABS('DATOS'!J447-ROUND('DATOS'!G447*'DATOS'!H447,'REFERENCIAS'!$K$8))&gt;0.00000001,2,IF('DATOS'!O447="No existe",IF(LEN(TRIM('DATOS'!I447&amp;""))=0,0,2),IF('DATOS'!O447="Comparamos",IF(LEN(TRIM('DATOS'!I447&amp;""))=0,1,IF(ISNUMBER('DATOS'!I447),IF(ABS('DATOS'!H447-'DATOS'!I447)&gt;0.00000001,2,0),2)),1)))))),2)</f>
      </c>
      <c r="Q447" s="29">
        <f>IFERROR(IF(N447=0,"",IF(NOT(Y447=1),1,IF('DATOS'!K447="Sin valorar",2,IF('DATOS'!G447=0,1,IF(OR('DATOS'!H447=0,'DATOS'!J447=0),IF(AND(OR('DATOS'!K447="Sin coste documentado",'DATOS'!K447="Incluido en otra partida"),AND(LEN(TRIM('DATOS'!L447&amp;""))&gt;0,TRIM('DATOS'!L447&amp;"")&lt;&gt;"Pendiente",TRIM('DATOS'!L447&amp;"")&lt;&gt;"Por confirmar",TRIM('DATOS'!L447&amp;"")&lt;&gt;"No consta",TRIM('DATOS'!L447&amp;"")&lt;&gt;"Desconocido",TRIM('DATOS'!L447&amp;"")&lt;&gt;"Sin confirmar",TRIM('DATOS'!L447&amp;"")&lt;&gt;"Por decidir",TRIM('DATOS'!L447&amp;"")&lt;&gt;"Por comprobar")),0,1),0))))),2)</f>
      </c>
      <c r="R447" s="29">
        <f>IFERROR(IF(N447=0,"",IF(OR(NOT(AND(LEN(TRIM('DATOS'!D447&amp;""))&gt;0,TRIM('DATOS'!D447&amp;"")&lt;&gt;"Pendiente",TRIM('DATOS'!D447&amp;"")&lt;&gt;"Por confirmar",TRIM('DATOS'!D447&amp;"")&lt;&gt;"No consta",TRIM('DATOS'!D447&amp;"")&lt;&gt;"Desconocido",TRIM('DATOS'!D447&amp;"")&lt;&gt;"Sin confirmar",TRIM('DATOS'!D447&amp;"")&lt;&gt;"Por decidir",TRIM('DATOS'!D447&amp;"")&lt;&gt;"Por comprobar")),NOT(AND(LEN(TRIM('DATOS'!E447&amp;""))&gt;0,TRIM('DATOS'!E447&amp;"")&lt;&gt;"Pendiente",TRIM('DATOS'!E447&amp;"")&lt;&gt;"Por confirmar",TRIM('DATOS'!E447&amp;"")&lt;&gt;"No consta",TRIM('DATOS'!E447&amp;"")&lt;&gt;"Desconocido",TRIM('DATOS'!E447&amp;"")&lt;&gt;"Sin confirmar",TRIM('DATOS'!E447&amp;"")&lt;&gt;"Por decidir",TRIM('DATOS'!E447&amp;"")&lt;&gt;"Por comprobar"))),2,IF('DATOS'!M447="No",2,IF('DATOS'!M447="Sí",0,IF(OR('DATOS'!D447&lt;&gt;'DATOS'!E447,LEN('DATOS'!E447)&gt;300,RIGHT(TRIM('DATOS'!E447),3)="...",RIGHT(TRIM('DATOS'!E447),1)="…"),1,0))))),2)</f>
      </c>
      <c r="S447" s="29">
        <f>IFERROR(IF(N447=0,"",IF('REFERENCIAS'!$Q$8&lt;&gt;1,2,IF(NOT(Y447=1),1,IF(OR(ABS('DATOS'!G447-ROUND('DATOS'!G447,'REFERENCIAS'!$E$8))&gt;0.00000001,ABS('DATOS'!H447-ROUND('DATOS'!H447,'REFERENCIAS'!$H$8))&gt;0.00000001,ABS('DATOS'!J447-ROUND('DATOS'!J447,'REFERENCIAS'!$K$8))&gt;0.00000001,IF(ISNUMBER('DATOS'!I447),ABS('DATOS'!I447-ROUND('DATOS'!I447,'REFERENCIAS'!$H$8))&gt;0.00000001,FALSE)),1,0)))),2)</f>
      </c>
      <c r="T447" s="29">
        <f>IFERROR(IF(N447=0,"",IF(NOT(AND(LEN(TRIM('DATOS'!F447&amp;""))&gt;0,TRIM('DATOS'!F447&amp;"")&lt;&gt;"Pendiente",TRIM('DATOS'!F447&amp;"")&lt;&gt;"Por confirmar",TRIM('DATOS'!F447&amp;"")&lt;&gt;"No consta",TRIM('DATOS'!F447&amp;"")&lt;&gt;"Desconocido",TRIM('DATOS'!F447&amp;"")&lt;&gt;"Sin confirmar",TRIM('DATOS'!F447&amp;"")&lt;&gt;"Por decidir",TRIM('DATOS'!F447&amp;"")&lt;&gt;"Por comprobar")),2,IF(COUNTIFS('REFERENCIAS'!$T$15:$T$34,"ID:"&amp;SUBSTITUTE(SUBSTITUTE(SUBSTITUTE(SUBSTITUTE(UPPER(TRIM('DATOS'!F447&amp;"")),"!","!E"),"*","!A"),"?","!B"),"~","!C"),'REFERENCIAS'!$H$15:$H$34,"&lt;&gt;")&gt;0,0,1))),2)</f>
      </c>
      <c r="U447" s="29" t="str">
        <f>'DATOS'!R447</f>
        <v>ID:</v>
      </c>
      <c r="V447" s="29" t="str">
        <f>'DATOS'!S447</f>
        <v>ID:</v>
      </c>
      <c r="W447" s="29" t="n">
        <f>IF(N447=0,0,COUNTIFS('REFERENCIAS'!$R$15:$R$64,U447))</f>
        <v>0</v>
      </c>
      <c r="X447" s="29" t="n">
        <f>IF(N447=0,0,COUNTIFS('DATOS'!$R$10:$R$509,U447,'DATOS'!$S$10:$S$509,V447))</f>
        <v>0</v>
      </c>
      <c r="Y447" s="29" t="n">
        <f>IF(AND(ISNUMBER('DATOS'!G447),ISNUMBER('DATOS'!H447),ISNUMBER('DATOS'!J447)),1,0)</f>
        <v>0</v>
      </c>
    </row>
    <row r="448" ht="64" customHeight="1">
      <c r="B448" s="26">
        <f>IF(N448=1,439,"")</f>
      </c>
      <c r="C448" s="26">
        <f>IF(AND(N448=1,LEN(TRIM('DATOS'!B448&amp;""))&gt;0),'DATOS'!B448,"")</f>
      </c>
      <c r="D448" s="26">
        <f>IF(AND(N448=1,LEN(TRIM('DATOS'!C448&amp;""))&gt;0),'DATOS'!C448,"")</f>
      </c>
      <c r="E448" s="26">
        <f>IF(NOT(ISNUMBER(P448)),"",IF(P448=2,"ROJO",IF(P448=1,"ÁMBAR","VERDE")))</f>
      </c>
      <c r="F448" s="26">
        <f>IF(NOT(ISNUMBER(Q448)),"",IF(Q448=2,"ROJO",IF(Q448=1,"ÁMBAR","VERDE")))</f>
      </c>
      <c r="G448" s="26">
        <f>IF(NOT(ISNUMBER(R448)),"",IF(R448=2,"ROJO",IF(R448=1,"ÁMBAR","VERDE")))</f>
      </c>
      <c r="H448" s="26">
        <f>IF(NOT(ISNUMBER(S448)),"",IF(S448=2,"ROJO",IF(S448=1,"ÁMBAR","VERDE")))</f>
      </c>
      <c r="I448" s="26">
        <f>IF(NOT(ISNUMBER(T448)),"",IF(T448=2,"ROJO",IF(T448=1,"ÁMBAR","VERDE")))</f>
      </c>
      <c r="J448" s="26">
        <f>IF(NOT(ISNUMBER(O448)),"",IF(O448=2,"ROJO",IF(O448=1,"ÁMBAR","VERDE")))</f>
      </c>
      <c r="K448" s="26">
        <f>IFERROR(IF(AND(N448=1,LEN(TRIM('DATOS'!N448&amp;""))&gt;0),'DATOS'!N448,""),"Hay una entrada con error. Corregimos el dato antes de cerrar la comprobación.")</f>
      </c>
      <c r="L448" s="26">
        <f>IFERROR(IF(N448=0,"",IF(O448&gt;0,"Completamos datos, claves o motivo. ","")&amp;IF(P448&gt;0,"Cotejamos precios e importe. ","")&amp;IF(Q448&gt;0,"Aclaramos el cero. ","")&amp;IF(R448&gt;0,"Comprobamos el texto. ","")&amp;IF(S448&gt;0,"Revisamos decimales visibles. ","")&amp;IF(T448&gt;0,"Confirmamos la unidad.","")),"Hay una entrada con error. Corregimos el dato antes de cerrar la comprobación.")</f>
      </c>
      <c r="N448" s="29" t="n">
        <f>IF(COUNTA('DATOS'!B448:O448)&gt;0,1,0)</f>
        <v>0</v>
      </c>
      <c r="O448" s="29">
        <f>IFERROR(IF(N448=0,"",IF(OR(NOT(AND(LEN(TRIM('DATOS'!B448&amp;""))&gt;0,TRIM('DATOS'!B448&amp;"")&lt;&gt;"Pendiente",TRIM('DATOS'!B448&amp;"")&lt;&gt;"Por confirmar",TRIM('DATOS'!B448&amp;"")&lt;&gt;"No consta",TRIM('DATOS'!B448&amp;"")&lt;&gt;"Desconocido",TRIM('DATOS'!B448&amp;"")&lt;&gt;"Sin confirmar",TRIM('DATOS'!B448&amp;"")&lt;&gt;"Por decidir",TRIM('DATOS'!B448&amp;"")&lt;&gt;"Por comprobar")),NOT(AND(LEN(TRIM('DATOS'!C448&amp;""))&gt;0,TRIM('DATOS'!C448&amp;"")&lt;&gt;"Pendiente",TRIM('DATOS'!C448&amp;"")&lt;&gt;"Por confirmar",TRIM('DATOS'!C448&amp;"")&lt;&gt;"No consta",TRIM('DATOS'!C448&amp;"")&lt;&gt;"Desconocido",TRIM('DATOS'!C448&amp;"")&lt;&gt;"Sin confirmar",TRIM('DATOS'!C448&amp;"")&lt;&gt;"Por decidir",TRIM('DATOS'!C448&amp;"")&lt;&gt;"Por comprobar")),NOT(AND(LEN(TRIM('DATOS'!D448&amp;""))&gt;0,TRIM('DATOS'!D448&amp;"")&lt;&gt;"Pendiente",TRIM('DATOS'!D448&amp;"")&lt;&gt;"Por confirmar",TRIM('DATOS'!D448&amp;"")&lt;&gt;"No consta",TRIM('DATOS'!D448&amp;"")&lt;&gt;"Desconocido",TRIM('DATOS'!D448&amp;"")&lt;&gt;"Sin confirmar",TRIM('DATOS'!D448&amp;"")&lt;&gt;"Por decidir",TRIM('DATOS'!D448&amp;"")&lt;&gt;"Por comprobar")),NOT(AND(LEN(TRIM('DATOS'!E448&amp;""))&gt;0,TRIM('DATOS'!E448&amp;"")&lt;&gt;"Pendiente",TRIM('DATOS'!E448&amp;"")&lt;&gt;"Por confirmar",TRIM('DATOS'!E448&amp;"")&lt;&gt;"No consta",TRIM('DATOS'!E448&amp;"")&lt;&gt;"Desconocido",TRIM('DATOS'!E448&amp;"")&lt;&gt;"Sin confirmar",TRIM('DATOS'!E448&amp;"")&lt;&gt;"Por decidir",TRIM('DATOS'!E448&amp;"")&lt;&gt;"Por comprobar")),NOT(AND(LEN(TRIM('DATOS'!F448&amp;""))&gt;0,TRIM('DATOS'!F448&amp;"")&lt;&gt;"Pendiente",TRIM('DATOS'!F448&amp;"")&lt;&gt;"Por confirmar",TRIM('DATOS'!F448&amp;"")&lt;&gt;"No consta",TRIM('DATOS'!F448&amp;"")&lt;&gt;"Desconocido",TRIM('DATOS'!F448&amp;"")&lt;&gt;"Sin confirmar",TRIM('DATOS'!F448&amp;"")&lt;&gt;"Por decidir",TRIM('DATOS'!F448&amp;"")&lt;&gt;"Por comprobar")),NOT(AND(LEN(TRIM('DATOS'!N448&amp;""))&gt;0,TRIM('DATOS'!N448&amp;"")&lt;&gt;"Pendiente",TRIM('DATOS'!N448&amp;"")&lt;&gt;"Por confirmar",TRIM('DATOS'!N448&amp;"")&lt;&gt;"No consta",TRIM('DATOS'!N448&amp;"")&lt;&gt;"Desconocido",TRIM('DATOS'!N448&amp;"")&lt;&gt;"Sin confirmar",TRIM('DATOS'!N448&amp;"")&lt;&gt;"Por decidir",TRIM('DATOS'!N448&amp;"")&lt;&gt;"Por comprobar")),NOT(Y448=1),W448&lt;&gt;1,X448&gt;1,NOT(OR(LEN(TRIM('DATOS'!K448&amp;""))=0,'DATOS'!K448="Sin valorar",'DATOS'!K448="Sin coste documentado",'DATOS'!K448="Incluido en otra partida",'DATOS'!K448="Por confirmar")),NOT(OR(LEN(TRIM('DATOS'!M448&amp;""))=0,'DATOS'!M448="Sí",'DATOS'!M448="No",'DATOS'!M448="Por confirmar")),NOT(OR(LEN(TRIM('DATOS'!O448&amp;""))=0,'DATOS'!O448="Comparamos",'DATOS'!O448="No existe",'DATOS'!O448="Por confirmar"))),2,IF(AND(OR('DATOS'!G448&lt;0,'DATOS'!H448&lt;0,'DATOS'!J448&lt;0),NOT(AND(LEN(TRIM('DATOS'!L448&amp;""))&gt;0,TRIM('DATOS'!L448&amp;"")&lt;&gt;"Pendiente",TRIM('DATOS'!L448&amp;"")&lt;&gt;"Por confirmar",TRIM('DATOS'!L448&amp;"")&lt;&gt;"No consta",TRIM('DATOS'!L448&amp;"")&lt;&gt;"Desconocido",TRIM('DATOS'!L448&amp;"")&lt;&gt;"Sin confirmar",TRIM('DATOS'!L448&amp;"")&lt;&gt;"Por decidir",TRIM('DATOS'!L448&amp;"")&lt;&gt;"Por comprobar"))),1,0))),2)</f>
      </c>
      <c r="P448" s="29">
        <f>IFERROR(IF(N448=0,"",IF(NOT(Y448=1),1,IF('REFERENCIAS'!$Q$8&lt;&gt;1,2,IF(ABS('DATOS'!J448-ROUND('DATOS'!G448*'DATOS'!H448,'REFERENCIAS'!$K$8))&gt;0.00000001,2,IF('DATOS'!O448="No existe",IF(LEN(TRIM('DATOS'!I448&amp;""))=0,0,2),IF('DATOS'!O448="Comparamos",IF(LEN(TRIM('DATOS'!I448&amp;""))=0,1,IF(ISNUMBER('DATOS'!I448),IF(ABS('DATOS'!H448-'DATOS'!I448)&gt;0.00000001,2,0),2)),1)))))),2)</f>
      </c>
      <c r="Q448" s="29">
        <f>IFERROR(IF(N448=0,"",IF(NOT(Y448=1),1,IF('DATOS'!K448="Sin valorar",2,IF('DATOS'!G448=0,1,IF(OR('DATOS'!H448=0,'DATOS'!J448=0),IF(AND(OR('DATOS'!K448="Sin coste documentado",'DATOS'!K448="Incluido en otra partida"),AND(LEN(TRIM('DATOS'!L448&amp;""))&gt;0,TRIM('DATOS'!L448&amp;"")&lt;&gt;"Pendiente",TRIM('DATOS'!L448&amp;"")&lt;&gt;"Por confirmar",TRIM('DATOS'!L448&amp;"")&lt;&gt;"No consta",TRIM('DATOS'!L448&amp;"")&lt;&gt;"Desconocido",TRIM('DATOS'!L448&amp;"")&lt;&gt;"Sin confirmar",TRIM('DATOS'!L448&amp;"")&lt;&gt;"Por decidir",TRIM('DATOS'!L448&amp;"")&lt;&gt;"Por comprobar")),0,1),0))))),2)</f>
      </c>
      <c r="R448" s="29">
        <f>IFERROR(IF(N448=0,"",IF(OR(NOT(AND(LEN(TRIM('DATOS'!D448&amp;""))&gt;0,TRIM('DATOS'!D448&amp;"")&lt;&gt;"Pendiente",TRIM('DATOS'!D448&amp;"")&lt;&gt;"Por confirmar",TRIM('DATOS'!D448&amp;"")&lt;&gt;"No consta",TRIM('DATOS'!D448&amp;"")&lt;&gt;"Desconocido",TRIM('DATOS'!D448&amp;"")&lt;&gt;"Sin confirmar",TRIM('DATOS'!D448&amp;"")&lt;&gt;"Por decidir",TRIM('DATOS'!D448&amp;"")&lt;&gt;"Por comprobar")),NOT(AND(LEN(TRIM('DATOS'!E448&amp;""))&gt;0,TRIM('DATOS'!E448&amp;"")&lt;&gt;"Pendiente",TRIM('DATOS'!E448&amp;"")&lt;&gt;"Por confirmar",TRIM('DATOS'!E448&amp;"")&lt;&gt;"No consta",TRIM('DATOS'!E448&amp;"")&lt;&gt;"Desconocido",TRIM('DATOS'!E448&amp;"")&lt;&gt;"Sin confirmar",TRIM('DATOS'!E448&amp;"")&lt;&gt;"Por decidir",TRIM('DATOS'!E448&amp;"")&lt;&gt;"Por comprobar"))),2,IF('DATOS'!M448="No",2,IF('DATOS'!M448="Sí",0,IF(OR('DATOS'!D448&lt;&gt;'DATOS'!E448,LEN('DATOS'!E448)&gt;300,RIGHT(TRIM('DATOS'!E448),3)="...",RIGHT(TRIM('DATOS'!E448),1)="…"),1,0))))),2)</f>
      </c>
      <c r="S448" s="29">
        <f>IFERROR(IF(N448=0,"",IF('REFERENCIAS'!$Q$8&lt;&gt;1,2,IF(NOT(Y448=1),1,IF(OR(ABS('DATOS'!G448-ROUND('DATOS'!G448,'REFERENCIAS'!$E$8))&gt;0.00000001,ABS('DATOS'!H448-ROUND('DATOS'!H448,'REFERENCIAS'!$H$8))&gt;0.00000001,ABS('DATOS'!J448-ROUND('DATOS'!J448,'REFERENCIAS'!$K$8))&gt;0.00000001,IF(ISNUMBER('DATOS'!I448),ABS('DATOS'!I448-ROUND('DATOS'!I448,'REFERENCIAS'!$H$8))&gt;0.00000001,FALSE)),1,0)))),2)</f>
      </c>
      <c r="T448" s="29">
        <f>IFERROR(IF(N448=0,"",IF(NOT(AND(LEN(TRIM('DATOS'!F448&amp;""))&gt;0,TRIM('DATOS'!F448&amp;"")&lt;&gt;"Pendiente",TRIM('DATOS'!F448&amp;"")&lt;&gt;"Por confirmar",TRIM('DATOS'!F448&amp;"")&lt;&gt;"No consta",TRIM('DATOS'!F448&amp;"")&lt;&gt;"Desconocido",TRIM('DATOS'!F448&amp;"")&lt;&gt;"Sin confirmar",TRIM('DATOS'!F448&amp;"")&lt;&gt;"Por decidir",TRIM('DATOS'!F448&amp;"")&lt;&gt;"Por comprobar")),2,IF(COUNTIFS('REFERENCIAS'!$T$15:$T$34,"ID:"&amp;SUBSTITUTE(SUBSTITUTE(SUBSTITUTE(SUBSTITUTE(UPPER(TRIM('DATOS'!F448&amp;"")),"!","!E"),"*","!A"),"?","!B"),"~","!C"),'REFERENCIAS'!$H$15:$H$34,"&lt;&gt;")&gt;0,0,1))),2)</f>
      </c>
      <c r="U448" s="29" t="str">
        <f>'DATOS'!R448</f>
        <v>ID:</v>
      </c>
      <c r="V448" s="29" t="str">
        <f>'DATOS'!S448</f>
        <v>ID:</v>
      </c>
      <c r="W448" s="29" t="n">
        <f>IF(N448=0,0,COUNTIFS('REFERENCIAS'!$R$15:$R$64,U448))</f>
        <v>0</v>
      </c>
      <c r="X448" s="29" t="n">
        <f>IF(N448=0,0,COUNTIFS('DATOS'!$R$10:$R$509,U448,'DATOS'!$S$10:$S$509,V448))</f>
        <v>0</v>
      </c>
      <c r="Y448" s="29" t="n">
        <f>IF(AND(ISNUMBER('DATOS'!G448),ISNUMBER('DATOS'!H448),ISNUMBER('DATOS'!J448)),1,0)</f>
        <v>0</v>
      </c>
    </row>
    <row r="449" ht="64" customHeight="1">
      <c r="B449" s="26">
        <f>IF(N449=1,440,"")</f>
      </c>
      <c r="C449" s="26">
        <f>IF(AND(N449=1,LEN(TRIM('DATOS'!B449&amp;""))&gt;0),'DATOS'!B449,"")</f>
      </c>
      <c r="D449" s="26">
        <f>IF(AND(N449=1,LEN(TRIM('DATOS'!C449&amp;""))&gt;0),'DATOS'!C449,"")</f>
      </c>
      <c r="E449" s="26">
        <f>IF(NOT(ISNUMBER(P449)),"",IF(P449=2,"ROJO",IF(P449=1,"ÁMBAR","VERDE")))</f>
      </c>
      <c r="F449" s="26">
        <f>IF(NOT(ISNUMBER(Q449)),"",IF(Q449=2,"ROJO",IF(Q449=1,"ÁMBAR","VERDE")))</f>
      </c>
      <c r="G449" s="26">
        <f>IF(NOT(ISNUMBER(R449)),"",IF(R449=2,"ROJO",IF(R449=1,"ÁMBAR","VERDE")))</f>
      </c>
      <c r="H449" s="26">
        <f>IF(NOT(ISNUMBER(S449)),"",IF(S449=2,"ROJO",IF(S449=1,"ÁMBAR","VERDE")))</f>
      </c>
      <c r="I449" s="26">
        <f>IF(NOT(ISNUMBER(T449)),"",IF(T449=2,"ROJO",IF(T449=1,"ÁMBAR","VERDE")))</f>
      </c>
      <c r="J449" s="26">
        <f>IF(NOT(ISNUMBER(O449)),"",IF(O449=2,"ROJO",IF(O449=1,"ÁMBAR","VERDE")))</f>
      </c>
      <c r="K449" s="26">
        <f>IFERROR(IF(AND(N449=1,LEN(TRIM('DATOS'!N449&amp;""))&gt;0),'DATOS'!N449,""),"Hay una entrada con error. Corregimos el dato antes de cerrar la comprobación.")</f>
      </c>
      <c r="L449" s="26">
        <f>IFERROR(IF(N449=0,"",IF(O449&gt;0,"Completamos datos, claves o motivo. ","")&amp;IF(P449&gt;0,"Cotejamos precios e importe. ","")&amp;IF(Q449&gt;0,"Aclaramos el cero. ","")&amp;IF(R449&gt;0,"Comprobamos el texto. ","")&amp;IF(S449&gt;0,"Revisamos decimales visibles. ","")&amp;IF(T449&gt;0,"Confirmamos la unidad.","")),"Hay una entrada con error. Corregimos el dato antes de cerrar la comprobación.")</f>
      </c>
      <c r="N449" s="29" t="n">
        <f>IF(COUNTA('DATOS'!B449:O449)&gt;0,1,0)</f>
        <v>0</v>
      </c>
      <c r="O449" s="29">
        <f>IFERROR(IF(N449=0,"",IF(OR(NOT(AND(LEN(TRIM('DATOS'!B449&amp;""))&gt;0,TRIM('DATOS'!B449&amp;"")&lt;&gt;"Pendiente",TRIM('DATOS'!B449&amp;"")&lt;&gt;"Por confirmar",TRIM('DATOS'!B449&amp;"")&lt;&gt;"No consta",TRIM('DATOS'!B449&amp;"")&lt;&gt;"Desconocido",TRIM('DATOS'!B449&amp;"")&lt;&gt;"Sin confirmar",TRIM('DATOS'!B449&amp;"")&lt;&gt;"Por decidir",TRIM('DATOS'!B449&amp;"")&lt;&gt;"Por comprobar")),NOT(AND(LEN(TRIM('DATOS'!C449&amp;""))&gt;0,TRIM('DATOS'!C449&amp;"")&lt;&gt;"Pendiente",TRIM('DATOS'!C449&amp;"")&lt;&gt;"Por confirmar",TRIM('DATOS'!C449&amp;"")&lt;&gt;"No consta",TRIM('DATOS'!C449&amp;"")&lt;&gt;"Desconocido",TRIM('DATOS'!C449&amp;"")&lt;&gt;"Sin confirmar",TRIM('DATOS'!C449&amp;"")&lt;&gt;"Por decidir",TRIM('DATOS'!C449&amp;"")&lt;&gt;"Por comprobar")),NOT(AND(LEN(TRIM('DATOS'!D449&amp;""))&gt;0,TRIM('DATOS'!D449&amp;"")&lt;&gt;"Pendiente",TRIM('DATOS'!D449&amp;"")&lt;&gt;"Por confirmar",TRIM('DATOS'!D449&amp;"")&lt;&gt;"No consta",TRIM('DATOS'!D449&amp;"")&lt;&gt;"Desconocido",TRIM('DATOS'!D449&amp;"")&lt;&gt;"Sin confirmar",TRIM('DATOS'!D449&amp;"")&lt;&gt;"Por decidir",TRIM('DATOS'!D449&amp;"")&lt;&gt;"Por comprobar")),NOT(AND(LEN(TRIM('DATOS'!E449&amp;""))&gt;0,TRIM('DATOS'!E449&amp;"")&lt;&gt;"Pendiente",TRIM('DATOS'!E449&amp;"")&lt;&gt;"Por confirmar",TRIM('DATOS'!E449&amp;"")&lt;&gt;"No consta",TRIM('DATOS'!E449&amp;"")&lt;&gt;"Desconocido",TRIM('DATOS'!E449&amp;"")&lt;&gt;"Sin confirmar",TRIM('DATOS'!E449&amp;"")&lt;&gt;"Por decidir",TRIM('DATOS'!E449&amp;"")&lt;&gt;"Por comprobar")),NOT(AND(LEN(TRIM('DATOS'!F449&amp;""))&gt;0,TRIM('DATOS'!F449&amp;"")&lt;&gt;"Pendiente",TRIM('DATOS'!F449&amp;"")&lt;&gt;"Por confirmar",TRIM('DATOS'!F449&amp;"")&lt;&gt;"No consta",TRIM('DATOS'!F449&amp;"")&lt;&gt;"Desconocido",TRIM('DATOS'!F449&amp;"")&lt;&gt;"Sin confirmar",TRIM('DATOS'!F449&amp;"")&lt;&gt;"Por decidir",TRIM('DATOS'!F449&amp;"")&lt;&gt;"Por comprobar")),NOT(AND(LEN(TRIM('DATOS'!N449&amp;""))&gt;0,TRIM('DATOS'!N449&amp;"")&lt;&gt;"Pendiente",TRIM('DATOS'!N449&amp;"")&lt;&gt;"Por confirmar",TRIM('DATOS'!N449&amp;"")&lt;&gt;"No consta",TRIM('DATOS'!N449&amp;"")&lt;&gt;"Desconocido",TRIM('DATOS'!N449&amp;"")&lt;&gt;"Sin confirmar",TRIM('DATOS'!N449&amp;"")&lt;&gt;"Por decidir",TRIM('DATOS'!N449&amp;"")&lt;&gt;"Por comprobar")),NOT(Y449=1),W449&lt;&gt;1,X449&gt;1,NOT(OR(LEN(TRIM('DATOS'!K449&amp;""))=0,'DATOS'!K449="Sin valorar",'DATOS'!K449="Sin coste documentado",'DATOS'!K449="Incluido en otra partida",'DATOS'!K449="Por confirmar")),NOT(OR(LEN(TRIM('DATOS'!M449&amp;""))=0,'DATOS'!M449="Sí",'DATOS'!M449="No",'DATOS'!M449="Por confirmar")),NOT(OR(LEN(TRIM('DATOS'!O449&amp;""))=0,'DATOS'!O449="Comparamos",'DATOS'!O449="No existe",'DATOS'!O449="Por confirmar"))),2,IF(AND(OR('DATOS'!G449&lt;0,'DATOS'!H449&lt;0,'DATOS'!J449&lt;0),NOT(AND(LEN(TRIM('DATOS'!L449&amp;""))&gt;0,TRIM('DATOS'!L449&amp;"")&lt;&gt;"Pendiente",TRIM('DATOS'!L449&amp;"")&lt;&gt;"Por confirmar",TRIM('DATOS'!L449&amp;"")&lt;&gt;"No consta",TRIM('DATOS'!L449&amp;"")&lt;&gt;"Desconocido",TRIM('DATOS'!L449&amp;"")&lt;&gt;"Sin confirmar",TRIM('DATOS'!L449&amp;"")&lt;&gt;"Por decidir",TRIM('DATOS'!L449&amp;"")&lt;&gt;"Por comprobar"))),1,0))),2)</f>
      </c>
      <c r="P449" s="29">
        <f>IFERROR(IF(N449=0,"",IF(NOT(Y449=1),1,IF('REFERENCIAS'!$Q$8&lt;&gt;1,2,IF(ABS('DATOS'!J449-ROUND('DATOS'!G449*'DATOS'!H449,'REFERENCIAS'!$K$8))&gt;0.00000001,2,IF('DATOS'!O449="No existe",IF(LEN(TRIM('DATOS'!I449&amp;""))=0,0,2),IF('DATOS'!O449="Comparamos",IF(LEN(TRIM('DATOS'!I449&amp;""))=0,1,IF(ISNUMBER('DATOS'!I449),IF(ABS('DATOS'!H449-'DATOS'!I449)&gt;0.00000001,2,0),2)),1)))))),2)</f>
      </c>
      <c r="Q449" s="29">
        <f>IFERROR(IF(N449=0,"",IF(NOT(Y449=1),1,IF('DATOS'!K449="Sin valorar",2,IF('DATOS'!G449=0,1,IF(OR('DATOS'!H449=0,'DATOS'!J449=0),IF(AND(OR('DATOS'!K449="Sin coste documentado",'DATOS'!K449="Incluido en otra partida"),AND(LEN(TRIM('DATOS'!L449&amp;""))&gt;0,TRIM('DATOS'!L449&amp;"")&lt;&gt;"Pendiente",TRIM('DATOS'!L449&amp;"")&lt;&gt;"Por confirmar",TRIM('DATOS'!L449&amp;"")&lt;&gt;"No consta",TRIM('DATOS'!L449&amp;"")&lt;&gt;"Desconocido",TRIM('DATOS'!L449&amp;"")&lt;&gt;"Sin confirmar",TRIM('DATOS'!L449&amp;"")&lt;&gt;"Por decidir",TRIM('DATOS'!L449&amp;"")&lt;&gt;"Por comprobar")),0,1),0))))),2)</f>
      </c>
      <c r="R449" s="29">
        <f>IFERROR(IF(N449=0,"",IF(OR(NOT(AND(LEN(TRIM('DATOS'!D449&amp;""))&gt;0,TRIM('DATOS'!D449&amp;"")&lt;&gt;"Pendiente",TRIM('DATOS'!D449&amp;"")&lt;&gt;"Por confirmar",TRIM('DATOS'!D449&amp;"")&lt;&gt;"No consta",TRIM('DATOS'!D449&amp;"")&lt;&gt;"Desconocido",TRIM('DATOS'!D449&amp;"")&lt;&gt;"Sin confirmar",TRIM('DATOS'!D449&amp;"")&lt;&gt;"Por decidir",TRIM('DATOS'!D449&amp;"")&lt;&gt;"Por comprobar")),NOT(AND(LEN(TRIM('DATOS'!E449&amp;""))&gt;0,TRIM('DATOS'!E449&amp;"")&lt;&gt;"Pendiente",TRIM('DATOS'!E449&amp;"")&lt;&gt;"Por confirmar",TRIM('DATOS'!E449&amp;"")&lt;&gt;"No consta",TRIM('DATOS'!E449&amp;"")&lt;&gt;"Desconocido",TRIM('DATOS'!E449&amp;"")&lt;&gt;"Sin confirmar",TRIM('DATOS'!E449&amp;"")&lt;&gt;"Por decidir",TRIM('DATOS'!E449&amp;"")&lt;&gt;"Por comprobar"))),2,IF('DATOS'!M449="No",2,IF('DATOS'!M449="Sí",0,IF(OR('DATOS'!D449&lt;&gt;'DATOS'!E449,LEN('DATOS'!E449)&gt;300,RIGHT(TRIM('DATOS'!E449),3)="...",RIGHT(TRIM('DATOS'!E449),1)="…"),1,0))))),2)</f>
      </c>
      <c r="S449" s="29">
        <f>IFERROR(IF(N449=0,"",IF('REFERENCIAS'!$Q$8&lt;&gt;1,2,IF(NOT(Y449=1),1,IF(OR(ABS('DATOS'!G449-ROUND('DATOS'!G449,'REFERENCIAS'!$E$8))&gt;0.00000001,ABS('DATOS'!H449-ROUND('DATOS'!H449,'REFERENCIAS'!$H$8))&gt;0.00000001,ABS('DATOS'!J449-ROUND('DATOS'!J449,'REFERENCIAS'!$K$8))&gt;0.00000001,IF(ISNUMBER('DATOS'!I449),ABS('DATOS'!I449-ROUND('DATOS'!I449,'REFERENCIAS'!$H$8))&gt;0.00000001,FALSE)),1,0)))),2)</f>
      </c>
      <c r="T449" s="29">
        <f>IFERROR(IF(N449=0,"",IF(NOT(AND(LEN(TRIM('DATOS'!F449&amp;""))&gt;0,TRIM('DATOS'!F449&amp;"")&lt;&gt;"Pendiente",TRIM('DATOS'!F449&amp;"")&lt;&gt;"Por confirmar",TRIM('DATOS'!F449&amp;"")&lt;&gt;"No consta",TRIM('DATOS'!F449&amp;"")&lt;&gt;"Desconocido",TRIM('DATOS'!F449&amp;"")&lt;&gt;"Sin confirmar",TRIM('DATOS'!F449&amp;"")&lt;&gt;"Por decidir",TRIM('DATOS'!F449&amp;"")&lt;&gt;"Por comprobar")),2,IF(COUNTIFS('REFERENCIAS'!$T$15:$T$34,"ID:"&amp;SUBSTITUTE(SUBSTITUTE(SUBSTITUTE(SUBSTITUTE(UPPER(TRIM('DATOS'!F449&amp;"")),"!","!E"),"*","!A"),"?","!B"),"~","!C"),'REFERENCIAS'!$H$15:$H$34,"&lt;&gt;")&gt;0,0,1))),2)</f>
      </c>
      <c r="U449" s="29" t="str">
        <f>'DATOS'!R449</f>
        <v>ID:</v>
      </c>
      <c r="V449" s="29" t="str">
        <f>'DATOS'!S449</f>
        <v>ID:</v>
      </c>
      <c r="W449" s="29" t="n">
        <f>IF(N449=0,0,COUNTIFS('REFERENCIAS'!$R$15:$R$64,U449))</f>
        <v>0</v>
      </c>
      <c r="X449" s="29" t="n">
        <f>IF(N449=0,0,COUNTIFS('DATOS'!$R$10:$R$509,U449,'DATOS'!$S$10:$S$509,V449))</f>
        <v>0</v>
      </c>
      <c r="Y449" s="29" t="n">
        <f>IF(AND(ISNUMBER('DATOS'!G449),ISNUMBER('DATOS'!H449),ISNUMBER('DATOS'!J449)),1,0)</f>
        <v>0</v>
      </c>
    </row>
    <row r="450" ht="64" customHeight="1">
      <c r="B450" s="26">
        <f>IF(N450=1,441,"")</f>
      </c>
      <c r="C450" s="26">
        <f>IF(AND(N450=1,LEN(TRIM('DATOS'!B450&amp;""))&gt;0),'DATOS'!B450,"")</f>
      </c>
      <c r="D450" s="26">
        <f>IF(AND(N450=1,LEN(TRIM('DATOS'!C450&amp;""))&gt;0),'DATOS'!C450,"")</f>
      </c>
      <c r="E450" s="26">
        <f>IF(NOT(ISNUMBER(P450)),"",IF(P450=2,"ROJO",IF(P450=1,"ÁMBAR","VERDE")))</f>
      </c>
      <c r="F450" s="26">
        <f>IF(NOT(ISNUMBER(Q450)),"",IF(Q450=2,"ROJO",IF(Q450=1,"ÁMBAR","VERDE")))</f>
      </c>
      <c r="G450" s="26">
        <f>IF(NOT(ISNUMBER(R450)),"",IF(R450=2,"ROJO",IF(R450=1,"ÁMBAR","VERDE")))</f>
      </c>
      <c r="H450" s="26">
        <f>IF(NOT(ISNUMBER(S450)),"",IF(S450=2,"ROJO",IF(S450=1,"ÁMBAR","VERDE")))</f>
      </c>
      <c r="I450" s="26">
        <f>IF(NOT(ISNUMBER(T450)),"",IF(T450=2,"ROJO",IF(T450=1,"ÁMBAR","VERDE")))</f>
      </c>
      <c r="J450" s="26">
        <f>IF(NOT(ISNUMBER(O450)),"",IF(O450=2,"ROJO",IF(O450=1,"ÁMBAR","VERDE")))</f>
      </c>
      <c r="K450" s="26">
        <f>IFERROR(IF(AND(N450=1,LEN(TRIM('DATOS'!N450&amp;""))&gt;0),'DATOS'!N450,""),"Hay una entrada con error. Corregimos el dato antes de cerrar la comprobación.")</f>
      </c>
      <c r="L450" s="26">
        <f>IFERROR(IF(N450=0,"",IF(O450&gt;0,"Completamos datos, claves o motivo. ","")&amp;IF(P450&gt;0,"Cotejamos precios e importe. ","")&amp;IF(Q450&gt;0,"Aclaramos el cero. ","")&amp;IF(R450&gt;0,"Comprobamos el texto. ","")&amp;IF(S450&gt;0,"Revisamos decimales visibles. ","")&amp;IF(T450&gt;0,"Confirmamos la unidad.","")),"Hay una entrada con error. Corregimos el dato antes de cerrar la comprobación.")</f>
      </c>
      <c r="N450" s="29" t="n">
        <f>IF(COUNTA('DATOS'!B450:O450)&gt;0,1,0)</f>
        <v>0</v>
      </c>
      <c r="O450" s="29">
        <f>IFERROR(IF(N450=0,"",IF(OR(NOT(AND(LEN(TRIM('DATOS'!B450&amp;""))&gt;0,TRIM('DATOS'!B450&amp;"")&lt;&gt;"Pendiente",TRIM('DATOS'!B450&amp;"")&lt;&gt;"Por confirmar",TRIM('DATOS'!B450&amp;"")&lt;&gt;"No consta",TRIM('DATOS'!B450&amp;"")&lt;&gt;"Desconocido",TRIM('DATOS'!B450&amp;"")&lt;&gt;"Sin confirmar",TRIM('DATOS'!B450&amp;"")&lt;&gt;"Por decidir",TRIM('DATOS'!B450&amp;"")&lt;&gt;"Por comprobar")),NOT(AND(LEN(TRIM('DATOS'!C450&amp;""))&gt;0,TRIM('DATOS'!C450&amp;"")&lt;&gt;"Pendiente",TRIM('DATOS'!C450&amp;"")&lt;&gt;"Por confirmar",TRIM('DATOS'!C450&amp;"")&lt;&gt;"No consta",TRIM('DATOS'!C450&amp;"")&lt;&gt;"Desconocido",TRIM('DATOS'!C450&amp;"")&lt;&gt;"Sin confirmar",TRIM('DATOS'!C450&amp;"")&lt;&gt;"Por decidir",TRIM('DATOS'!C450&amp;"")&lt;&gt;"Por comprobar")),NOT(AND(LEN(TRIM('DATOS'!D450&amp;""))&gt;0,TRIM('DATOS'!D450&amp;"")&lt;&gt;"Pendiente",TRIM('DATOS'!D450&amp;"")&lt;&gt;"Por confirmar",TRIM('DATOS'!D450&amp;"")&lt;&gt;"No consta",TRIM('DATOS'!D450&amp;"")&lt;&gt;"Desconocido",TRIM('DATOS'!D450&amp;"")&lt;&gt;"Sin confirmar",TRIM('DATOS'!D450&amp;"")&lt;&gt;"Por decidir",TRIM('DATOS'!D450&amp;"")&lt;&gt;"Por comprobar")),NOT(AND(LEN(TRIM('DATOS'!E450&amp;""))&gt;0,TRIM('DATOS'!E450&amp;"")&lt;&gt;"Pendiente",TRIM('DATOS'!E450&amp;"")&lt;&gt;"Por confirmar",TRIM('DATOS'!E450&amp;"")&lt;&gt;"No consta",TRIM('DATOS'!E450&amp;"")&lt;&gt;"Desconocido",TRIM('DATOS'!E450&amp;"")&lt;&gt;"Sin confirmar",TRIM('DATOS'!E450&amp;"")&lt;&gt;"Por decidir",TRIM('DATOS'!E450&amp;"")&lt;&gt;"Por comprobar")),NOT(AND(LEN(TRIM('DATOS'!F450&amp;""))&gt;0,TRIM('DATOS'!F450&amp;"")&lt;&gt;"Pendiente",TRIM('DATOS'!F450&amp;"")&lt;&gt;"Por confirmar",TRIM('DATOS'!F450&amp;"")&lt;&gt;"No consta",TRIM('DATOS'!F450&amp;"")&lt;&gt;"Desconocido",TRIM('DATOS'!F450&amp;"")&lt;&gt;"Sin confirmar",TRIM('DATOS'!F450&amp;"")&lt;&gt;"Por decidir",TRIM('DATOS'!F450&amp;"")&lt;&gt;"Por comprobar")),NOT(AND(LEN(TRIM('DATOS'!N450&amp;""))&gt;0,TRIM('DATOS'!N450&amp;"")&lt;&gt;"Pendiente",TRIM('DATOS'!N450&amp;"")&lt;&gt;"Por confirmar",TRIM('DATOS'!N450&amp;"")&lt;&gt;"No consta",TRIM('DATOS'!N450&amp;"")&lt;&gt;"Desconocido",TRIM('DATOS'!N450&amp;"")&lt;&gt;"Sin confirmar",TRIM('DATOS'!N450&amp;"")&lt;&gt;"Por decidir",TRIM('DATOS'!N450&amp;"")&lt;&gt;"Por comprobar")),NOT(Y450=1),W450&lt;&gt;1,X450&gt;1,NOT(OR(LEN(TRIM('DATOS'!K450&amp;""))=0,'DATOS'!K450="Sin valorar",'DATOS'!K450="Sin coste documentado",'DATOS'!K450="Incluido en otra partida",'DATOS'!K450="Por confirmar")),NOT(OR(LEN(TRIM('DATOS'!M450&amp;""))=0,'DATOS'!M450="Sí",'DATOS'!M450="No",'DATOS'!M450="Por confirmar")),NOT(OR(LEN(TRIM('DATOS'!O450&amp;""))=0,'DATOS'!O450="Comparamos",'DATOS'!O450="No existe",'DATOS'!O450="Por confirmar"))),2,IF(AND(OR('DATOS'!G450&lt;0,'DATOS'!H450&lt;0,'DATOS'!J450&lt;0),NOT(AND(LEN(TRIM('DATOS'!L450&amp;""))&gt;0,TRIM('DATOS'!L450&amp;"")&lt;&gt;"Pendiente",TRIM('DATOS'!L450&amp;"")&lt;&gt;"Por confirmar",TRIM('DATOS'!L450&amp;"")&lt;&gt;"No consta",TRIM('DATOS'!L450&amp;"")&lt;&gt;"Desconocido",TRIM('DATOS'!L450&amp;"")&lt;&gt;"Sin confirmar",TRIM('DATOS'!L450&amp;"")&lt;&gt;"Por decidir",TRIM('DATOS'!L450&amp;"")&lt;&gt;"Por comprobar"))),1,0))),2)</f>
      </c>
      <c r="P450" s="29">
        <f>IFERROR(IF(N450=0,"",IF(NOT(Y450=1),1,IF('REFERENCIAS'!$Q$8&lt;&gt;1,2,IF(ABS('DATOS'!J450-ROUND('DATOS'!G450*'DATOS'!H450,'REFERENCIAS'!$K$8))&gt;0.00000001,2,IF('DATOS'!O450="No existe",IF(LEN(TRIM('DATOS'!I450&amp;""))=0,0,2),IF('DATOS'!O450="Comparamos",IF(LEN(TRIM('DATOS'!I450&amp;""))=0,1,IF(ISNUMBER('DATOS'!I450),IF(ABS('DATOS'!H450-'DATOS'!I450)&gt;0.00000001,2,0),2)),1)))))),2)</f>
      </c>
      <c r="Q450" s="29">
        <f>IFERROR(IF(N450=0,"",IF(NOT(Y450=1),1,IF('DATOS'!K450="Sin valorar",2,IF('DATOS'!G450=0,1,IF(OR('DATOS'!H450=0,'DATOS'!J450=0),IF(AND(OR('DATOS'!K450="Sin coste documentado",'DATOS'!K450="Incluido en otra partida"),AND(LEN(TRIM('DATOS'!L450&amp;""))&gt;0,TRIM('DATOS'!L450&amp;"")&lt;&gt;"Pendiente",TRIM('DATOS'!L450&amp;"")&lt;&gt;"Por confirmar",TRIM('DATOS'!L450&amp;"")&lt;&gt;"No consta",TRIM('DATOS'!L450&amp;"")&lt;&gt;"Desconocido",TRIM('DATOS'!L450&amp;"")&lt;&gt;"Sin confirmar",TRIM('DATOS'!L450&amp;"")&lt;&gt;"Por decidir",TRIM('DATOS'!L450&amp;"")&lt;&gt;"Por comprobar")),0,1),0))))),2)</f>
      </c>
      <c r="R450" s="29">
        <f>IFERROR(IF(N450=0,"",IF(OR(NOT(AND(LEN(TRIM('DATOS'!D450&amp;""))&gt;0,TRIM('DATOS'!D450&amp;"")&lt;&gt;"Pendiente",TRIM('DATOS'!D450&amp;"")&lt;&gt;"Por confirmar",TRIM('DATOS'!D450&amp;"")&lt;&gt;"No consta",TRIM('DATOS'!D450&amp;"")&lt;&gt;"Desconocido",TRIM('DATOS'!D450&amp;"")&lt;&gt;"Sin confirmar",TRIM('DATOS'!D450&amp;"")&lt;&gt;"Por decidir",TRIM('DATOS'!D450&amp;"")&lt;&gt;"Por comprobar")),NOT(AND(LEN(TRIM('DATOS'!E450&amp;""))&gt;0,TRIM('DATOS'!E450&amp;"")&lt;&gt;"Pendiente",TRIM('DATOS'!E450&amp;"")&lt;&gt;"Por confirmar",TRIM('DATOS'!E450&amp;"")&lt;&gt;"No consta",TRIM('DATOS'!E450&amp;"")&lt;&gt;"Desconocido",TRIM('DATOS'!E450&amp;"")&lt;&gt;"Sin confirmar",TRIM('DATOS'!E450&amp;"")&lt;&gt;"Por decidir",TRIM('DATOS'!E450&amp;"")&lt;&gt;"Por comprobar"))),2,IF('DATOS'!M450="No",2,IF('DATOS'!M450="Sí",0,IF(OR('DATOS'!D450&lt;&gt;'DATOS'!E450,LEN('DATOS'!E450)&gt;300,RIGHT(TRIM('DATOS'!E450),3)="...",RIGHT(TRIM('DATOS'!E450),1)="…"),1,0))))),2)</f>
      </c>
      <c r="S450" s="29">
        <f>IFERROR(IF(N450=0,"",IF('REFERENCIAS'!$Q$8&lt;&gt;1,2,IF(NOT(Y450=1),1,IF(OR(ABS('DATOS'!G450-ROUND('DATOS'!G450,'REFERENCIAS'!$E$8))&gt;0.00000001,ABS('DATOS'!H450-ROUND('DATOS'!H450,'REFERENCIAS'!$H$8))&gt;0.00000001,ABS('DATOS'!J450-ROUND('DATOS'!J450,'REFERENCIAS'!$K$8))&gt;0.00000001,IF(ISNUMBER('DATOS'!I450),ABS('DATOS'!I450-ROUND('DATOS'!I450,'REFERENCIAS'!$H$8))&gt;0.00000001,FALSE)),1,0)))),2)</f>
      </c>
      <c r="T450" s="29">
        <f>IFERROR(IF(N450=0,"",IF(NOT(AND(LEN(TRIM('DATOS'!F450&amp;""))&gt;0,TRIM('DATOS'!F450&amp;"")&lt;&gt;"Pendiente",TRIM('DATOS'!F450&amp;"")&lt;&gt;"Por confirmar",TRIM('DATOS'!F450&amp;"")&lt;&gt;"No consta",TRIM('DATOS'!F450&amp;"")&lt;&gt;"Desconocido",TRIM('DATOS'!F450&amp;"")&lt;&gt;"Sin confirmar",TRIM('DATOS'!F450&amp;"")&lt;&gt;"Por decidir",TRIM('DATOS'!F450&amp;"")&lt;&gt;"Por comprobar")),2,IF(COUNTIFS('REFERENCIAS'!$T$15:$T$34,"ID:"&amp;SUBSTITUTE(SUBSTITUTE(SUBSTITUTE(SUBSTITUTE(UPPER(TRIM('DATOS'!F450&amp;"")),"!","!E"),"*","!A"),"?","!B"),"~","!C"),'REFERENCIAS'!$H$15:$H$34,"&lt;&gt;")&gt;0,0,1))),2)</f>
      </c>
      <c r="U450" s="29" t="str">
        <f>'DATOS'!R450</f>
        <v>ID:</v>
      </c>
      <c r="V450" s="29" t="str">
        <f>'DATOS'!S450</f>
        <v>ID:</v>
      </c>
      <c r="W450" s="29" t="n">
        <f>IF(N450=0,0,COUNTIFS('REFERENCIAS'!$R$15:$R$64,U450))</f>
        <v>0</v>
      </c>
      <c r="X450" s="29" t="n">
        <f>IF(N450=0,0,COUNTIFS('DATOS'!$R$10:$R$509,U450,'DATOS'!$S$10:$S$509,V450))</f>
        <v>0</v>
      </c>
      <c r="Y450" s="29" t="n">
        <f>IF(AND(ISNUMBER('DATOS'!G450),ISNUMBER('DATOS'!H450),ISNUMBER('DATOS'!J450)),1,0)</f>
        <v>0</v>
      </c>
    </row>
    <row r="451" ht="64" customHeight="1">
      <c r="B451" s="26">
        <f>IF(N451=1,442,"")</f>
      </c>
      <c r="C451" s="26">
        <f>IF(AND(N451=1,LEN(TRIM('DATOS'!B451&amp;""))&gt;0),'DATOS'!B451,"")</f>
      </c>
      <c r="D451" s="26">
        <f>IF(AND(N451=1,LEN(TRIM('DATOS'!C451&amp;""))&gt;0),'DATOS'!C451,"")</f>
      </c>
      <c r="E451" s="26">
        <f>IF(NOT(ISNUMBER(P451)),"",IF(P451=2,"ROJO",IF(P451=1,"ÁMBAR","VERDE")))</f>
      </c>
      <c r="F451" s="26">
        <f>IF(NOT(ISNUMBER(Q451)),"",IF(Q451=2,"ROJO",IF(Q451=1,"ÁMBAR","VERDE")))</f>
      </c>
      <c r="G451" s="26">
        <f>IF(NOT(ISNUMBER(R451)),"",IF(R451=2,"ROJO",IF(R451=1,"ÁMBAR","VERDE")))</f>
      </c>
      <c r="H451" s="26">
        <f>IF(NOT(ISNUMBER(S451)),"",IF(S451=2,"ROJO",IF(S451=1,"ÁMBAR","VERDE")))</f>
      </c>
      <c r="I451" s="26">
        <f>IF(NOT(ISNUMBER(T451)),"",IF(T451=2,"ROJO",IF(T451=1,"ÁMBAR","VERDE")))</f>
      </c>
      <c r="J451" s="26">
        <f>IF(NOT(ISNUMBER(O451)),"",IF(O451=2,"ROJO",IF(O451=1,"ÁMBAR","VERDE")))</f>
      </c>
      <c r="K451" s="26">
        <f>IFERROR(IF(AND(N451=1,LEN(TRIM('DATOS'!N451&amp;""))&gt;0),'DATOS'!N451,""),"Hay una entrada con error. Corregimos el dato antes de cerrar la comprobación.")</f>
      </c>
      <c r="L451" s="26">
        <f>IFERROR(IF(N451=0,"",IF(O451&gt;0,"Completamos datos, claves o motivo. ","")&amp;IF(P451&gt;0,"Cotejamos precios e importe. ","")&amp;IF(Q451&gt;0,"Aclaramos el cero. ","")&amp;IF(R451&gt;0,"Comprobamos el texto. ","")&amp;IF(S451&gt;0,"Revisamos decimales visibles. ","")&amp;IF(T451&gt;0,"Confirmamos la unidad.","")),"Hay una entrada con error. Corregimos el dato antes de cerrar la comprobación.")</f>
      </c>
      <c r="N451" s="29" t="n">
        <f>IF(COUNTA('DATOS'!B451:O451)&gt;0,1,0)</f>
        <v>0</v>
      </c>
      <c r="O451" s="29">
        <f>IFERROR(IF(N451=0,"",IF(OR(NOT(AND(LEN(TRIM('DATOS'!B451&amp;""))&gt;0,TRIM('DATOS'!B451&amp;"")&lt;&gt;"Pendiente",TRIM('DATOS'!B451&amp;"")&lt;&gt;"Por confirmar",TRIM('DATOS'!B451&amp;"")&lt;&gt;"No consta",TRIM('DATOS'!B451&amp;"")&lt;&gt;"Desconocido",TRIM('DATOS'!B451&amp;"")&lt;&gt;"Sin confirmar",TRIM('DATOS'!B451&amp;"")&lt;&gt;"Por decidir",TRIM('DATOS'!B451&amp;"")&lt;&gt;"Por comprobar")),NOT(AND(LEN(TRIM('DATOS'!C451&amp;""))&gt;0,TRIM('DATOS'!C451&amp;"")&lt;&gt;"Pendiente",TRIM('DATOS'!C451&amp;"")&lt;&gt;"Por confirmar",TRIM('DATOS'!C451&amp;"")&lt;&gt;"No consta",TRIM('DATOS'!C451&amp;"")&lt;&gt;"Desconocido",TRIM('DATOS'!C451&amp;"")&lt;&gt;"Sin confirmar",TRIM('DATOS'!C451&amp;"")&lt;&gt;"Por decidir",TRIM('DATOS'!C451&amp;"")&lt;&gt;"Por comprobar")),NOT(AND(LEN(TRIM('DATOS'!D451&amp;""))&gt;0,TRIM('DATOS'!D451&amp;"")&lt;&gt;"Pendiente",TRIM('DATOS'!D451&amp;"")&lt;&gt;"Por confirmar",TRIM('DATOS'!D451&amp;"")&lt;&gt;"No consta",TRIM('DATOS'!D451&amp;"")&lt;&gt;"Desconocido",TRIM('DATOS'!D451&amp;"")&lt;&gt;"Sin confirmar",TRIM('DATOS'!D451&amp;"")&lt;&gt;"Por decidir",TRIM('DATOS'!D451&amp;"")&lt;&gt;"Por comprobar")),NOT(AND(LEN(TRIM('DATOS'!E451&amp;""))&gt;0,TRIM('DATOS'!E451&amp;"")&lt;&gt;"Pendiente",TRIM('DATOS'!E451&amp;"")&lt;&gt;"Por confirmar",TRIM('DATOS'!E451&amp;"")&lt;&gt;"No consta",TRIM('DATOS'!E451&amp;"")&lt;&gt;"Desconocido",TRIM('DATOS'!E451&amp;"")&lt;&gt;"Sin confirmar",TRIM('DATOS'!E451&amp;"")&lt;&gt;"Por decidir",TRIM('DATOS'!E451&amp;"")&lt;&gt;"Por comprobar")),NOT(AND(LEN(TRIM('DATOS'!F451&amp;""))&gt;0,TRIM('DATOS'!F451&amp;"")&lt;&gt;"Pendiente",TRIM('DATOS'!F451&amp;"")&lt;&gt;"Por confirmar",TRIM('DATOS'!F451&amp;"")&lt;&gt;"No consta",TRIM('DATOS'!F451&amp;"")&lt;&gt;"Desconocido",TRIM('DATOS'!F451&amp;"")&lt;&gt;"Sin confirmar",TRIM('DATOS'!F451&amp;"")&lt;&gt;"Por decidir",TRIM('DATOS'!F451&amp;"")&lt;&gt;"Por comprobar")),NOT(AND(LEN(TRIM('DATOS'!N451&amp;""))&gt;0,TRIM('DATOS'!N451&amp;"")&lt;&gt;"Pendiente",TRIM('DATOS'!N451&amp;"")&lt;&gt;"Por confirmar",TRIM('DATOS'!N451&amp;"")&lt;&gt;"No consta",TRIM('DATOS'!N451&amp;"")&lt;&gt;"Desconocido",TRIM('DATOS'!N451&amp;"")&lt;&gt;"Sin confirmar",TRIM('DATOS'!N451&amp;"")&lt;&gt;"Por decidir",TRIM('DATOS'!N451&amp;"")&lt;&gt;"Por comprobar")),NOT(Y451=1),W451&lt;&gt;1,X451&gt;1,NOT(OR(LEN(TRIM('DATOS'!K451&amp;""))=0,'DATOS'!K451="Sin valorar",'DATOS'!K451="Sin coste documentado",'DATOS'!K451="Incluido en otra partida",'DATOS'!K451="Por confirmar")),NOT(OR(LEN(TRIM('DATOS'!M451&amp;""))=0,'DATOS'!M451="Sí",'DATOS'!M451="No",'DATOS'!M451="Por confirmar")),NOT(OR(LEN(TRIM('DATOS'!O451&amp;""))=0,'DATOS'!O451="Comparamos",'DATOS'!O451="No existe",'DATOS'!O451="Por confirmar"))),2,IF(AND(OR('DATOS'!G451&lt;0,'DATOS'!H451&lt;0,'DATOS'!J451&lt;0),NOT(AND(LEN(TRIM('DATOS'!L451&amp;""))&gt;0,TRIM('DATOS'!L451&amp;"")&lt;&gt;"Pendiente",TRIM('DATOS'!L451&amp;"")&lt;&gt;"Por confirmar",TRIM('DATOS'!L451&amp;"")&lt;&gt;"No consta",TRIM('DATOS'!L451&amp;"")&lt;&gt;"Desconocido",TRIM('DATOS'!L451&amp;"")&lt;&gt;"Sin confirmar",TRIM('DATOS'!L451&amp;"")&lt;&gt;"Por decidir",TRIM('DATOS'!L451&amp;"")&lt;&gt;"Por comprobar"))),1,0))),2)</f>
      </c>
      <c r="P451" s="29">
        <f>IFERROR(IF(N451=0,"",IF(NOT(Y451=1),1,IF('REFERENCIAS'!$Q$8&lt;&gt;1,2,IF(ABS('DATOS'!J451-ROUND('DATOS'!G451*'DATOS'!H451,'REFERENCIAS'!$K$8))&gt;0.00000001,2,IF('DATOS'!O451="No existe",IF(LEN(TRIM('DATOS'!I451&amp;""))=0,0,2),IF('DATOS'!O451="Comparamos",IF(LEN(TRIM('DATOS'!I451&amp;""))=0,1,IF(ISNUMBER('DATOS'!I451),IF(ABS('DATOS'!H451-'DATOS'!I451)&gt;0.00000001,2,0),2)),1)))))),2)</f>
      </c>
      <c r="Q451" s="29">
        <f>IFERROR(IF(N451=0,"",IF(NOT(Y451=1),1,IF('DATOS'!K451="Sin valorar",2,IF('DATOS'!G451=0,1,IF(OR('DATOS'!H451=0,'DATOS'!J451=0),IF(AND(OR('DATOS'!K451="Sin coste documentado",'DATOS'!K451="Incluido en otra partida"),AND(LEN(TRIM('DATOS'!L451&amp;""))&gt;0,TRIM('DATOS'!L451&amp;"")&lt;&gt;"Pendiente",TRIM('DATOS'!L451&amp;"")&lt;&gt;"Por confirmar",TRIM('DATOS'!L451&amp;"")&lt;&gt;"No consta",TRIM('DATOS'!L451&amp;"")&lt;&gt;"Desconocido",TRIM('DATOS'!L451&amp;"")&lt;&gt;"Sin confirmar",TRIM('DATOS'!L451&amp;"")&lt;&gt;"Por decidir",TRIM('DATOS'!L451&amp;"")&lt;&gt;"Por comprobar")),0,1),0))))),2)</f>
      </c>
      <c r="R451" s="29">
        <f>IFERROR(IF(N451=0,"",IF(OR(NOT(AND(LEN(TRIM('DATOS'!D451&amp;""))&gt;0,TRIM('DATOS'!D451&amp;"")&lt;&gt;"Pendiente",TRIM('DATOS'!D451&amp;"")&lt;&gt;"Por confirmar",TRIM('DATOS'!D451&amp;"")&lt;&gt;"No consta",TRIM('DATOS'!D451&amp;"")&lt;&gt;"Desconocido",TRIM('DATOS'!D451&amp;"")&lt;&gt;"Sin confirmar",TRIM('DATOS'!D451&amp;"")&lt;&gt;"Por decidir",TRIM('DATOS'!D451&amp;"")&lt;&gt;"Por comprobar")),NOT(AND(LEN(TRIM('DATOS'!E451&amp;""))&gt;0,TRIM('DATOS'!E451&amp;"")&lt;&gt;"Pendiente",TRIM('DATOS'!E451&amp;"")&lt;&gt;"Por confirmar",TRIM('DATOS'!E451&amp;"")&lt;&gt;"No consta",TRIM('DATOS'!E451&amp;"")&lt;&gt;"Desconocido",TRIM('DATOS'!E451&amp;"")&lt;&gt;"Sin confirmar",TRIM('DATOS'!E451&amp;"")&lt;&gt;"Por decidir",TRIM('DATOS'!E451&amp;"")&lt;&gt;"Por comprobar"))),2,IF('DATOS'!M451="No",2,IF('DATOS'!M451="Sí",0,IF(OR('DATOS'!D451&lt;&gt;'DATOS'!E451,LEN('DATOS'!E451)&gt;300,RIGHT(TRIM('DATOS'!E451),3)="...",RIGHT(TRIM('DATOS'!E451),1)="…"),1,0))))),2)</f>
      </c>
      <c r="S451" s="29">
        <f>IFERROR(IF(N451=0,"",IF('REFERENCIAS'!$Q$8&lt;&gt;1,2,IF(NOT(Y451=1),1,IF(OR(ABS('DATOS'!G451-ROUND('DATOS'!G451,'REFERENCIAS'!$E$8))&gt;0.00000001,ABS('DATOS'!H451-ROUND('DATOS'!H451,'REFERENCIAS'!$H$8))&gt;0.00000001,ABS('DATOS'!J451-ROUND('DATOS'!J451,'REFERENCIAS'!$K$8))&gt;0.00000001,IF(ISNUMBER('DATOS'!I451),ABS('DATOS'!I451-ROUND('DATOS'!I451,'REFERENCIAS'!$H$8))&gt;0.00000001,FALSE)),1,0)))),2)</f>
      </c>
      <c r="T451" s="29">
        <f>IFERROR(IF(N451=0,"",IF(NOT(AND(LEN(TRIM('DATOS'!F451&amp;""))&gt;0,TRIM('DATOS'!F451&amp;"")&lt;&gt;"Pendiente",TRIM('DATOS'!F451&amp;"")&lt;&gt;"Por confirmar",TRIM('DATOS'!F451&amp;"")&lt;&gt;"No consta",TRIM('DATOS'!F451&amp;"")&lt;&gt;"Desconocido",TRIM('DATOS'!F451&amp;"")&lt;&gt;"Sin confirmar",TRIM('DATOS'!F451&amp;"")&lt;&gt;"Por decidir",TRIM('DATOS'!F451&amp;"")&lt;&gt;"Por comprobar")),2,IF(COUNTIFS('REFERENCIAS'!$T$15:$T$34,"ID:"&amp;SUBSTITUTE(SUBSTITUTE(SUBSTITUTE(SUBSTITUTE(UPPER(TRIM('DATOS'!F451&amp;"")),"!","!E"),"*","!A"),"?","!B"),"~","!C"),'REFERENCIAS'!$H$15:$H$34,"&lt;&gt;")&gt;0,0,1))),2)</f>
      </c>
      <c r="U451" s="29" t="str">
        <f>'DATOS'!R451</f>
        <v>ID:</v>
      </c>
      <c r="V451" s="29" t="str">
        <f>'DATOS'!S451</f>
        <v>ID:</v>
      </c>
      <c r="W451" s="29" t="n">
        <f>IF(N451=0,0,COUNTIFS('REFERENCIAS'!$R$15:$R$64,U451))</f>
        <v>0</v>
      </c>
      <c r="X451" s="29" t="n">
        <f>IF(N451=0,0,COUNTIFS('DATOS'!$R$10:$R$509,U451,'DATOS'!$S$10:$S$509,V451))</f>
        <v>0</v>
      </c>
      <c r="Y451" s="29" t="n">
        <f>IF(AND(ISNUMBER('DATOS'!G451),ISNUMBER('DATOS'!H451),ISNUMBER('DATOS'!J451)),1,0)</f>
        <v>0</v>
      </c>
    </row>
    <row r="452" ht="64" customHeight="1">
      <c r="B452" s="26">
        <f>IF(N452=1,443,"")</f>
      </c>
      <c r="C452" s="26">
        <f>IF(AND(N452=1,LEN(TRIM('DATOS'!B452&amp;""))&gt;0),'DATOS'!B452,"")</f>
      </c>
      <c r="D452" s="26">
        <f>IF(AND(N452=1,LEN(TRIM('DATOS'!C452&amp;""))&gt;0),'DATOS'!C452,"")</f>
      </c>
      <c r="E452" s="26">
        <f>IF(NOT(ISNUMBER(P452)),"",IF(P452=2,"ROJO",IF(P452=1,"ÁMBAR","VERDE")))</f>
      </c>
      <c r="F452" s="26">
        <f>IF(NOT(ISNUMBER(Q452)),"",IF(Q452=2,"ROJO",IF(Q452=1,"ÁMBAR","VERDE")))</f>
      </c>
      <c r="G452" s="26">
        <f>IF(NOT(ISNUMBER(R452)),"",IF(R452=2,"ROJO",IF(R452=1,"ÁMBAR","VERDE")))</f>
      </c>
      <c r="H452" s="26">
        <f>IF(NOT(ISNUMBER(S452)),"",IF(S452=2,"ROJO",IF(S452=1,"ÁMBAR","VERDE")))</f>
      </c>
      <c r="I452" s="26">
        <f>IF(NOT(ISNUMBER(T452)),"",IF(T452=2,"ROJO",IF(T452=1,"ÁMBAR","VERDE")))</f>
      </c>
      <c r="J452" s="26">
        <f>IF(NOT(ISNUMBER(O452)),"",IF(O452=2,"ROJO",IF(O452=1,"ÁMBAR","VERDE")))</f>
      </c>
      <c r="K452" s="26">
        <f>IFERROR(IF(AND(N452=1,LEN(TRIM('DATOS'!N452&amp;""))&gt;0),'DATOS'!N452,""),"Hay una entrada con error. Corregimos el dato antes de cerrar la comprobación.")</f>
      </c>
      <c r="L452" s="26">
        <f>IFERROR(IF(N452=0,"",IF(O452&gt;0,"Completamos datos, claves o motivo. ","")&amp;IF(P452&gt;0,"Cotejamos precios e importe. ","")&amp;IF(Q452&gt;0,"Aclaramos el cero. ","")&amp;IF(R452&gt;0,"Comprobamos el texto. ","")&amp;IF(S452&gt;0,"Revisamos decimales visibles. ","")&amp;IF(T452&gt;0,"Confirmamos la unidad.","")),"Hay una entrada con error. Corregimos el dato antes de cerrar la comprobación.")</f>
      </c>
      <c r="N452" s="29" t="n">
        <f>IF(COUNTA('DATOS'!B452:O452)&gt;0,1,0)</f>
        <v>0</v>
      </c>
      <c r="O452" s="29">
        <f>IFERROR(IF(N452=0,"",IF(OR(NOT(AND(LEN(TRIM('DATOS'!B452&amp;""))&gt;0,TRIM('DATOS'!B452&amp;"")&lt;&gt;"Pendiente",TRIM('DATOS'!B452&amp;"")&lt;&gt;"Por confirmar",TRIM('DATOS'!B452&amp;"")&lt;&gt;"No consta",TRIM('DATOS'!B452&amp;"")&lt;&gt;"Desconocido",TRIM('DATOS'!B452&amp;"")&lt;&gt;"Sin confirmar",TRIM('DATOS'!B452&amp;"")&lt;&gt;"Por decidir",TRIM('DATOS'!B452&amp;"")&lt;&gt;"Por comprobar")),NOT(AND(LEN(TRIM('DATOS'!C452&amp;""))&gt;0,TRIM('DATOS'!C452&amp;"")&lt;&gt;"Pendiente",TRIM('DATOS'!C452&amp;"")&lt;&gt;"Por confirmar",TRIM('DATOS'!C452&amp;"")&lt;&gt;"No consta",TRIM('DATOS'!C452&amp;"")&lt;&gt;"Desconocido",TRIM('DATOS'!C452&amp;"")&lt;&gt;"Sin confirmar",TRIM('DATOS'!C452&amp;"")&lt;&gt;"Por decidir",TRIM('DATOS'!C452&amp;"")&lt;&gt;"Por comprobar")),NOT(AND(LEN(TRIM('DATOS'!D452&amp;""))&gt;0,TRIM('DATOS'!D452&amp;"")&lt;&gt;"Pendiente",TRIM('DATOS'!D452&amp;"")&lt;&gt;"Por confirmar",TRIM('DATOS'!D452&amp;"")&lt;&gt;"No consta",TRIM('DATOS'!D452&amp;"")&lt;&gt;"Desconocido",TRIM('DATOS'!D452&amp;"")&lt;&gt;"Sin confirmar",TRIM('DATOS'!D452&amp;"")&lt;&gt;"Por decidir",TRIM('DATOS'!D452&amp;"")&lt;&gt;"Por comprobar")),NOT(AND(LEN(TRIM('DATOS'!E452&amp;""))&gt;0,TRIM('DATOS'!E452&amp;"")&lt;&gt;"Pendiente",TRIM('DATOS'!E452&amp;"")&lt;&gt;"Por confirmar",TRIM('DATOS'!E452&amp;"")&lt;&gt;"No consta",TRIM('DATOS'!E452&amp;"")&lt;&gt;"Desconocido",TRIM('DATOS'!E452&amp;"")&lt;&gt;"Sin confirmar",TRIM('DATOS'!E452&amp;"")&lt;&gt;"Por decidir",TRIM('DATOS'!E452&amp;"")&lt;&gt;"Por comprobar")),NOT(AND(LEN(TRIM('DATOS'!F452&amp;""))&gt;0,TRIM('DATOS'!F452&amp;"")&lt;&gt;"Pendiente",TRIM('DATOS'!F452&amp;"")&lt;&gt;"Por confirmar",TRIM('DATOS'!F452&amp;"")&lt;&gt;"No consta",TRIM('DATOS'!F452&amp;"")&lt;&gt;"Desconocido",TRIM('DATOS'!F452&amp;"")&lt;&gt;"Sin confirmar",TRIM('DATOS'!F452&amp;"")&lt;&gt;"Por decidir",TRIM('DATOS'!F452&amp;"")&lt;&gt;"Por comprobar")),NOT(AND(LEN(TRIM('DATOS'!N452&amp;""))&gt;0,TRIM('DATOS'!N452&amp;"")&lt;&gt;"Pendiente",TRIM('DATOS'!N452&amp;"")&lt;&gt;"Por confirmar",TRIM('DATOS'!N452&amp;"")&lt;&gt;"No consta",TRIM('DATOS'!N452&amp;"")&lt;&gt;"Desconocido",TRIM('DATOS'!N452&amp;"")&lt;&gt;"Sin confirmar",TRIM('DATOS'!N452&amp;"")&lt;&gt;"Por decidir",TRIM('DATOS'!N452&amp;"")&lt;&gt;"Por comprobar")),NOT(Y452=1),W452&lt;&gt;1,X452&gt;1,NOT(OR(LEN(TRIM('DATOS'!K452&amp;""))=0,'DATOS'!K452="Sin valorar",'DATOS'!K452="Sin coste documentado",'DATOS'!K452="Incluido en otra partida",'DATOS'!K452="Por confirmar")),NOT(OR(LEN(TRIM('DATOS'!M452&amp;""))=0,'DATOS'!M452="Sí",'DATOS'!M452="No",'DATOS'!M452="Por confirmar")),NOT(OR(LEN(TRIM('DATOS'!O452&amp;""))=0,'DATOS'!O452="Comparamos",'DATOS'!O452="No existe",'DATOS'!O452="Por confirmar"))),2,IF(AND(OR('DATOS'!G452&lt;0,'DATOS'!H452&lt;0,'DATOS'!J452&lt;0),NOT(AND(LEN(TRIM('DATOS'!L452&amp;""))&gt;0,TRIM('DATOS'!L452&amp;"")&lt;&gt;"Pendiente",TRIM('DATOS'!L452&amp;"")&lt;&gt;"Por confirmar",TRIM('DATOS'!L452&amp;"")&lt;&gt;"No consta",TRIM('DATOS'!L452&amp;"")&lt;&gt;"Desconocido",TRIM('DATOS'!L452&amp;"")&lt;&gt;"Sin confirmar",TRIM('DATOS'!L452&amp;"")&lt;&gt;"Por decidir",TRIM('DATOS'!L452&amp;"")&lt;&gt;"Por comprobar"))),1,0))),2)</f>
      </c>
      <c r="P452" s="29">
        <f>IFERROR(IF(N452=0,"",IF(NOT(Y452=1),1,IF('REFERENCIAS'!$Q$8&lt;&gt;1,2,IF(ABS('DATOS'!J452-ROUND('DATOS'!G452*'DATOS'!H452,'REFERENCIAS'!$K$8))&gt;0.00000001,2,IF('DATOS'!O452="No existe",IF(LEN(TRIM('DATOS'!I452&amp;""))=0,0,2),IF('DATOS'!O452="Comparamos",IF(LEN(TRIM('DATOS'!I452&amp;""))=0,1,IF(ISNUMBER('DATOS'!I452),IF(ABS('DATOS'!H452-'DATOS'!I452)&gt;0.00000001,2,0),2)),1)))))),2)</f>
      </c>
      <c r="Q452" s="29">
        <f>IFERROR(IF(N452=0,"",IF(NOT(Y452=1),1,IF('DATOS'!K452="Sin valorar",2,IF('DATOS'!G452=0,1,IF(OR('DATOS'!H452=0,'DATOS'!J452=0),IF(AND(OR('DATOS'!K452="Sin coste documentado",'DATOS'!K452="Incluido en otra partida"),AND(LEN(TRIM('DATOS'!L452&amp;""))&gt;0,TRIM('DATOS'!L452&amp;"")&lt;&gt;"Pendiente",TRIM('DATOS'!L452&amp;"")&lt;&gt;"Por confirmar",TRIM('DATOS'!L452&amp;"")&lt;&gt;"No consta",TRIM('DATOS'!L452&amp;"")&lt;&gt;"Desconocido",TRIM('DATOS'!L452&amp;"")&lt;&gt;"Sin confirmar",TRIM('DATOS'!L452&amp;"")&lt;&gt;"Por decidir",TRIM('DATOS'!L452&amp;"")&lt;&gt;"Por comprobar")),0,1),0))))),2)</f>
      </c>
      <c r="R452" s="29">
        <f>IFERROR(IF(N452=0,"",IF(OR(NOT(AND(LEN(TRIM('DATOS'!D452&amp;""))&gt;0,TRIM('DATOS'!D452&amp;"")&lt;&gt;"Pendiente",TRIM('DATOS'!D452&amp;"")&lt;&gt;"Por confirmar",TRIM('DATOS'!D452&amp;"")&lt;&gt;"No consta",TRIM('DATOS'!D452&amp;"")&lt;&gt;"Desconocido",TRIM('DATOS'!D452&amp;"")&lt;&gt;"Sin confirmar",TRIM('DATOS'!D452&amp;"")&lt;&gt;"Por decidir",TRIM('DATOS'!D452&amp;"")&lt;&gt;"Por comprobar")),NOT(AND(LEN(TRIM('DATOS'!E452&amp;""))&gt;0,TRIM('DATOS'!E452&amp;"")&lt;&gt;"Pendiente",TRIM('DATOS'!E452&amp;"")&lt;&gt;"Por confirmar",TRIM('DATOS'!E452&amp;"")&lt;&gt;"No consta",TRIM('DATOS'!E452&amp;"")&lt;&gt;"Desconocido",TRIM('DATOS'!E452&amp;"")&lt;&gt;"Sin confirmar",TRIM('DATOS'!E452&amp;"")&lt;&gt;"Por decidir",TRIM('DATOS'!E452&amp;"")&lt;&gt;"Por comprobar"))),2,IF('DATOS'!M452="No",2,IF('DATOS'!M452="Sí",0,IF(OR('DATOS'!D452&lt;&gt;'DATOS'!E452,LEN('DATOS'!E452)&gt;300,RIGHT(TRIM('DATOS'!E452),3)="...",RIGHT(TRIM('DATOS'!E452),1)="…"),1,0))))),2)</f>
      </c>
      <c r="S452" s="29">
        <f>IFERROR(IF(N452=0,"",IF('REFERENCIAS'!$Q$8&lt;&gt;1,2,IF(NOT(Y452=1),1,IF(OR(ABS('DATOS'!G452-ROUND('DATOS'!G452,'REFERENCIAS'!$E$8))&gt;0.00000001,ABS('DATOS'!H452-ROUND('DATOS'!H452,'REFERENCIAS'!$H$8))&gt;0.00000001,ABS('DATOS'!J452-ROUND('DATOS'!J452,'REFERENCIAS'!$K$8))&gt;0.00000001,IF(ISNUMBER('DATOS'!I452),ABS('DATOS'!I452-ROUND('DATOS'!I452,'REFERENCIAS'!$H$8))&gt;0.00000001,FALSE)),1,0)))),2)</f>
      </c>
      <c r="T452" s="29">
        <f>IFERROR(IF(N452=0,"",IF(NOT(AND(LEN(TRIM('DATOS'!F452&amp;""))&gt;0,TRIM('DATOS'!F452&amp;"")&lt;&gt;"Pendiente",TRIM('DATOS'!F452&amp;"")&lt;&gt;"Por confirmar",TRIM('DATOS'!F452&amp;"")&lt;&gt;"No consta",TRIM('DATOS'!F452&amp;"")&lt;&gt;"Desconocido",TRIM('DATOS'!F452&amp;"")&lt;&gt;"Sin confirmar",TRIM('DATOS'!F452&amp;"")&lt;&gt;"Por decidir",TRIM('DATOS'!F452&amp;"")&lt;&gt;"Por comprobar")),2,IF(COUNTIFS('REFERENCIAS'!$T$15:$T$34,"ID:"&amp;SUBSTITUTE(SUBSTITUTE(SUBSTITUTE(SUBSTITUTE(UPPER(TRIM('DATOS'!F452&amp;"")),"!","!E"),"*","!A"),"?","!B"),"~","!C"),'REFERENCIAS'!$H$15:$H$34,"&lt;&gt;")&gt;0,0,1))),2)</f>
      </c>
      <c r="U452" s="29" t="str">
        <f>'DATOS'!R452</f>
        <v>ID:</v>
      </c>
      <c r="V452" s="29" t="str">
        <f>'DATOS'!S452</f>
        <v>ID:</v>
      </c>
      <c r="W452" s="29" t="n">
        <f>IF(N452=0,0,COUNTIFS('REFERENCIAS'!$R$15:$R$64,U452))</f>
        <v>0</v>
      </c>
      <c r="X452" s="29" t="n">
        <f>IF(N452=0,0,COUNTIFS('DATOS'!$R$10:$R$509,U452,'DATOS'!$S$10:$S$509,V452))</f>
        <v>0</v>
      </c>
      <c r="Y452" s="29" t="n">
        <f>IF(AND(ISNUMBER('DATOS'!G452),ISNUMBER('DATOS'!H452),ISNUMBER('DATOS'!J452)),1,0)</f>
        <v>0</v>
      </c>
    </row>
    <row r="453" ht="64" customHeight="1">
      <c r="B453" s="26">
        <f>IF(N453=1,444,"")</f>
      </c>
      <c r="C453" s="26">
        <f>IF(AND(N453=1,LEN(TRIM('DATOS'!B453&amp;""))&gt;0),'DATOS'!B453,"")</f>
      </c>
      <c r="D453" s="26">
        <f>IF(AND(N453=1,LEN(TRIM('DATOS'!C453&amp;""))&gt;0),'DATOS'!C453,"")</f>
      </c>
      <c r="E453" s="26">
        <f>IF(NOT(ISNUMBER(P453)),"",IF(P453=2,"ROJO",IF(P453=1,"ÁMBAR","VERDE")))</f>
      </c>
      <c r="F453" s="26">
        <f>IF(NOT(ISNUMBER(Q453)),"",IF(Q453=2,"ROJO",IF(Q453=1,"ÁMBAR","VERDE")))</f>
      </c>
      <c r="G453" s="26">
        <f>IF(NOT(ISNUMBER(R453)),"",IF(R453=2,"ROJO",IF(R453=1,"ÁMBAR","VERDE")))</f>
      </c>
      <c r="H453" s="26">
        <f>IF(NOT(ISNUMBER(S453)),"",IF(S453=2,"ROJO",IF(S453=1,"ÁMBAR","VERDE")))</f>
      </c>
      <c r="I453" s="26">
        <f>IF(NOT(ISNUMBER(T453)),"",IF(T453=2,"ROJO",IF(T453=1,"ÁMBAR","VERDE")))</f>
      </c>
      <c r="J453" s="26">
        <f>IF(NOT(ISNUMBER(O453)),"",IF(O453=2,"ROJO",IF(O453=1,"ÁMBAR","VERDE")))</f>
      </c>
      <c r="K453" s="26">
        <f>IFERROR(IF(AND(N453=1,LEN(TRIM('DATOS'!N453&amp;""))&gt;0),'DATOS'!N453,""),"Hay una entrada con error. Corregimos el dato antes de cerrar la comprobación.")</f>
      </c>
      <c r="L453" s="26">
        <f>IFERROR(IF(N453=0,"",IF(O453&gt;0,"Completamos datos, claves o motivo. ","")&amp;IF(P453&gt;0,"Cotejamos precios e importe. ","")&amp;IF(Q453&gt;0,"Aclaramos el cero. ","")&amp;IF(R453&gt;0,"Comprobamos el texto. ","")&amp;IF(S453&gt;0,"Revisamos decimales visibles. ","")&amp;IF(T453&gt;0,"Confirmamos la unidad.","")),"Hay una entrada con error. Corregimos el dato antes de cerrar la comprobación.")</f>
      </c>
      <c r="N453" s="29" t="n">
        <f>IF(COUNTA('DATOS'!B453:O453)&gt;0,1,0)</f>
        <v>0</v>
      </c>
      <c r="O453" s="29">
        <f>IFERROR(IF(N453=0,"",IF(OR(NOT(AND(LEN(TRIM('DATOS'!B453&amp;""))&gt;0,TRIM('DATOS'!B453&amp;"")&lt;&gt;"Pendiente",TRIM('DATOS'!B453&amp;"")&lt;&gt;"Por confirmar",TRIM('DATOS'!B453&amp;"")&lt;&gt;"No consta",TRIM('DATOS'!B453&amp;"")&lt;&gt;"Desconocido",TRIM('DATOS'!B453&amp;"")&lt;&gt;"Sin confirmar",TRIM('DATOS'!B453&amp;"")&lt;&gt;"Por decidir",TRIM('DATOS'!B453&amp;"")&lt;&gt;"Por comprobar")),NOT(AND(LEN(TRIM('DATOS'!C453&amp;""))&gt;0,TRIM('DATOS'!C453&amp;"")&lt;&gt;"Pendiente",TRIM('DATOS'!C453&amp;"")&lt;&gt;"Por confirmar",TRIM('DATOS'!C453&amp;"")&lt;&gt;"No consta",TRIM('DATOS'!C453&amp;"")&lt;&gt;"Desconocido",TRIM('DATOS'!C453&amp;"")&lt;&gt;"Sin confirmar",TRIM('DATOS'!C453&amp;"")&lt;&gt;"Por decidir",TRIM('DATOS'!C453&amp;"")&lt;&gt;"Por comprobar")),NOT(AND(LEN(TRIM('DATOS'!D453&amp;""))&gt;0,TRIM('DATOS'!D453&amp;"")&lt;&gt;"Pendiente",TRIM('DATOS'!D453&amp;"")&lt;&gt;"Por confirmar",TRIM('DATOS'!D453&amp;"")&lt;&gt;"No consta",TRIM('DATOS'!D453&amp;"")&lt;&gt;"Desconocido",TRIM('DATOS'!D453&amp;"")&lt;&gt;"Sin confirmar",TRIM('DATOS'!D453&amp;"")&lt;&gt;"Por decidir",TRIM('DATOS'!D453&amp;"")&lt;&gt;"Por comprobar")),NOT(AND(LEN(TRIM('DATOS'!E453&amp;""))&gt;0,TRIM('DATOS'!E453&amp;"")&lt;&gt;"Pendiente",TRIM('DATOS'!E453&amp;"")&lt;&gt;"Por confirmar",TRIM('DATOS'!E453&amp;"")&lt;&gt;"No consta",TRIM('DATOS'!E453&amp;"")&lt;&gt;"Desconocido",TRIM('DATOS'!E453&amp;"")&lt;&gt;"Sin confirmar",TRIM('DATOS'!E453&amp;"")&lt;&gt;"Por decidir",TRIM('DATOS'!E453&amp;"")&lt;&gt;"Por comprobar")),NOT(AND(LEN(TRIM('DATOS'!F453&amp;""))&gt;0,TRIM('DATOS'!F453&amp;"")&lt;&gt;"Pendiente",TRIM('DATOS'!F453&amp;"")&lt;&gt;"Por confirmar",TRIM('DATOS'!F453&amp;"")&lt;&gt;"No consta",TRIM('DATOS'!F453&amp;"")&lt;&gt;"Desconocido",TRIM('DATOS'!F453&amp;"")&lt;&gt;"Sin confirmar",TRIM('DATOS'!F453&amp;"")&lt;&gt;"Por decidir",TRIM('DATOS'!F453&amp;"")&lt;&gt;"Por comprobar")),NOT(AND(LEN(TRIM('DATOS'!N453&amp;""))&gt;0,TRIM('DATOS'!N453&amp;"")&lt;&gt;"Pendiente",TRIM('DATOS'!N453&amp;"")&lt;&gt;"Por confirmar",TRIM('DATOS'!N453&amp;"")&lt;&gt;"No consta",TRIM('DATOS'!N453&amp;"")&lt;&gt;"Desconocido",TRIM('DATOS'!N453&amp;"")&lt;&gt;"Sin confirmar",TRIM('DATOS'!N453&amp;"")&lt;&gt;"Por decidir",TRIM('DATOS'!N453&amp;"")&lt;&gt;"Por comprobar")),NOT(Y453=1),W453&lt;&gt;1,X453&gt;1,NOT(OR(LEN(TRIM('DATOS'!K453&amp;""))=0,'DATOS'!K453="Sin valorar",'DATOS'!K453="Sin coste documentado",'DATOS'!K453="Incluido en otra partida",'DATOS'!K453="Por confirmar")),NOT(OR(LEN(TRIM('DATOS'!M453&amp;""))=0,'DATOS'!M453="Sí",'DATOS'!M453="No",'DATOS'!M453="Por confirmar")),NOT(OR(LEN(TRIM('DATOS'!O453&amp;""))=0,'DATOS'!O453="Comparamos",'DATOS'!O453="No existe",'DATOS'!O453="Por confirmar"))),2,IF(AND(OR('DATOS'!G453&lt;0,'DATOS'!H453&lt;0,'DATOS'!J453&lt;0),NOT(AND(LEN(TRIM('DATOS'!L453&amp;""))&gt;0,TRIM('DATOS'!L453&amp;"")&lt;&gt;"Pendiente",TRIM('DATOS'!L453&amp;"")&lt;&gt;"Por confirmar",TRIM('DATOS'!L453&amp;"")&lt;&gt;"No consta",TRIM('DATOS'!L453&amp;"")&lt;&gt;"Desconocido",TRIM('DATOS'!L453&amp;"")&lt;&gt;"Sin confirmar",TRIM('DATOS'!L453&amp;"")&lt;&gt;"Por decidir",TRIM('DATOS'!L453&amp;"")&lt;&gt;"Por comprobar"))),1,0))),2)</f>
      </c>
      <c r="P453" s="29">
        <f>IFERROR(IF(N453=0,"",IF(NOT(Y453=1),1,IF('REFERENCIAS'!$Q$8&lt;&gt;1,2,IF(ABS('DATOS'!J453-ROUND('DATOS'!G453*'DATOS'!H453,'REFERENCIAS'!$K$8))&gt;0.00000001,2,IF('DATOS'!O453="No existe",IF(LEN(TRIM('DATOS'!I453&amp;""))=0,0,2),IF('DATOS'!O453="Comparamos",IF(LEN(TRIM('DATOS'!I453&amp;""))=0,1,IF(ISNUMBER('DATOS'!I453),IF(ABS('DATOS'!H453-'DATOS'!I453)&gt;0.00000001,2,0),2)),1)))))),2)</f>
      </c>
      <c r="Q453" s="29">
        <f>IFERROR(IF(N453=0,"",IF(NOT(Y453=1),1,IF('DATOS'!K453="Sin valorar",2,IF('DATOS'!G453=0,1,IF(OR('DATOS'!H453=0,'DATOS'!J453=0),IF(AND(OR('DATOS'!K453="Sin coste documentado",'DATOS'!K453="Incluido en otra partida"),AND(LEN(TRIM('DATOS'!L453&amp;""))&gt;0,TRIM('DATOS'!L453&amp;"")&lt;&gt;"Pendiente",TRIM('DATOS'!L453&amp;"")&lt;&gt;"Por confirmar",TRIM('DATOS'!L453&amp;"")&lt;&gt;"No consta",TRIM('DATOS'!L453&amp;"")&lt;&gt;"Desconocido",TRIM('DATOS'!L453&amp;"")&lt;&gt;"Sin confirmar",TRIM('DATOS'!L453&amp;"")&lt;&gt;"Por decidir",TRIM('DATOS'!L453&amp;"")&lt;&gt;"Por comprobar")),0,1),0))))),2)</f>
      </c>
      <c r="R453" s="29">
        <f>IFERROR(IF(N453=0,"",IF(OR(NOT(AND(LEN(TRIM('DATOS'!D453&amp;""))&gt;0,TRIM('DATOS'!D453&amp;"")&lt;&gt;"Pendiente",TRIM('DATOS'!D453&amp;"")&lt;&gt;"Por confirmar",TRIM('DATOS'!D453&amp;"")&lt;&gt;"No consta",TRIM('DATOS'!D453&amp;"")&lt;&gt;"Desconocido",TRIM('DATOS'!D453&amp;"")&lt;&gt;"Sin confirmar",TRIM('DATOS'!D453&amp;"")&lt;&gt;"Por decidir",TRIM('DATOS'!D453&amp;"")&lt;&gt;"Por comprobar")),NOT(AND(LEN(TRIM('DATOS'!E453&amp;""))&gt;0,TRIM('DATOS'!E453&amp;"")&lt;&gt;"Pendiente",TRIM('DATOS'!E453&amp;"")&lt;&gt;"Por confirmar",TRIM('DATOS'!E453&amp;"")&lt;&gt;"No consta",TRIM('DATOS'!E453&amp;"")&lt;&gt;"Desconocido",TRIM('DATOS'!E453&amp;"")&lt;&gt;"Sin confirmar",TRIM('DATOS'!E453&amp;"")&lt;&gt;"Por decidir",TRIM('DATOS'!E453&amp;"")&lt;&gt;"Por comprobar"))),2,IF('DATOS'!M453="No",2,IF('DATOS'!M453="Sí",0,IF(OR('DATOS'!D453&lt;&gt;'DATOS'!E453,LEN('DATOS'!E453)&gt;300,RIGHT(TRIM('DATOS'!E453),3)="...",RIGHT(TRIM('DATOS'!E453),1)="…"),1,0))))),2)</f>
      </c>
      <c r="S453" s="29">
        <f>IFERROR(IF(N453=0,"",IF('REFERENCIAS'!$Q$8&lt;&gt;1,2,IF(NOT(Y453=1),1,IF(OR(ABS('DATOS'!G453-ROUND('DATOS'!G453,'REFERENCIAS'!$E$8))&gt;0.00000001,ABS('DATOS'!H453-ROUND('DATOS'!H453,'REFERENCIAS'!$H$8))&gt;0.00000001,ABS('DATOS'!J453-ROUND('DATOS'!J453,'REFERENCIAS'!$K$8))&gt;0.00000001,IF(ISNUMBER('DATOS'!I453),ABS('DATOS'!I453-ROUND('DATOS'!I453,'REFERENCIAS'!$H$8))&gt;0.00000001,FALSE)),1,0)))),2)</f>
      </c>
      <c r="T453" s="29">
        <f>IFERROR(IF(N453=0,"",IF(NOT(AND(LEN(TRIM('DATOS'!F453&amp;""))&gt;0,TRIM('DATOS'!F453&amp;"")&lt;&gt;"Pendiente",TRIM('DATOS'!F453&amp;"")&lt;&gt;"Por confirmar",TRIM('DATOS'!F453&amp;"")&lt;&gt;"No consta",TRIM('DATOS'!F453&amp;"")&lt;&gt;"Desconocido",TRIM('DATOS'!F453&amp;"")&lt;&gt;"Sin confirmar",TRIM('DATOS'!F453&amp;"")&lt;&gt;"Por decidir",TRIM('DATOS'!F453&amp;"")&lt;&gt;"Por comprobar")),2,IF(COUNTIFS('REFERENCIAS'!$T$15:$T$34,"ID:"&amp;SUBSTITUTE(SUBSTITUTE(SUBSTITUTE(SUBSTITUTE(UPPER(TRIM('DATOS'!F453&amp;"")),"!","!E"),"*","!A"),"?","!B"),"~","!C"),'REFERENCIAS'!$H$15:$H$34,"&lt;&gt;")&gt;0,0,1))),2)</f>
      </c>
      <c r="U453" s="29" t="str">
        <f>'DATOS'!R453</f>
        <v>ID:</v>
      </c>
      <c r="V453" s="29" t="str">
        <f>'DATOS'!S453</f>
        <v>ID:</v>
      </c>
      <c r="W453" s="29" t="n">
        <f>IF(N453=0,0,COUNTIFS('REFERENCIAS'!$R$15:$R$64,U453))</f>
        <v>0</v>
      </c>
      <c r="X453" s="29" t="n">
        <f>IF(N453=0,0,COUNTIFS('DATOS'!$R$10:$R$509,U453,'DATOS'!$S$10:$S$509,V453))</f>
        <v>0</v>
      </c>
      <c r="Y453" s="29" t="n">
        <f>IF(AND(ISNUMBER('DATOS'!G453),ISNUMBER('DATOS'!H453),ISNUMBER('DATOS'!J453)),1,0)</f>
        <v>0</v>
      </c>
    </row>
    <row r="454" ht="64" customHeight="1">
      <c r="B454" s="26">
        <f>IF(N454=1,445,"")</f>
      </c>
      <c r="C454" s="26">
        <f>IF(AND(N454=1,LEN(TRIM('DATOS'!B454&amp;""))&gt;0),'DATOS'!B454,"")</f>
      </c>
      <c r="D454" s="26">
        <f>IF(AND(N454=1,LEN(TRIM('DATOS'!C454&amp;""))&gt;0),'DATOS'!C454,"")</f>
      </c>
      <c r="E454" s="26">
        <f>IF(NOT(ISNUMBER(P454)),"",IF(P454=2,"ROJO",IF(P454=1,"ÁMBAR","VERDE")))</f>
      </c>
      <c r="F454" s="26">
        <f>IF(NOT(ISNUMBER(Q454)),"",IF(Q454=2,"ROJO",IF(Q454=1,"ÁMBAR","VERDE")))</f>
      </c>
      <c r="G454" s="26">
        <f>IF(NOT(ISNUMBER(R454)),"",IF(R454=2,"ROJO",IF(R454=1,"ÁMBAR","VERDE")))</f>
      </c>
      <c r="H454" s="26">
        <f>IF(NOT(ISNUMBER(S454)),"",IF(S454=2,"ROJO",IF(S454=1,"ÁMBAR","VERDE")))</f>
      </c>
      <c r="I454" s="26">
        <f>IF(NOT(ISNUMBER(T454)),"",IF(T454=2,"ROJO",IF(T454=1,"ÁMBAR","VERDE")))</f>
      </c>
      <c r="J454" s="26">
        <f>IF(NOT(ISNUMBER(O454)),"",IF(O454=2,"ROJO",IF(O454=1,"ÁMBAR","VERDE")))</f>
      </c>
      <c r="K454" s="26">
        <f>IFERROR(IF(AND(N454=1,LEN(TRIM('DATOS'!N454&amp;""))&gt;0),'DATOS'!N454,""),"Hay una entrada con error. Corregimos el dato antes de cerrar la comprobación.")</f>
      </c>
      <c r="L454" s="26">
        <f>IFERROR(IF(N454=0,"",IF(O454&gt;0,"Completamos datos, claves o motivo. ","")&amp;IF(P454&gt;0,"Cotejamos precios e importe. ","")&amp;IF(Q454&gt;0,"Aclaramos el cero. ","")&amp;IF(R454&gt;0,"Comprobamos el texto. ","")&amp;IF(S454&gt;0,"Revisamos decimales visibles. ","")&amp;IF(T454&gt;0,"Confirmamos la unidad.","")),"Hay una entrada con error. Corregimos el dato antes de cerrar la comprobación.")</f>
      </c>
      <c r="N454" s="29" t="n">
        <f>IF(COUNTA('DATOS'!B454:O454)&gt;0,1,0)</f>
        <v>0</v>
      </c>
      <c r="O454" s="29">
        <f>IFERROR(IF(N454=0,"",IF(OR(NOT(AND(LEN(TRIM('DATOS'!B454&amp;""))&gt;0,TRIM('DATOS'!B454&amp;"")&lt;&gt;"Pendiente",TRIM('DATOS'!B454&amp;"")&lt;&gt;"Por confirmar",TRIM('DATOS'!B454&amp;"")&lt;&gt;"No consta",TRIM('DATOS'!B454&amp;"")&lt;&gt;"Desconocido",TRIM('DATOS'!B454&amp;"")&lt;&gt;"Sin confirmar",TRIM('DATOS'!B454&amp;"")&lt;&gt;"Por decidir",TRIM('DATOS'!B454&amp;"")&lt;&gt;"Por comprobar")),NOT(AND(LEN(TRIM('DATOS'!C454&amp;""))&gt;0,TRIM('DATOS'!C454&amp;"")&lt;&gt;"Pendiente",TRIM('DATOS'!C454&amp;"")&lt;&gt;"Por confirmar",TRIM('DATOS'!C454&amp;"")&lt;&gt;"No consta",TRIM('DATOS'!C454&amp;"")&lt;&gt;"Desconocido",TRIM('DATOS'!C454&amp;"")&lt;&gt;"Sin confirmar",TRIM('DATOS'!C454&amp;"")&lt;&gt;"Por decidir",TRIM('DATOS'!C454&amp;"")&lt;&gt;"Por comprobar")),NOT(AND(LEN(TRIM('DATOS'!D454&amp;""))&gt;0,TRIM('DATOS'!D454&amp;"")&lt;&gt;"Pendiente",TRIM('DATOS'!D454&amp;"")&lt;&gt;"Por confirmar",TRIM('DATOS'!D454&amp;"")&lt;&gt;"No consta",TRIM('DATOS'!D454&amp;"")&lt;&gt;"Desconocido",TRIM('DATOS'!D454&amp;"")&lt;&gt;"Sin confirmar",TRIM('DATOS'!D454&amp;"")&lt;&gt;"Por decidir",TRIM('DATOS'!D454&amp;"")&lt;&gt;"Por comprobar")),NOT(AND(LEN(TRIM('DATOS'!E454&amp;""))&gt;0,TRIM('DATOS'!E454&amp;"")&lt;&gt;"Pendiente",TRIM('DATOS'!E454&amp;"")&lt;&gt;"Por confirmar",TRIM('DATOS'!E454&amp;"")&lt;&gt;"No consta",TRIM('DATOS'!E454&amp;"")&lt;&gt;"Desconocido",TRIM('DATOS'!E454&amp;"")&lt;&gt;"Sin confirmar",TRIM('DATOS'!E454&amp;"")&lt;&gt;"Por decidir",TRIM('DATOS'!E454&amp;"")&lt;&gt;"Por comprobar")),NOT(AND(LEN(TRIM('DATOS'!F454&amp;""))&gt;0,TRIM('DATOS'!F454&amp;"")&lt;&gt;"Pendiente",TRIM('DATOS'!F454&amp;"")&lt;&gt;"Por confirmar",TRIM('DATOS'!F454&amp;"")&lt;&gt;"No consta",TRIM('DATOS'!F454&amp;"")&lt;&gt;"Desconocido",TRIM('DATOS'!F454&amp;"")&lt;&gt;"Sin confirmar",TRIM('DATOS'!F454&amp;"")&lt;&gt;"Por decidir",TRIM('DATOS'!F454&amp;"")&lt;&gt;"Por comprobar")),NOT(AND(LEN(TRIM('DATOS'!N454&amp;""))&gt;0,TRIM('DATOS'!N454&amp;"")&lt;&gt;"Pendiente",TRIM('DATOS'!N454&amp;"")&lt;&gt;"Por confirmar",TRIM('DATOS'!N454&amp;"")&lt;&gt;"No consta",TRIM('DATOS'!N454&amp;"")&lt;&gt;"Desconocido",TRIM('DATOS'!N454&amp;"")&lt;&gt;"Sin confirmar",TRIM('DATOS'!N454&amp;"")&lt;&gt;"Por decidir",TRIM('DATOS'!N454&amp;"")&lt;&gt;"Por comprobar")),NOT(Y454=1),W454&lt;&gt;1,X454&gt;1,NOT(OR(LEN(TRIM('DATOS'!K454&amp;""))=0,'DATOS'!K454="Sin valorar",'DATOS'!K454="Sin coste documentado",'DATOS'!K454="Incluido en otra partida",'DATOS'!K454="Por confirmar")),NOT(OR(LEN(TRIM('DATOS'!M454&amp;""))=0,'DATOS'!M454="Sí",'DATOS'!M454="No",'DATOS'!M454="Por confirmar")),NOT(OR(LEN(TRIM('DATOS'!O454&amp;""))=0,'DATOS'!O454="Comparamos",'DATOS'!O454="No existe",'DATOS'!O454="Por confirmar"))),2,IF(AND(OR('DATOS'!G454&lt;0,'DATOS'!H454&lt;0,'DATOS'!J454&lt;0),NOT(AND(LEN(TRIM('DATOS'!L454&amp;""))&gt;0,TRIM('DATOS'!L454&amp;"")&lt;&gt;"Pendiente",TRIM('DATOS'!L454&amp;"")&lt;&gt;"Por confirmar",TRIM('DATOS'!L454&amp;"")&lt;&gt;"No consta",TRIM('DATOS'!L454&amp;"")&lt;&gt;"Desconocido",TRIM('DATOS'!L454&amp;"")&lt;&gt;"Sin confirmar",TRIM('DATOS'!L454&amp;"")&lt;&gt;"Por decidir",TRIM('DATOS'!L454&amp;"")&lt;&gt;"Por comprobar"))),1,0))),2)</f>
      </c>
      <c r="P454" s="29">
        <f>IFERROR(IF(N454=0,"",IF(NOT(Y454=1),1,IF('REFERENCIAS'!$Q$8&lt;&gt;1,2,IF(ABS('DATOS'!J454-ROUND('DATOS'!G454*'DATOS'!H454,'REFERENCIAS'!$K$8))&gt;0.00000001,2,IF('DATOS'!O454="No existe",IF(LEN(TRIM('DATOS'!I454&amp;""))=0,0,2),IF('DATOS'!O454="Comparamos",IF(LEN(TRIM('DATOS'!I454&amp;""))=0,1,IF(ISNUMBER('DATOS'!I454),IF(ABS('DATOS'!H454-'DATOS'!I454)&gt;0.00000001,2,0),2)),1)))))),2)</f>
      </c>
      <c r="Q454" s="29">
        <f>IFERROR(IF(N454=0,"",IF(NOT(Y454=1),1,IF('DATOS'!K454="Sin valorar",2,IF('DATOS'!G454=0,1,IF(OR('DATOS'!H454=0,'DATOS'!J454=0),IF(AND(OR('DATOS'!K454="Sin coste documentado",'DATOS'!K454="Incluido en otra partida"),AND(LEN(TRIM('DATOS'!L454&amp;""))&gt;0,TRIM('DATOS'!L454&amp;"")&lt;&gt;"Pendiente",TRIM('DATOS'!L454&amp;"")&lt;&gt;"Por confirmar",TRIM('DATOS'!L454&amp;"")&lt;&gt;"No consta",TRIM('DATOS'!L454&amp;"")&lt;&gt;"Desconocido",TRIM('DATOS'!L454&amp;"")&lt;&gt;"Sin confirmar",TRIM('DATOS'!L454&amp;"")&lt;&gt;"Por decidir",TRIM('DATOS'!L454&amp;"")&lt;&gt;"Por comprobar")),0,1),0))))),2)</f>
      </c>
      <c r="R454" s="29">
        <f>IFERROR(IF(N454=0,"",IF(OR(NOT(AND(LEN(TRIM('DATOS'!D454&amp;""))&gt;0,TRIM('DATOS'!D454&amp;"")&lt;&gt;"Pendiente",TRIM('DATOS'!D454&amp;"")&lt;&gt;"Por confirmar",TRIM('DATOS'!D454&amp;"")&lt;&gt;"No consta",TRIM('DATOS'!D454&amp;"")&lt;&gt;"Desconocido",TRIM('DATOS'!D454&amp;"")&lt;&gt;"Sin confirmar",TRIM('DATOS'!D454&amp;"")&lt;&gt;"Por decidir",TRIM('DATOS'!D454&amp;"")&lt;&gt;"Por comprobar")),NOT(AND(LEN(TRIM('DATOS'!E454&amp;""))&gt;0,TRIM('DATOS'!E454&amp;"")&lt;&gt;"Pendiente",TRIM('DATOS'!E454&amp;"")&lt;&gt;"Por confirmar",TRIM('DATOS'!E454&amp;"")&lt;&gt;"No consta",TRIM('DATOS'!E454&amp;"")&lt;&gt;"Desconocido",TRIM('DATOS'!E454&amp;"")&lt;&gt;"Sin confirmar",TRIM('DATOS'!E454&amp;"")&lt;&gt;"Por decidir",TRIM('DATOS'!E454&amp;"")&lt;&gt;"Por comprobar"))),2,IF('DATOS'!M454="No",2,IF('DATOS'!M454="Sí",0,IF(OR('DATOS'!D454&lt;&gt;'DATOS'!E454,LEN('DATOS'!E454)&gt;300,RIGHT(TRIM('DATOS'!E454),3)="...",RIGHT(TRIM('DATOS'!E454),1)="…"),1,0))))),2)</f>
      </c>
      <c r="S454" s="29">
        <f>IFERROR(IF(N454=0,"",IF('REFERENCIAS'!$Q$8&lt;&gt;1,2,IF(NOT(Y454=1),1,IF(OR(ABS('DATOS'!G454-ROUND('DATOS'!G454,'REFERENCIAS'!$E$8))&gt;0.00000001,ABS('DATOS'!H454-ROUND('DATOS'!H454,'REFERENCIAS'!$H$8))&gt;0.00000001,ABS('DATOS'!J454-ROUND('DATOS'!J454,'REFERENCIAS'!$K$8))&gt;0.00000001,IF(ISNUMBER('DATOS'!I454),ABS('DATOS'!I454-ROUND('DATOS'!I454,'REFERENCIAS'!$H$8))&gt;0.00000001,FALSE)),1,0)))),2)</f>
      </c>
      <c r="T454" s="29">
        <f>IFERROR(IF(N454=0,"",IF(NOT(AND(LEN(TRIM('DATOS'!F454&amp;""))&gt;0,TRIM('DATOS'!F454&amp;"")&lt;&gt;"Pendiente",TRIM('DATOS'!F454&amp;"")&lt;&gt;"Por confirmar",TRIM('DATOS'!F454&amp;"")&lt;&gt;"No consta",TRIM('DATOS'!F454&amp;"")&lt;&gt;"Desconocido",TRIM('DATOS'!F454&amp;"")&lt;&gt;"Sin confirmar",TRIM('DATOS'!F454&amp;"")&lt;&gt;"Por decidir",TRIM('DATOS'!F454&amp;"")&lt;&gt;"Por comprobar")),2,IF(COUNTIFS('REFERENCIAS'!$T$15:$T$34,"ID:"&amp;SUBSTITUTE(SUBSTITUTE(SUBSTITUTE(SUBSTITUTE(UPPER(TRIM('DATOS'!F454&amp;"")),"!","!E"),"*","!A"),"?","!B"),"~","!C"),'REFERENCIAS'!$H$15:$H$34,"&lt;&gt;")&gt;0,0,1))),2)</f>
      </c>
      <c r="U454" s="29" t="str">
        <f>'DATOS'!R454</f>
        <v>ID:</v>
      </c>
      <c r="V454" s="29" t="str">
        <f>'DATOS'!S454</f>
        <v>ID:</v>
      </c>
      <c r="W454" s="29" t="n">
        <f>IF(N454=0,0,COUNTIFS('REFERENCIAS'!$R$15:$R$64,U454))</f>
        <v>0</v>
      </c>
      <c r="X454" s="29" t="n">
        <f>IF(N454=0,0,COUNTIFS('DATOS'!$R$10:$R$509,U454,'DATOS'!$S$10:$S$509,V454))</f>
        <v>0</v>
      </c>
      <c r="Y454" s="29" t="n">
        <f>IF(AND(ISNUMBER('DATOS'!G454),ISNUMBER('DATOS'!H454),ISNUMBER('DATOS'!J454)),1,0)</f>
        <v>0</v>
      </c>
    </row>
    <row r="455" ht="64" customHeight="1">
      <c r="B455" s="26">
        <f>IF(N455=1,446,"")</f>
      </c>
      <c r="C455" s="26">
        <f>IF(AND(N455=1,LEN(TRIM('DATOS'!B455&amp;""))&gt;0),'DATOS'!B455,"")</f>
      </c>
      <c r="D455" s="26">
        <f>IF(AND(N455=1,LEN(TRIM('DATOS'!C455&amp;""))&gt;0),'DATOS'!C455,"")</f>
      </c>
      <c r="E455" s="26">
        <f>IF(NOT(ISNUMBER(P455)),"",IF(P455=2,"ROJO",IF(P455=1,"ÁMBAR","VERDE")))</f>
      </c>
      <c r="F455" s="26">
        <f>IF(NOT(ISNUMBER(Q455)),"",IF(Q455=2,"ROJO",IF(Q455=1,"ÁMBAR","VERDE")))</f>
      </c>
      <c r="G455" s="26">
        <f>IF(NOT(ISNUMBER(R455)),"",IF(R455=2,"ROJO",IF(R455=1,"ÁMBAR","VERDE")))</f>
      </c>
      <c r="H455" s="26">
        <f>IF(NOT(ISNUMBER(S455)),"",IF(S455=2,"ROJO",IF(S455=1,"ÁMBAR","VERDE")))</f>
      </c>
      <c r="I455" s="26">
        <f>IF(NOT(ISNUMBER(T455)),"",IF(T455=2,"ROJO",IF(T455=1,"ÁMBAR","VERDE")))</f>
      </c>
      <c r="J455" s="26">
        <f>IF(NOT(ISNUMBER(O455)),"",IF(O455=2,"ROJO",IF(O455=1,"ÁMBAR","VERDE")))</f>
      </c>
      <c r="K455" s="26">
        <f>IFERROR(IF(AND(N455=1,LEN(TRIM('DATOS'!N455&amp;""))&gt;0),'DATOS'!N455,""),"Hay una entrada con error. Corregimos el dato antes de cerrar la comprobación.")</f>
      </c>
      <c r="L455" s="26">
        <f>IFERROR(IF(N455=0,"",IF(O455&gt;0,"Completamos datos, claves o motivo. ","")&amp;IF(P455&gt;0,"Cotejamos precios e importe. ","")&amp;IF(Q455&gt;0,"Aclaramos el cero. ","")&amp;IF(R455&gt;0,"Comprobamos el texto. ","")&amp;IF(S455&gt;0,"Revisamos decimales visibles. ","")&amp;IF(T455&gt;0,"Confirmamos la unidad.","")),"Hay una entrada con error. Corregimos el dato antes de cerrar la comprobación.")</f>
      </c>
      <c r="N455" s="29" t="n">
        <f>IF(COUNTA('DATOS'!B455:O455)&gt;0,1,0)</f>
        <v>0</v>
      </c>
      <c r="O455" s="29">
        <f>IFERROR(IF(N455=0,"",IF(OR(NOT(AND(LEN(TRIM('DATOS'!B455&amp;""))&gt;0,TRIM('DATOS'!B455&amp;"")&lt;&gt;"Pendiente",TRIM('DATOS'!B455&amp;"")&lt;&gt;"Por confirmar",TRIM('DATOS'!B455&amp;"")&lt;&gt;"No consta",TRIM('DATOS'!B455&amp;"")&lt;&gt;"Desconocido",TRIM('DATOS'!B455&amp;"")&lt;&gt;"Sin confirmar",TRIM('DATOS'!B455&amp;"")&lt;&gt;"Por decidir",TRIM('DATOS'!B455&amp;"")&lt;&gt;"Por comprobar")),NOT(AND(LEN(TRIM('DATOS'!C455&amp;""))&gt;0,TRIM('DATOS'!C455&amp;"")&lt;&gt;"Pendiente",TRIM('DATOS'!C455&amp;"")&lt;&gt;"Por confirmar",TRIM('DATOS'!C455&amp;"")&lt;&gt;"No consta",TRIM('DATOS'!C455&amp;"")&lt;&gt;"Desconocido",TRIM('DATOS'!C455&amp;"")&lt;&gt;"Sin confirmar",TRIM('DATOS'!C455&amp;"")&lt;&gt;"Por decidir",TRIM('DATOS'!C455&amp;"")&lt;&gt;"Por comprobar")),NOT(AND(LEN(TRIM('DATOS'!D455&amp;""))&gt;0,TRIM('DATOS'!D455&amp;"")&lt;&gt;"Pendiente",TRIM('DATOS'!D455&amp;"")&lt;&gt;"Por confirmar",TRIM('DATOS'!D455&amp;"")&lt;&gt;"No consta",TRIM('DATOS'!D455&amp;"")&lt;&gt;"Desconocido",TRIM('DATOS'!D455&amp;"")&lt;&gt;"Sin confirmar",TRIM('DATOS'!D455&amp;"")&lt;&gt;"Por decidir",TRIM('DATOS'!D455&amp;"")&lt;&gt;"Por comprobar")),NOT(AND(LEN(TRIM('DATOS'!E455&amp;""))&gt;0,TRIM('DATOS'!E455&amp;"")&lt;&gt;"Pendiente",TRIM('DATOS'!E455&amp;"")&lt;&gt;"Por confirmar",TRIM('DATOS'!E455&amp;"")&lt;&gt;"No consta",TRIM('DATOS'!E455&amp;"")&lt;&gt;"Desconocido",TRIM('DATOS'!E455&amp;"")&lt;&gt;"Sin confirmar",TRIM('DATOS'!E455&amp;"")&lt;&gt;"Por decidir",TRIM('DATOS'!E455&amp;"")&lt;&gt;"Por comprobar")),NOT(AND(LEN(TRIM('DATOS'!F455&amp;""))&gt;0,TRIM('DATOS'!F455&amp;"")&lt;&gt;"Pendiente",TRIM('DATOS'!F455&amp;"")&lt;&gt;"Por confirmar",TRIM('DATOS'!F455&amp;"")&lt;&gt;"No consta",TRIM('DATOS'!F455&amp;"")&lt;&gt;"Desconocido",TRIM('DATOS'!F455&amp;"")&lt;&gt;"Sin confirmar",TRIM('DATOS'!F455&amp;"")&lt;&gt;"Por decidir",TRIM('DATOS'!F455&amp;"")&lt;&gt;"Por comprobar")),NOT(AND(LEN(TRIM('DATOS'!N455&amp;""))&gt;0,TRIM('DATOS'!N455&amp;"")&lt;&gt;"Pendiente",TRIM('DATOS'!N455&amp;"")&lt;&gt;"Por confirmar",TRIM('DATOS'!N455&amp;"")&lt;&gt;"No consta",TRIM('DATOS'!N455&amp;"")&lt;&gt;"Desconocido",TRIM('DATOS'!N455&amp;"")&lt;&gt;"Sin confirmar",TRIM('DATOS'!N455&amp;"")&lt;&gt;"Por decidir",TRIM('DATOS'!N455&amp;"")&lt;&gt;"Por comprobar")),NOT(Y455=1),W455&lt;&gt;1,X455&gt;1,NOT(OR(LEN(TRIM('DATOS'!K455&amp;""))=0,'DATOS'!K455="Sin valorar",'DATOS'!K455="Sin coste documentado",'DATOS'!K455="Incluido en otra partida",'DATOS'!K455="Por confirmar")),NOT(OR(LEN(TRIM('DATOS'!M455&amp;""))=0,'DATOS'!M455="Sí",'DATOS'!M455="No",'DATOS'!M455="Por confirmar")),NOT(OR(LEN(TRIM('DATOS'!O455&amp;""))=0,'DATOS'!O455="Comparamos",'DATOS'!O455="No existe",'DATOS'!O455="Por confirmar"))),2,IF(AND(OR('DATOS'!G455&lt;0,'DATOS'!H455&lt;0,'DATOS'!J455&lt;0),NOT(AND(LEN(TRIM('DATOS'!L455&amp;""))&gt;0,TRIM('DATOS'!L455&amp;"")&lt;&gt;"Pendiente",TRIM('DATOS'!L455&amp;"")&lt;&gt;"Por confirmar",TRIM('DATOS'!L455&amp;"")&lt;&gt;"No consta",TRIM('DATOS'!L455&amp;"")&lt;&gt;"Desconocido",TRIM('DATOS'!L455&amp;"")&lt;&gt;"Sin confirmar",TRIM('DATOS'!L455&amp;"")&lt;&gt;"Por decidir",TRIM('DATOS'!L455&amp;"")&lt;&gt;"Por comprobar"))),1,0))),2)</f>
      </c>
      <c r="P455" s="29">
        <f>IFERROR(IF(N455=0,"",IF(NOT(Y455=1),1,IF('REFERENCIAS'!$Q$8&lt;&gt;1,2,IF(ABS('DATOS'!J455-ROUND('DATOS'!G455*'DATOS'!H455,'REFERENCIAS'!$K$8))&gt;0.00000001,2,IF('DATOS'!O455="No existe",IF(LEN(TRIM('DATOS'!I455&amp;""))=0,0,2),IF('DATOS'!O455="Comparamos",IF(LEN(TRIM('DATOS'!I455&amp;""))=0,1,IF(ISNUMBER('DATOS'!I455),IF(ABS('DATOS'!H455-'DATOS'!I455)&gt;0.00000001,2,0),2)),1)))))),2)</f>
      </c>
      <c r="Q455" s="29">
        <f>IFERROR(IF(N455=0,"",IF(NOT(Y455=1),1,IF('DATOS'!K455="Sin valorar",2,IF('DATOS'!G455=0,1,IF(OR('DATOS'!H455=0,'DATOS'!J455=0),IF(AND(OR('DATOS'!K455="Sin coste documentado",'DATOS'!K455="Incluido en otra partida"),AND(LEN(TRIM('DATOS'!L455&amp;""))&gt;0,TRIM('DATOS'!L455&amp;"")&lt;&gt;"Pendiente",TRIM('DATOS'!L455&amp;"")&lt;&gt;"Por confirmar",TRIM('DATOS'!L455&amp;"")&lt;&gt;"No consta",TRIM('DATOS'!L455&amp;"")&lt;&gt;"Desconocido",TRIM('DATOS'!L455&amp;"")&lt;&gt;"Sin confirmar",TRIM('DATOS'!L455&amp;"")&lt;&gt;"Por decidir",TRIM('DATOS'!L455&amp;"")&lt;&gt;"Por comprobar")),0,1),0))))),2)</f>
      </c>
      <c r="R455" s="29">
        <f>IFERROR(IF(N455=0,"",IF(OR(NOT(AND(LEN(TRIM('DATOS'!D455&amp;""))&gt;0,TRIM('DATOS'!D455&amp;"")&lt;&gt;"Pendiente",TRIM('DATOS'!D455&amp;"")&lt;&gt;"Por confirmar",TRIM('DATOS'!D455&amp;"")&lt;&gt;"No consta",TRIM('DATOS'!D455&amp;"")&lt;&gt;"Desconocido",TRIM('DATOS'!D455&amp;"")&lt;&gt;"Sin confirmar",TRIM('DATOS'!D455&amp;"")&lt;&gt;"Por decidir",TRIM('DATOS'!D455&amp;"")&lt;&gt;"Por comprobar")),NOT(AND(LEN(TRIM('DATOS'!E455&amp;""))&gt;0,TRIM('DATOS'!E455&amp;"")&lt;&gt;"Pendiente",TRIM('DATOS'!E455&amp;"")&lt;&gt;"Por confirmar",TRIM('DATOS'!E455&amp;"")&lt;&gt;"No consta",TRIM('DATOS'!E455&amp;"")&lt;&gt;"Desconocido",TRIM('DATOS'!E455&amp;"")&lt;&gt;"Sin confirmar",TRIM('DATOS'!E455&amp;"")&lt;&gt;"Por decidir",TRIM('DATOS'!E455&amp;"")&lt;&gt;"Por comprobar"))),2,IF('DATOS'!M455="No",2,IF('DATOS'!M455="Sí",0,IF(OR('DATOS'!D455&lt;&gt;'DATOS'!E455,LEN('DATOS'!E455)&gt;300,RIGHT(TRIM('DATOS'!E455),3)="...",RIGHT(TRIM('DATOS'!E455),1)="…"),1,0))))),2)</f>
      </c>
      <c r="S455" s="29">
        <f>IFERROR(IF(N455=0,"",IF('REFERENCIAS'!$Q$8&lt;&gt;1,2,IF(NOT(Y455=1),1,IF(OR(ABS('DATOS'!G455-ROUND('DATOS'!G455,'REFERENCIAS'!$E$8))&gt;0.00000001,ABS('DATOS'!H455-ROUND('DATOS'!H455,'REFERENCIAS'!$H$8))&gt;0.00000001,ABS('DATOS'!J455-ROUND('DATOS'!J455,'REFERENCIAS'!$K$8))&gt;0.00000001,IF(ISNUMBER('DATOS'!I455),ABS('DATOS'!I455-ROUND('DATOS'!I455,'REFERENCIAS'!$H$8))&gt;0.00000001,FALSE)),1,0)))),2)</f>
      </c>
      <c r="T455" s="29">
        <f>IFERROR(IF(N455=0,"",IF(NOT(AND(LEN(TRIM('DATOS'!F455&amp;""))&gt;0,TRIM('DATOS'!F455&amp;"")&lt;&gt;"Pendiente",TRIM('DATOS'!F455&amp;"")&lt;&gt;"Por confirmar",TRIM('DATOS'!F455&amp;"")&lt;&gt;"No consta",TRIM('DATOS'!F455&amp;"")&lt;&gt;"Desconocido",TRIM('DATOS'!F455&amp;"")&lt;&gt;"Sin confirmar",TRIM('DATOS'!F455&amp;"")&lt;&gt;"Por decidir",TRIM('DATOS'!F455&amp;"")&lt;&gt;"Por comprobar")),2,IF(COUNTIFS('REFERENCIAS'!$T$15:$T$34,"ID:"&amp;SUBSTITUTE(SUBSTITUTE(SUBSTITUTE(SUBSTITUTE(UPPER(TRIM('DATOS'!F455&amp;"")),"!","!E"),"*","!A"),"?","!B"),"~","!C"),'REFERENCIAS'!$H$15:$H$34,"&lt;&gt;")&gt;0,0,1))),2)</f>
      </c>
      <c r="U455" s="29" t="str">
        <f>'DATOS'!R455</f>
        <v>ID:</v>
      </c>
      <c r="V455" s="29" t="str">
        <f>'DATOS'!S455</f>
        <v>ID:</v>
      </c>
      <c r="W455" s="29" t="n">
        <f>IF(N455=0,0,COUNTIFS('REFERENCIAS'!$R$15:$R$64,U455))</f>
        <v>0</v>
      </c>
      <c r="X455" s="29" t="n">
        <f>IF(N455=0,0,COUNTIFS('DATOS'!$R$10:$R$509,U455,'DATOS'!$S$10:$S$509,V455))</f>
        <v>0</v>
      </c>
      <c r="Y455" s="29" t="n">
        <f>IF(AND(ISNUMBER('DATOS'!G455),ISNUMBER('DATOS'!H455),ISNUMBER('DATOS'!J455)),1,0)</f>
        <v>0</v>
      </c>
    </row>
    <row r="456" ht="64" customHeight="1">
      <c r="B456" s="26">
        <f>IF(N456=1,447,"")</f>
      </c>
      <c r="C456" s="26">
        <f>IF(AND(N456=1,LEN(TRIM('DATOS'!B456&amp;""))&gt;0),'DATOS'!B456,"")</f>
      </c>
      <c r="D456" s="26">
        <f>IF(AND(N456=1,LEN(TRIM('DATOS'!C456&amp;""))&gt;0),'DATOS'!C456,"")</f>
      </c>
      <c r="E456" s="26">
        <f>IF(NOT(ISNUMBER(P456)),"",IF(P456=2,"ROJO",IF(P456=1,"ÁMBAR","VERDE")))</f>
      </c>
      <c r="F456" s="26">
        <f>IF(NOT(ISNUMBER(Q456)),"",IF(Q456=2,"ROJO",IF(Q456=1,"ÁMBAR","VERDE")))</f>
      </c>
      <c r="G456" s="26">
        <f>IF(NOT(ISNUMBER(R456)),"",IF(R456=2,"ROJO",IF(R456=1,"ÁMBAR","VERDE")))</f>
      </c>
      <c r="H456" s="26">
        <f>IF(NOT(ISNUMBER(S456)),"",IF(S456=2,"ROJO",IF(S456=1,"ÁMBAR","VERDE")))</f>
      </c>
      <c r="I456" s="26">
        <f>IF(NOT(ISNUMBER(T456)),"",IF(T456=2,"ROJO",IF(T456=1,"ÁMBAR","VERDE")))</f>
      </c>
      <c r="J456" s="26">
        <f>IF(NOT(ISNUMBER(O456)),"",IF(O456=2,"ROJO",IF(O456=1,"ÁMBAR","VERDE")))</f>
      </c>
      <c r="K456" s="26">
        <f>IFERROR(IF(AND(N456=1,LEN(TRIM('DATOS'!N456&amp;""))&gt;0),'DATOS'!N456,""),"Hay una entrada con error. Corregimos el dato antes de cerrar la comprobación.")</f>
      </c>
      <c r="L456" s="26">
        <f>IFERROR(IF(N456=0,"",IF(O456&gt;0,"Completamos datos, claves o motivo. ","")&amp;IF(P456&gt;0,"Cotejamos precios e importe. ","")&amp;IF(Q456&gt;0,"Aclaramos el cero. ","")&amp;IF(R456&gt;0,"Comprobamos el texto. ","")&amp;IF(S456&gt;0,"Revisamos decimales visibles. ","")&amp;IF(T456&gt;0,"Confirmamos la unidad.","")),"Hay una entrada con error. Corregimos el dato antes de cerrar la comprobación.")</f>
      </c>
      <c r="N456" s="29" t="n">
        <f>IF(COUNTA('DATOS'!B456:O456)&gt;0,1,0)</f>
        <v>0</v>
      </c>
      <c r="O456" s="29">
        <f>IFERROR(IF(N456=0,"",IF(OR(NOT(AND(LEN(TRIM('DATOS'!B456&amp;""))&gt;0,TRIM('DATOS'!B456&amp;"")&lt;&gt;"Pendiente",TRIM('DATOS'!B456&amp;"")&lt;&gt;"Por confirmar",TRIM('DATOS'!B456&amp;"")&lt;&gt;"No consta",TRIM('DATOS'!B456&amp;"")&lt;&gt;"Desconocido",TRIM('DATOS'!B456&amp;"")&lt;&gt;"Sin confirmar",TRIM('DATOS'!B456&amp;"")&lt;&gt;"Por decidir",TRIM('DATOS'!B456&amp;"")&lt;&gt;"Por comprobar")),NOT(AND(LEN(TRIM('DATOS'!C456&amp;""))&gt;0,TRIM('DATOS'!C456&amp;"")&lt;&gt;"Pendiente",TRIM('DATOS'!C456&amp;"")&lt;&gt;"Por confirmar",TRIM('DATOS'!C456&amp;"")&lt;&gt;"No consta",TRIM('DATOS'!C456&amp;"")&lt;&gt;"Desconocido",TRIM('DATOS'!C456&amp;"")&lt;&gt;"Sin confirmar",TRIM('DATOS'!C456&amp;"")&lt;&gt;"Por decidir",TRIM('DATOS'!C456&amp;"")&lt;&gt;"Por comprobar")),NOT(AND(LEN(TRIM('DATOS'!D456&amp;""))&gt;0,TRIM('DATOS'!D456&amp;"")&lt;&gt;"Pendiente",TRIM('DATOS'!D456&amp;"")&lt;&gt;"Por confirmar",TRIM('DATOS'!D456&amp;"")&lt;&gt;"No consta",TRIM('DATOS'!D456&amp;"")&lt;&gt;"Desconocido",TRIM('DATOS'!D456&amp;"")&lt;&gt;"Sin confirmar",TRIM('DATOS'!D456&amp;"")&lt;&gt;"Por decidir",TRIM('DATOS'!D456&amp;"")&lt;&gt;"Por comprobar")),NOT(AND(LEN(TRIM('DATOS'!E456&amp;""))&gt;0,TRIM('DATOS'!E456&amp;"")&lt;&gt;"Pendiente",TRIM('DATOS'!E456&amp;"")&lt;&gt;"Por confirmar",TRIM('DATOS'!E456&amp;"")&lt;&gt;"No consta",TRIM('DATOS'!E456&amp;"")&lt;&gt;"Desconocido",TRIM('DATOS'!E456&amp;"")&lt;&gt;"Sin confirmar",TRIM('DATOS'!E456&amp;"")&lt;&gt;"Por decidir",TRIM('DATOS'!E456&amp;"")&lt;&gt;"Por comprobar")),NOT(AND(LEN(TRIM('DATOS'!F456&amp;""))&gt;0,TRIM('DATOS'!F456&amp;"")&lt;&gt;"Pendiente",TRIM('DATOS'!F456&amp;"")&lt;&gt;"Por confirmar",TRIM('DATOS'!F456&amp;"")&lt;&gt;"No consta",TRIM('DATOS'!F456&amp;"")&lt;&gt;"Desconocido",TRIM('DATOS'!F456&amp;"")&lt;&gt;"Sin confirmar",TRIM('DATOS'!F456&amp;"")&lt;&gt;"Por decidir",TRIM('DATOS'!F456&amp;"")&lt;&gt;"Por comprobar")),NOT(AND(LEN(TRIM('DATOS'!N456&amp;""))&gt;0,TRIM('DATOS'!N456&amp;"")&lt;&gt;"Pendiente",TRIM('DATOS'!N456&amp;"")&lt;&gt;"Por confirmar",TRIM('DATOS'!N456&amp;"")&lt;&gt;"No consta",TRIM('DATOS'!N456&amp;"")&lt;&gt;"Desconocido",TRIM('DATOS'!N456&amp;"")&lt;&gt;"Sin confirmar",TRIM('DATOS'!N456&amp;"")&lt;&gt;"Por decidir",TRIM('DATOS'!N456&amp;"")&lt;&gt;"Por comprobar")),NOT(Y456=1),W456&lt;&gt;1,X456&gt;1,NOT(OR(LEN(TRIM('DATOS'!K456&amp;""))=0,'DATOS'!K456="Sin valorar",'DATOS'!K456="Sin coste documentado",'DATOS'!K456="Incluido en otra partida",'DATOS'!K456="Por confirmar")),NOT(OR(LEN(TRIM('DATOS'!M456&amp;""))=0,'DATOS'!M456="Sí",'DATOS'!M456="No",'DATOS'!M456="Por confirmar")),NOT(OR(LEN(TRIM('DATOS'!O456&amp;""))=0,'DATOS'!O456="Comparamos",'DATOS'!O456="No existe",'DATOS'!O456="Por confirmar"))),2,IF(AND(OR('DATOS'!G456&lt;0,'DATOS'!H456&lt;0,'DATOS'!J456&lt;0),NOT(AND(LEN(TRIM('DATOS'!L456&amp;""))&gt;0,TRIM('DATOS'!L456&amp;"")&lt;&gt;"Pendiente",TRIM('DATOS'!L456&amp;"")&lt;&gt;"Por confirmar",TRIM('DATOS'!L456&amp;"")&lt;&gt;"No consta",TRIM('DATOS'!L456&amp;"")&lt;&gt;"Desconocido",TRIM('DATOS'!L456&amp;"")&lt;&gt;"Sin confirmar",TRIM('DATOS'!L456&amp;"")&lt;&gt;"Por decidir",TRIM('DATOS'!L456&amp;"")&lt;&gt;"Por comprobar"))),1,0))),2)</f>
      </c>
      <c r="P456" s="29">
        <f>IFERROR(IF(N456=0,"",IF(NOT(Y456=1),1,IF('REFERENCIAS'!$Q$8&lt;&gt;1,2,IF(ABS('DATOS'!J456-ROUND('DATOS'!G456*'DATOS'!H456,'REFERENCIAS'!$K$8))&gt;0.00000001,2,IF('DATOS'!O456="No existe",IF(LEN(TRIM('DATOS'!I456&amp;""))=0,0,2),IF('DATOS'!O456="Comparamos",IF(LEN(TRIM('DATOS'!I456&amp;""))=0,1,IF(ISNUMBER('DATOS'!I456),IF(ABS('DATOS'!H456-'DATOS'!I456)&gt;0.00000001,2,0),2)),1)))))),2)</f>
      </c>
      <c r="Q456" s="29">
        <f>IFERROR(IF(N456=0,"",IF(NOT(Y456=1),1,IF('DATOS'!K456="Sin valorar",2,IF('DATOS'!G456=0,1,IF(OR('DATOS'!H456=0,'DATOS'!J456=0),IF(AND(OR('DATOS'!K456="Sin coste documentado",'DATOS'!K456="Incluido en otra partida"),AND(LEN(TRIM('DATOS'!L456&amp;""))&gt;0,TRIM('DATOS'!L456&amp;"")&lt;&gt;"Pendiente",TRIM('DATOS'!L456&amp;"")&lt;&gt;"Por confirmar",TRIM('DATOS'!L456&amp;"")&lt;&gt;"No consta",TRIM('DATOS'!L456&amp;"")&lt;&gt;"Desconocido",TRIM('DATOS'!L456&amp;"")&lt;&gt;"Sin confirmar",TRIM('DATOS'!L456&amp;"")&lt;&gt;"Por decidir",TRIM('DATOS'!L456&amp;"")&lt;&gt;"Por comprobar")),0,1),0))))),2)</f>
      </c>
      <c r="R456" s="29">
        <f>IFERROR(IF(N456=0,"",IF(OR(NOT(AND(LEN(TRIM('DATOS'!D456&amp;""))&gt;0,TRIM('DATOS'!D456&amp;"")&lt;&gt;"Pendiente",TRIM('DATOS'!D456&amp;"")&lt;&gt;"Por confirmar",TRIM('DATOS'!D456&amp;"")&lt;&gt;"No consta",TRIM('DATOS'!D456&amp;"")&lt;&gt;"Desconocido",TRIM('DATOS'!D456&amp;"")&lt;&gt;"Sin confirmar",TRIM('DATOS'!D456&amp;"")&lt;&gt;"Por decidir",TRIM('DATOS'!D456&amp;"")&lt;&gt;"Por comprobar")),NOT(AND(LEN(TRIM('DATOS'!E456&amp;""))&gt;0,TRIM('DATOS'!E456&amp;"")&lt;&gt;"Pendiente",TRIM('DATOS'!E456&amp;"")&lt;&gt;"Por confirmar",TRIM('DATOS'!E456&amp;"")&lt;&gt;"No consta",TRIM('DATOS'!E456&amp;"")&lt;&gt;"Desconocido",TRIM('DATOS'!E456&amp;"")&lt;&gt;"Sin confirmar",TRIM('DATOS'!E456&amp;"")&lt;&gt;"Por decidir",TRIM('DATOS'!E456&amp;"")&lt;&gt;"Por comprobar"))),2,IF('DATOS'!M456="No",2,IF('DATOS'!M456="Sí",0,IF(OR('DATOS'!D456&lt;&gt;'DATOS'!E456,LEN('DATOS'!E456)&gt;300,RIGHT(TRIM('DATOS'!E456),3)="...",RIGHT(TRIM('DATOS'!E456),1)="…"),1,0))))),2)</f>
      </c>
      <c r="S456" s="29">
        <f>IFERROR(IF(N456=0,"",IF('REFERENCIAS'!$Q$8&lt;&gt;1,2,IF(NOT(Y456=1),1,IF(OR(ABS('DATOS'!G456-ROUND('DATOS'!G456,'REFERENCIAS'!$E$8))&gt;0.00000001,ABS('DATOS'!H456-ROUND('DATOS'!H456,'REFERENCIAS'!$H$8))&gt;0.00000001,ABS('DATOS'!J456-ROUND('DATOS'!J456,'REFERENCIAS'!$K$8))&gt;0.00000001,IF(ISNUMBER('DATOS'!I456),ABS('DATOS'!I456-ROUND('DATOS'!I456,'REFERENCIAS'!$H$8))&gt;0.00000001,FALSE)),1,0)))),2)</f>
      </c>
      <c r="T456" s="29">
        <f>IFERROR(IF(N456=0,"",IF(NOT(AND(LEN(TRIM('DATOS'!F456&amp;""))&gt;0,TRIM('DATOS'!F456&amp;"")&lt;&gt;"Pendiente",TRIM('DATOS'!F456&amp;"")&lt;&gt;"Por confirmar",TRIM('DATOS'!F456&amp;"")&lt;&gt;"No consta",TRIM('DATOS'!F456&amp;"")&lt;&gt;"Desconocido",TRIM('DATOS'!F456&amp;"")&lt;&gt;"Sin confirmar",TRIM('DATOS'!F456&amp;"")&lt;&gt;"Por decidir",TRIM('DATOS'!F456&amp;"")&lt;&gt;"Por comprobar")),2,IF(COUNTIFS('REFERENCIAS'!$T$15:$T$34,"ID:"&amp;SUBSTITUTE(SUBSTITUTE(SUBSTITUTE(SUBSTITUTE(UPPER(TRIM('DATOS'!F456&amp;"")),"!","!E"),"*","!A"),"?","!B"),"~","!C"),'REFERENCIAS'!$H$15:$H$34,"&lt;&gt;")&gt;0,0,1))),2)</f>
      </c>
      <c r="U456" s="29" t="str">
        <f>'DATOS'!R456</f>
        <v>ID:</v>
      </c>
      <c r="V456" s="29" t="str">
        <f>'DATOS'!S456</f>
        <v>ID:</v>
      </c>
      <c r="W456" s="29" t="n">
        <f>IF(N456=0,0,COUNTIFS('REFERENCIAS'!$R$15:$R$64,U456))</f>
        <v>0</v>
      </c>
      <c r="X456" s="29" t="n">
        <f>IF(N456=0,0,COUNTIFS('DATOS'!$R$10:$R$509,U456,'DATOS'!$S$10:$S$509,V456))</f>
        <v>0</v>
      </c>
      <c r="Y456" s="29" t="n">
        <f>IF(AND(ISNUMBER('DATOS'!G456),ISNUMBER('DATOS'!H456),ISNUMBER('DATOS'!J456)),1,0)</f>
        <v>0</v>
      </c>
    </row>
    <row r="457" ht="64" customHeight="1">
      <c r="B457" s="26">
        <f>IF(N457=1,448,"")</f>
      </c>
      <c r="C457" s="26">
        <f>IF(AND(N457=1,LEN(TRIM('DATOS'!B457&amp;""))&gt;0),'DATOS'!B457,"")</f>
      </c>
      <c r="D457" s="26">
        <f>IF(AND(N457=1,LEN(TRIM('DATOS'!C457&amp;""))&gt;0),'DATOS'!C457,"")</f>
      </c>
      <c r="E457" s="26">
        <f>IF(NOT(ISNUMBER(P457)),"",IF(P457=2,"ROJO",IF(P457=1,"ÁMBAR","VERDE")))</f>
      </c>
      <c r="F457" s="26">
        <f>IF(NOT(ISNUMBER(Q457)),"",IF(Q457=2,"ROJO",IF(Q457=1,"ÁMBAR","VERDE")))</f>
      </c>
      <c r="G457" s="26">
        <f>IF(NOT(ISNUMBER(R457)),"",IF(R457=2,"ROJO",IF(R457=1,"ÁMBAR","VERDE")))</f>
      </c>
      <c r="H457" s="26">
        <f>IF(NOT(ISNUMBER(S457)),"",IF(S457=2,"ROJO",IF(S457=1,"ÁMBAR","VERDE")))</f>
      </c>
      <c r="I457" s="26">
        <f>IF(NOT(ISNUMBER(T457)),"",IF(T457=2,"ROJO",IF(T457=1,"ÁMBAR","VERDE")))</f>
      </c>
      <c r="J457" s="26">
        <f>IF(NOT(ISNUMBER(O457)),"",IF(O457=2,"ROJO",IF(O457=1,"ÁMBAR","VERDE")))</f>
      </c>
      <c r="K457" s="26">
        <f>IFERROR(IF(AND(N457=1,LEN(TRIM('DATOS'!N457&amp;""))&gt;0),'DATOS'!N457,""),"Hay una entrada con error. Corregimos el dato antes de cerrar la comprobación.")</f>
      </c>
      <c r="L457" s="26">
        <f>IFERROR(IF(N457=0,"",IF(O457&gt;0,"Completamos datos, claves o motivo. ","")&amp;IF(P457&gt;0,"Cotejamos precios e importe. ","")&amp;IF(Q457&gt;0,"Aclaramos el cero. ","")&amp;IF(R457&gt;0,"Comprobamos el texto. ","")&amp;IF(S457&gt;0,"Revisamos decimales visibles. ","")&amp;IF(T457&gt;0,"Confirmamos la unidad.","")),"Hay una entrada con error. Corregimos el dato antes de cerrar la comprobación.")</f>
      </c>
      <c r="N457" s="29" t="n">
        <f>IF(COUNTA('DATOS'!B457:O457)&gt;0,1,0)</f>
        <v>0</v>
      </c>
      <c r="O457" s="29">
        <f>IFERROR(IF(N457=0,"",IF(OR(NOT(AND(LEN(TRIM('DATOS'!B457&amp;""))&gt;0,TRIM('DATOS'!B457&amp;"")&lt;&gt;"Pendiente",TRIM('DATOS'!B457&amp;"")&lt;&gt;"Por confirmar",TRIM('DATOS'!B457&amp;"")&lt;&gt;"No consta",TRIM('DATOS'!B457&amp;"")&lt;&gt;"Desconocido",TRIM('DATOS'!B457&amp;"")&lt;&gt;"Sin confirmar",TRIM('DATOS'!B457&amp;"")&lt;&gt;"Por decidir",TRIM('DATOS'!B457&amp;"")&lt;&gt;"Por comprobar")),NOT(AND(LEN(TRIM('DATOS'!C457&amp;""))&gt;0,TRIM('DATOS'!C457&amp;"")&lt;&gt;"Pendiente",TRIM('DATOS'!C457&amp;"")&lt;&gt;"Por confirmar",TRIM('DATOS'!C457&amp;"")&lt;&gt;"No consta",TRIM('DATOS'!C457&amp;"")&lt;&gt;"Desconocido",TRIM('DATOS'!C457&amp;"")&lt;&gt;"Sin confirmar",TRIM('DATOS'!C457&amp;"")&lt;&gt;"Por decidir",TRIM('DATOS'!C457&amp;"")&lt;&gt;"Por comprobar")),NOT(AND(LEN(TRIM('DATOS'!D457&amp;""))&gt;0,TRIM('DATOS'!D457&amp;"")&lt;&gt;"Pendiente",TRIM('DATOS'!D457&amp;"")&lt;&gt;"Por confirmar",TRIM('DATOS'!D457&amp;"")&lt;&gt;"No consta",TRIM('DATOS'!D457&amp;"")&lt;&gt;"Desconocido",TRIM('DATOS'!D457&amp;"")&lt;&gt;"Sin confirmar",TRIM('DATOS'!D457&amp;"")&lt;&gt;"Por decidir",TRIM('DATOS'!D457&amp;"")&lt;&gt;"Por comprobar")),NOT(AND(LEN(TRIM('DATOS'!E457&amp;""))&gt;0,TRIM('DATOS'!E457&amp;"")&lt;&gt;"Pendiente",TRIM('DATOS'!E457&amp;"")&lt;&gt;"Por confirmar",TRIM('DATOS'!E457&amp;"")&lt;&gt;"No consta",TRIM('DATOS'!E457&amp;"")&lt;&gt;"Desconocido",TRIM('DATOS'!E457&amp;"")&lt;&gt;"Sin confirmar",TRIM('DATOS'!E457&amp;"")&lt;&gt;"Por decidir",TRIM('DATOS'!E457&amp;"")&lt;&gt;"Por comprobar")),NOT(AND(LEN(TRIM('DATOS'!F457&amp;""))&gt;0,TRIM('DATOS'!F457&amp;"")&lt;&gt;"Pendiente",TRIM('DATOS'!F457&amp;"")&lt;&gt;"Por confirmar",TRIM('DATOS'!F457&amp;"")&lt;&gt;"No consta",TRIM('DATOS'!F457&amp;"")&lt;&gt;"Desconocido",TRIM('DATOS'!F457&amp;"")&lt;&gt;"Sin confirmar",TRIM('DATOS'!F457&amp;"")&lt;&gt;"Por decidir",TRIM('DATOS'!F457&amp;"")&lt;&gt;"Por comprobar")),NOT(AND(LEN(TRIM('DATOS'!N457&amp;""))&gt;0,TRIM('DATOS'!N457&amp;"")&lt;&gt;"Pendiente",TRIM('DATOS'!N457&amp;"")&lt;&gt;"Por confirmar",TRIM('DATOS'!N457&amp;"")&lt;&gt;"No consta",TRIM('DATOS'!N457&amp;"")&lt;&gt;"Desconocido",TRIM('DATOS'!N457&amp;"")&lt;&gt;"Sin confirmar",TRIM('DATOS'!N457&amp;"")&lt;&gt;"Por decidir",TRIM('DATOS'!N457&amp;"")&lt;&gt;"Por comprobar")),NOT(Y457=1),W457&lt;&gt;1,X457&gt;1,NOT(OR(LEN(TRIM('DATOS'!K457&amp;""))=0,'DATOS'!K457="Sin valorar",'DATOS'!K457="Sin coste documentado",'DATOS'!K457="Incluido en otra partida",'DATOS'!K457="Por confirmar")),NOT(OR(LEN(TRIM('DATOS'!M457&amp;""))=0,'DATOS'!M457="Sí",'DATOS'!M457="No",'DATOS'!M457="Por confirmar")),NOT(OR(LEN(TRIM('DATOS'!O457&amp;""))=0,'DATOS'!O457="Comparamos",'DATOS'!O457="No existe",'DATOS'!O457="Por confirmar"))),2,IF(AND(OR('DATOS'!G457&lt;0,'DATOS'!H457&lt;0,'DATOS'!J457&lt;0),NOT(AND(LEN(TRIM('DATOS'!L457&amp;""))&gt;0,TRIM('DATOS'!L457&amp;"")&lt;&gt;"Pendiente",TRIM('DATOS'!L457&amp;"")&lt;&gt;"Por confirmar",TRIM('DATOS'!L457&amp;"")&lt;&gt;"No consta",TRIM('DATOS'!L457&amp;"")&lt;&gt;"Desconocido",TRIM('DATOS'!L457&amp;"")&lt;&gt;"Sin confirmar",TRIM('DATOS'!L457&amp;"")&lt;&gt;"Por decidir",TRIM('DATOS'!L457&amp;"")&lt;&gt;"Por comprobar"))),1,0))),2)</f>
      </c>
      <c r="P457" s="29">
        <f>IFERROR(IF(N457=0,"",IF(NOT(Y457=1),1,IF('REFERENCIAS'!$Q$8&lt;&gt;1,2,IF(ABS('DATOS'!J457-ROUND('DATOS'!G457*'DATOS'!H457,'REFERENCIAS'!$K$8))&gt;0.00000001,2,IF('DATOS'!O457="No existe",IF(LEN(TRIM('DATOS'!I457&amp;""))=0,0,2),IF('DATOS'!O457="Comparamos",IF(LEN(TRIM('DATOS'!I457&amp;""))=0,1,IF(ISNUMBER('DATOS'!I457),IF(ABS('DATOS'!H457-'DATOS'!I457)&gt;0.00000001,2,0),2)),1)))))),2)</f>
      </c>
      <c r="Q457" s="29">
        <f>IFERROR(IF(N457=0,"",IF(NOT(Y457=1),1,IF('DATOS'!K457="Sin valorar",2,IF('DATOS'!G457=0,1,IF(OR('DATOS'!H457=0,'DATOS'!J457=0),IF(AND(OR('DATOS'!K457="Sin coste documentado",'DATOS'!K457="Incluido en otra partida"),AND(LEN(TRIM('DATOS'!L457&amp;""))&gt;0,TRIM('DATOS'!L457&amp;"")&lt;&gt;"Pendiente",TRIM('DATOS'!L457&amp;"")&lt;&gt;"Por confirmar",TRIM('DATOS'!L457&amp;"")&lt;&gt;"No consta",TRIM('DATOS'!L457&amp;"")&lt;&gt;"Desconocido",TRIM('DATOS'!L457&amp;"")&lt;&gt;"Sin confirmar",TRIM('DATOS'!L457&amp;"")&lt;&gt;"Por decidir",TRIM('DATOS'!L457&amp;"")&lt;&gt;"Por comprobar")),0,1),0))))),2)</f>
      </c>
      <c r="R457" s="29">
        <f>IFERROR(IF(N457=0,"",IF(OR(NOT(AND(LEN(TRIM('DATOS'!D457&amp;""))&gt;0,TRIM('DATOS'!D457&amp;"")&lt;&gt;"Pendiente",TRIM('DATOS'!D457&amp;"")&lt;&gt;"Por confirmar",TRIM('DATOS'!D457&amp;"")&lt;&gt;"No consta",TRIM('DATOS'!D457&amp;"")&lt;&gt;"Desconocido",TRIM('DATOS'!D457&amp;"")&lt;&gt;"Sin confirmar",TRIM('DATOS'!D457&amp;"")&lt;&gt;"Por decidir",TRIM('DATOS'!D457&amp;"")&lt;&gt;"Por comprobar")),NOT(AND(LEN(TRIM('DATOS'!E457&amp;""))&gt;0,TRIM('DATOS'!E457&amp;"")&lt;&gt;"Pendiente",TRIM('DATOS'!E457&amp;"")&lt;&gt;"Por confirmar",TRIM('DATOS'!E457&amp;"")&lt;&gt;"No consta",TRIM('DATOS'!E457&amp;"")&lt;&gt;"Desconocido",TRIM('DATOS'!E457&amp;"")&lt;&gt;"Sin confirmar",TRIM('DATOS'!E457&amp;"")&lt;&gt;"Por decidir",TRIM('DATOS'!E457&amp;"")&lt;&gt;"Por comprobar"))),2,IF('DATOS'!M457="No",2,IF('DATOS'!M457="Sí",0,IF(OR('DATOS'!D457&lt;&gt;'DATOS'!E457,LEN('DATOS'!E457)&gt;300,RIGHT(TRIM('DATOS'!E457),3)="...",RIGHT(TRIM('DATOS'!E457),1)="…"),1,0))))),2)</f>
      </c>
      <c r="S457" s="29">
        <f>IFERROR(IF(N457=0,"",IF('REFERENCIAS'!$Q$8&lt;&gt;1,2,IF(NOT(Y457=1),1,IF(OR(ABS('DATOS'!G457-ROUND('DATOS'!G457,'REFERENCIAS'!$E$8))&gt;0.00000001,ABS('DATOS'!H457-ROUND('DATOS'!H457,'REFERENCIAS'!$H$8))&gt;0.00000001,ABS('DATOS'!J457-ROUND('DATOS'!J457,'REFERENCIAS'!$K$8))&gt;0.00000001,IF(ISNUMBER('DATOS'!I457),ABS('DATOS'!I457-ROUND('DATOS'!I457,'REFERENCIAS'!$H$8))&gt;0.00000001,FALSE)),1,0)))),2)</f>
      </c>
      <c r="T457" s="29">
        <f>IFERROR(IF(N457=0,"",IF(NOT(AND(LEN(TRIM('DATOS'!F457&amp;""))&gt;0,TRIM('DATOS'!F457&amp;"")&lt;&gt;"Pendiente",TRIM('DATOS'!F457&amp;"")&lt;&gt;"Por confirmar",TRIM('DATOS'!F457&amp;"")&lt;&gt;"No consta",TRIM('DATOS'!F457&amp;"")&lt;&gt;"Desconocido",TRIM('DATOS'!F457&amp;"")&lt;&gt;"Sin confirmar",TRIM('DATOS'!F457&amp;"")&lt;&gt;"Por decidir",TRIM('DATOS'!F457&amp;"")&lt;&gt;"Por comprobar")),2,IF(COUNTIFS('REFERENCIAS'!$T$15:$T$34,"ID:"&amp;SUBSTITUTE(SUBSTITUTE(SUBSTITUTE(SUBSTITUTE(UPPER(TRIM('DATOS'!F457&amp;"")),"!","!E"),"*","!A"),"?","!B"),"~","!C"),'REFERENCIAS'!$H$15:$H$34,"&lt;&gt;")&gt;0,0,1))),2)</f>
      </c>
      <c r="U457" s="29" t="str">
        <f>'DATOS'!R457</f>
        <v>ID:</v>
      </c>
      <c r="V457" s="29" t="str">
        <f>'DATOS'!S457</f>
        <v>ID:</v>
      </c>
      <c r="W457" s="29" t="n">
        <f>IF(N457=0,0,COUNTIFS('REFERENCIAS'!$R$15:$R$64,U457))</f>
        <v>0</v>
      </c>
      <c r="X457" s="29" t="n">
        <f>IF(N457=0,0,COUNTIFS('DATOS'!$R$10:$R$509,U457,'DATOS'!$S$10:$S$509,V457))</f>
        <v>0</v>
      </c>
      <c r="Y457" s="29" t="n">
        <f>IF(AND(ISNUMBER('DATOS'!G457),ISNUMBER('DATOS'!H457),ISNUMBER('DATOS'!J457)),1,0)</f>
        <v>0</v>
      </c>
    </row>
    <row r="458" ht="64" customHeight="1">
      <c r="B458" s="26">
        <f>IF(N458=1,449,"")</f>
      </c>
      <c r="C458" s="26">
        <f>IF(AND(N458=1,LEN(TRIM('DATOS'!B458&amp;""))&gt;0),'DATOS'!B458,"")</f>
      </c>
      <c r="D458" s="26">
        <f>IF(AND(N458=1,LEN(TRIM('DATOS'!C458&amp;""))&gt;0),'DATOS'!C458,"")</f>
      </c>
      <c r="E458" s="26">
        <f>IF(NOT(ISNUMBER(P458)),"",IF(P458=2,"ROJO",IF(P458=1,"ÁMBAR","VERDE")))</f>
      </c>
      <c r="F458" s="26">
        <f>IF(NOT(ISNUMBER(Q458)),"",IF(Q458=2,"ROJO",IF(Q458=1,"ÁMBAR","VERDE")))</f>
      </c>
      <c r="G458" s="26">
        <f>IF(NOT(ISNUMBER(R458)),"",IF(R458=2,"ROJO",IF(R458=1,"ÁMBAR","VERDE")))</f>
      </c>
      <c r="H458" s="26">
        <f>IF(NOT(ISNUMBER(S458)),"",IF(S458=2,"ROJO",IF(S458=1,"ÁMBAR","VERDE")))</f>
      </c>
      <c r="I458" s="26">
        <f>IF(NOT(ISNUMBER(T458)),"",IF(T458=2,"ROJO",IF(T458=1,"ÁMBAR","VERDE")))</f>
      </c>
      <c r="J458" s="26">
        <f>IF(NOT(ISNUMBER(O458)),"",IF(O458=2,"ROJO",IF(O458=1,"ÁMBAR","VERDE")))</f>
      </c>
      <c r="K458" s="26">
        <f>IFERROR(IF(AND(N458=1,LEN(TRIM('DATOS'!N458&amp;""))&gt;0),'DATOS'!N458,""),"Hay una entrada con error. Corregimos el dato antes de cerrar la comprobación.")</f>
      </c>
      <c r="L458" s="26">
        <f>IFERROR(IF(N458=0,"",IF(O458&gt;0,"Completamos datos, claves o motivo. ","")&amp;IF(P458&gt;0,"Cotejamos precios e importe. ","")&amp;IF(Q458&gt;0,"Aclaramos el cero. ","")&amp;IF(R458&gt;0,"Comprobamos el texto. ","")&amp;IF(S458&gt;0,"Revisamos decimales visibles. ","")&amp;IF(T458&gt;0,"Confirmamos la unidad.","")),"Hay una entrada con error. Corregimos el dato antes de cerrar la comprobación.")</f>
      </c>
      <c r="N458" s="29" t="n">
        <f>IF(COUNTA('DATOS'!B458:O458)&gt;0,1,0)</f>
        <v>0</v>
      </c>
      <c r="O458" s="29">
        <f>IFERROR(IF(N458=0,"",IF(OR(NOT(AND(LEN(TRIM('DATOS'!B458&amp;""))&gt;0,TRIM('DATOS'!B458&amp;"")&lt;&gt;"Pendiente",TRIM('DATOS'!B458&amp;"")&lt;&gt;"Por confirmar",TRIM('DATOS'!B458&amp;"")&lt;&gt;"No consta",TRIM('DATOS'!B458&amp;"")&lt;&gt;"Desconocido",TRIM('DATOS'!B458&amp;"")&lt;&gt;"Sin confirmar",TRIM('DATOS'!B458&amp;"")&lt;&gt;"Por decidir",TRIM('DATOS'!B458&amp;"")&lt;&gt;"Por comprobar")),NOT(AND(LEN(TRIM('DATOS'!C458&amp;""))&gt;0,TRIM('DATOS'!C458&amp;"")&lt;&gt;"Pendiente",TRIM('DATOS'!C458&amp;"")&lt;&gt;"Por confirmar",TRIM('DATOS'!C458&amp;"")&lt;&gt;"No consta",TRIM('DATOS'!C458&amp;"")&lt;&gt;"Desconocido",TRIM('DATOS'!C458&amp;"")&lt;&gt;"Sin confirmar",TRIM('DATOS'!C458&amp;"")&lt;&gt;"Por decidir",TRIM('DATOS'!C458&amp;"")&lt;&gt;"Por comprobar")),NOT(AND(LEN(TRIM('DATOS'!D458&amp;""))&gt;0,TRIM('DATOS'!D458&amp;"")&lt;&gt;"Pendiente",TRIM('DATOS'!D458&amp;"")&lt;&gt;"Por confirmar",TRIM('DATOS'!D458&amp;"")&lt;&gt;"No consta",TRIM('DATOS'!D458&amp;"")&lt;&gt;"Desconocido",TRIM('DATOS'!D458&amp;"")&lt;&gt;"Sin confirmar",TRIM('DATOS'!D458&amp;"")&lt;&gt;"Por decidir",TRIM('DATOS'!D458&amp;"")&lt;&gt;"Por comprobar")),NOT(AND(LEN(TRIM('DATOS'!E458&amp;""))&gt;0,TRIM('DATOS'!E458&amp;"")&lt;&gt;"Pendiente",TRIM('DATOS'!E458&amp;"")&lt;&gt;"Por confirmar",TRIM('DATOS'!E458&amp;"")&lt;&gt;"No consta",TRIM('DATOS'!E458&amp;"")&lt;&gt;"Desconocido",TRIM('DATOS'!E458&amp;"")&lt;&gt;"Sin confirmar",TRIM('DATOS'!E458&amp;"")&lt;&gt;"Por decidir",TRIM('DATOS'!E458&amp;"")&lt;&gt;"Por comprobar")),NOT(AND(LEN(TRIM('DATOS'!F458&amp;""))&gt;0,TRIM('DATOS'!F458&amp;"")&lt;&gt;"Pendiente",TRIM('DATOS'!F458&amp;"")&lt;&gt;"Por confirmar",TRIM('DATOS'!F458&amp;"")&lt;&gt;"No consta",TRIM('DATOS'!F458&amp;"")&lt;&gt;"Desconocido",TRIM('DATOS'!F458&amp;"")&lt;&gt;"Sin confirmar",TRIM('DATOS'!F458&amp;"")&lt;&gt;"Por decidir",TRIM('DATOS'!F458&amp;"")&lt;&gt;"Por comprobar")),NOT(AND(LEN(TRIM('DATOS'!N458&amp;""))&gt;0,TRIM('DATOS'!N458&amp;"")&lt;&gt;"Pendiente",TRIM('DATOS'!N458&amp;"")&lt;&gt;"Por confirmar",TRIM('DATOS'!N458&amp;"")&lt;&gt;"No consta",TRIM('DATOS'!N458&amp;"")&lt;&gt;"Desconocido",TRIM('DATOS'!N458&amp;"")&lt;&gt;"Sin confirmar",TRIM('DATOS'!N458&amp;"")&lt;&gt;"Por decidir",TRIM('DATOS'!N458&amp;"")&lt;&gt;"Por comprobar")),NOT(Y458=1),W458&lt;&gt;1,X458&gt;1,NOT(OR(LEN(TRIM('DATOS'!K458&amp;""))=0,'DATOS'!K458="Sin valorar",'DATOS'!K458="Sin coste documentado",'DATOS'!K458="Incluido en otra partida",'DATOS'!K458="Por confirmar")),NOT(OR(LEN(TRIM('DATOS'!M458&amp;""))=0,'DATOS'!M458="Sí",'DATOS'!M458="No",'DATOS'!M458="Por confirmar")),NOT(OR(LEN(TRIM('DATOS'!O458&amp;""))=0,'DATOS'!O458="Comparamos",'DATOS'!O458="No existe",'DATOS'!O458="Por confirmar"))),2,IF(AND(OR('DATOS'!G458&lt;0,'DATOS'!H458&lt;0,'DATOS'!J458&lt;0),NOT(AND(LEN(TRIM('DATOS'!L458&amp;""))&gt;0,TRIM('DATOS'!L458&amp;"")&lt;&gt;"Pendiente",TRIM('DATOS'!L458&amp;"")&lt;&gt;"Por confirmar",TRIM('DATOS'!L458&amp;"")&lt;&gt;"No consta",TRIM('DATOS'!L458&amp;"")&lt;&gt;"Desconocido",TRIM('DATOS'!L458&amp;"")&lt;&gt;"Sin confirmar",TRIM('DATOS'!L458&amp;"")&lt;&gt;"Por decidir",TRIM('DATOS'!L458&amp;"")&lt;&gt;"Por comprobar"))),1,0))),2)</f>
      </c>
      <c r="P458" s="29">
        <f>IFERROR(IF(N458=0,"",IF(NOT(Y458=1),1,IF('REFERENCIAS'!$Q$8&lt;&gt;1,2,IF(ABS('DATOS'!J458-ROUND('DATOS'!G458*'DATOS'!H458,'REFERENCIAS'!$K$8))&gt;0.00000001,2,IF('DATOS'!O458="No existe",IF(LEN(TRIM('DATOS'!I458&amp;""))=0,0,2),IF('DATOS'!O458="Comparamos",IF(LEN(TRIM('DATOS'!I458&amp;""))=0,1,IF(ISNUMBER('DATOS'!I458),IF(ABS('DATOS'!H458-'DATOS'!I458)&gt;0.00000001,2,0),2)),1)))))),2)</f>
      </c>
      <c r="Q458" s="29">
        <f>IFERROR(IF(N458=0,"",IF(NOT(Y458=1),1,IF('DATOS'!K458="Sin valorar",2,IF('DATOS'!G458=0,1,IF(OR('DATOS'!H458=0,'DATOS'!J458=0),IF(AND(OR('DATOS'!K458="Sin coste documentado",'DATOS'!K458="Incluido en otra partida"),AND(LEN(TRIM('DATOS'!L458&amp;""))&gt;0,TRIM('DATOS'!L458&amp;"")&lt;&gt;"Pendiente",TRIM('DATOS'!L458&amp;"")&lt;&gt;"Por confirmar",TRIM('DATOS'!L458&amp;"")&lt;&gt;"No consta",TRIM('DATOS'!L458&amp;"")&lt;&gt;"Desconocido",TRIM('DATOS'!L458&amp;"")&lt;&gt;"Sin confirmar",TRIM('DATOS'!L458&amp;"")&lt;&gt;"Por decidir",TRIM('DATOS'!L458&amp;"")&lt;&gt;"Por comprobar")),0,1),0))))),2)</f>
      </c>
      <c r="R458" s="29">
        <f>IFERROR(IF(N458=0,"",IF(OR(NOT(AND(LEN(TRIM('DATOS'!D458&amp;""))&gt;0,TRIM('DATOS'!D458&amp;"")&lt;&gt;"Pendiente",TRIM('DATOS'!D458&amp;"")&lt;&gt;"Por confirmar",TRIM('DATOS'!D458&amp;"")&lt;&gt;"No consta",TRIM('DATOS'!D458&amp;"")&lt;&gt;"Desconocido",TRIM('DATOS'!D458&amp;"")&lt;&gt;"Sin confirmar",TRIM('DATOS'!D458&amp;"")&lt;&gt;"Por decidir",TRIM('DATOS'!D458&amp;"")&lt;&gt;"Por comprobar")),NOT(AND(LEN(TRIM('DATOS'!E458&amp;""))&gt;0,TRIM('DATOS'!E458&amp;"")&lt;&gt;"Pendiente",TRIM('DATOS'!E458&amp;"")&lt;&gt;"Por confirmar",TRIM('DATOS'!E458&amp;"")&lt;&gt;"No consta",TRIM('DATOS'!E458&amp;"")&lt;&gt;"Desconocido",TRIM('DATOS'!E458&amp;"")&lt;&gt;"Sin confirmar",TRIM('DATOS'!E458&amp;"")&lt;&gt;"Por decidir",TRIM('DATOS'!E458&amp;"")&lt;&gt;"Por comprobar"))),2,IF('DATOS'!M458="No",2,IF('DATOS'!M458="Sí",0,IF(OR('DATOS'!D458&lt;&gt;'DATOS'!E458,LEN('DATOS'!E458)&gt;300,RIGHT(TRIM('DATOS'!E458),3)="...",RIGHT(TRIM('DATOS'!E458),1)="…"),1,0))))),2)</f>
      </c>
      <c r="S458" s="29">
        <f>IFERROR(IF(N458=0,"",IF('REFERENCIAS'!$Q$8&lt;&gt;1,2,IF(NOT(Y458=1),1,IF(OR(ABS('DATOS'!G458-ROUND('DATOS'!G458,'REFERENCIAS'!$E$8))&gt;0.00000001,ABS('DATOS'!H458-ROUND('DATOS'!H458,'REFERENCIAS'!$H$8))&gt;0.00000001,ABS('DATOS'!J458-ROUND('DATOS'!J458,'REFERENCIAS'!$K$8))&gt;0.00000001,IF(ISNUMBER('DATOS'!I458),ABS('DATOS'!I458-ROUND('DATOS'!I458,'REFERENCIAS'!$H$8))&gt;0.00000001,FALSE)),1,0)))),2)</f>
      </c>
      <c r="T458" s="29">
        <f>IFERROR(IF(N458=0,"",IF(NOT(AND(LEN(TRIM('DATOS'!F458&amp;""))&gt;0,TRIM('DATOS'!F458&amp;"")&lt;&gt;"Pendiente",TRIM('DATOS'!F458&amp;"")&lt;&gt;"Por confirmar",TRIM('DATOS'!F458&amp;"")&lt;&gt;"No consta",TRIM('DATOS'!F458&amp;"")&lt;&gt;"Desconocido",TRIM('DATOS'!F458&amp;"")&lt;&gt;"Sin confirmar",TRIM('DATOS'!F458&amp;"")&lt;&gt;"Por decidir",TRIM('DATOS'!F458&amp;"")&lt;&gt;"Por comprobar")),2,IF(COUNTIFS('REFERENCIAS'!$T$15:$T$34,"ID:"&amp;SUBSTITUTE(SUBSTITUTE(SUBSTITUTE(SUBSTITUTE(UPPER(TRIM('DATOS'!F458&amp;"")),"!","!E"),"*","!A"),"?","!B"),"~","!C"),'REFERENCIAS'!$H$15:$H$34,"&lt;&gt;")&gt;0,0,1))),2)</f>
      </c>
      <c r="U458" s="29" t="str">
        <f>'DATOS'!R458</f>
        <v>ID:</v>
      </c>
      <c r="V458" s="29" t="str">
        <f>'DATOS'!S458</f>
        <v>ID:</v>
      </c>
      <c r="W458" s="29" t="n">
        <f>IF(N458=0,0,COUNTIFS('REFERENCIAS'!$R$15:$R$64,U458))</f>
        <v>0</v>
      </c>
      <c r="X458" s="29" t="n">
        <f>IF(N458=0,0,COUNTIFS('DATOS'!$R$10:$R$509,U458,'DATOS'!$S$10:$S$509,V458))</f>
        <v>0</v>
      </c>
      <c r="Y458" s="29" t="n">
        <f>IF(AND(ISNUMBER('DATOS'!G458),ISNUMBER('DATOS'!H458),ISNUMBER('DATOS'!J458)),1,0)</f>
        <v>0</v>
      </c>
    </row>
    <row r="459" ht="64" customHeight="1">
      <c r="B459" s="26">
        <f>IF(N459=1,450,"")</f>
      </c>
      <c r="C459" s="26">
        <f>IF(AND(N459=1,LEN(TRIM('DATOS'!B459&amp;""))&gt;0),'DATOS'!B459,"")</f>
      </c>
      <c r="D459" s="26">
        <f>IF(AND(N459=1,LEN(TRIM('DATOS'!C459&amp;""))&gt;0),'DATOS'!C459,"")</f>
      </c>
      <c r="E459" s="26">
        <f>IF(NOT(ISNUMBER(P459)),"",IF(P459=2,"ROJO",IF(P459=1,"ÁMBAR","VERDE")))</f>
      </c>
      <c r="F459" s="26">
        <f>IF(NOT(ISNUMBER(Q459)),"",IF(Q459=2,"ROJO",IF(Q459=1,"ÁMBAR","VERDE")))</f>
      </c>
      <c r="G459" s="26">
        <f>IF(NOT(ISNUMBER(R459)),"",IF(R459=2,"ROJO",IF(R459=1,"ÁMBAR","VERDE")))</f>
      </c>
      <c r="H459" s="26">
        <f>IF(NOT(ISNUMBER(S459)),"",IF(S459=2,"ROJO",IF(S459=1,"ÁMBAR","VERDE")))</f>
      </c>
      <c r="I459" s="26">
        <f>IF(NOT(ISNUMBER(T459)),"",IF(T459=2,"ROJO",IF(T459=1,"ÁMBAR","VERDE")))</f>
      </c>
      <c r="J459" s="26">
        <f>IF(NOT(ISNUMBER(O459)),"",IF(O459=2,"ROJO",IF(O459=1,"ÁMBAR","VERDE")))</f>
      </c>
      <c r="K459" s="26">
        <f>IFERROR(IF(AND(N459=1,LEN(TRIM('DATOS'!N459&amp;""))&gt;0),'DATOS'!N459,""),"Hay una entrada con error. Corregimos el dato antes de cerrar la comprobación.")</f>
      </c>
      <c r="L459" s="26">
        <f>IFERROR(IF(N459=0,"",IF(O459&gt;0,"Completamos datos, claves o motivo. ","")&amp;IF(P459&gt;0,"Cotejamos precios e importe. ","")&amp;IF(Q459&gt;0,"Aclaramos el cero. ","")&amp;IF(R459&gt;0,"Comprobamos el texto. ","")&amp;IF(S459&gt;0,"Revisamos decimales visibles. ","")&amp;IF(T459&gt;0,"Confirmamos la unidad.","")),"Hay una entrada con error. Corregimos el dato antes de cerrar la comprobación.")</f>
      </c>
      <c r="N459" s="29" t="n">
        <f>IF(COUNTA('DATOS'!B459:O459)&gt;0,1,0)</f>
        <v>0</v>
      </c>
      <c r="O459" s="29">
        <f>IFERROR(IF(N459=0,"",IF(OR(NOT(AND(LEN(TRIM('DATOS'!B459&amp;""))&gt;0,TRIM('DATOS'!B459&amp;"")&lt;&gt;"Pendiente",TRIM('DATOS'!B459&amp;"")&lt;&gt;"Por confirmar",TRIM('DATOS'!B459&amp;"")&lt;&gt;"No consta",TRIM('DATOS'!B459&amp;"")&lt;&gt;"Desconocido",TRIM('DATOS'!B459&amp;"")&lt;&gt;"Sin confirmar",TRIM('DATOS'!B459&amp;"")&lt;&gt;"Por decidir",TRIM('DATOS'!B459&amp;"")&lt;&gt;"Por comprobar")),NOT(AND(LEN(TRIM('DATOS'!C459&amp;""))&gt;0,TRIM('DATOS'!C459&amp;"")&lt;&gt;"Pendiente",TRIM('DATOS'!C459&amp;"")&lt;&gt;"Por confirmar",TRIM('DATOS'!C459&amp;"")&lt;&gt;"No consta",TRIM('DATOS'!C459&amp;"")&lt;&gt;"Desconocido",TRIM('DATOS'!C459&amp;"")&lt;&gt;"Sin confirmar",TRIM('DATOS'!C459&amp;"")&lt;&gt;"Por decidir",TRIM('DATOS'!C459&amp;"")&lt;&gt;"Por comprobar")),NOT(AND(LEN(TRIM('DATOS'!D459&amp;""))&gt;0,TRIM('DATOS'!D459&amp;"")&lt;&gt;"Pendiente",TRIM('DATOS'!D459&amp;"")&lt;&gt;"Por confirmar",TRIM('DATOS'!D459&amp;"")&lt;&gt;"No consta",TRIM('DATOS'!D459&amp;"")&lt;&gt;"Desconocido",TRIM('DATOS'!D459&amp;"")&lt;&gt;"Sin confirmar",TRIM('DATOS'!D459&amp;"")&lt;&gt;"Por decidir",TRIM('DATOS'!D459&amp;"")&lt;&gt;"Por comprobar")),NOT(AND(LEN(TRIM('DATOS'!E459&amp;""))&gt;0,TRIM('DATOS'!E459&amp;"")&lt;&gt;"Pendiente",TRIM('DATOS'!E459&amp;"")&lt;&gt;"Por confirmar",TRIM('DATOS'!E459&amp;"")&lt;&gt;"No consta",TRIM('DATOS'!E459&amp;"")&lt;&gt;"Desconocido",TRIM('DATOS'!E459&amp;"")&lt;&gt;"Sin confirmar",TRIM('DATOS'!E459&amp;"")&lt;&gt;"Por decidir",TRIM('DATOS'!E459&amp;"")&lt;&gt;"Por comprobar")),NOT(AND(LEN(TRIM('DATOS'!F459&amp;""))&gt;0,TRIM('DATOS'!F459&amp;"")&lt;&gt;"Pendiente",TRIM('DATOS'!F459&amp;"")&lt;&gt;"Por confirmar",TRIM('DATOS'!F459&amp;"")&lt;&gt;"No consta",TRIM('DATOS'!F459&amp;"")&lt;&gt;"Desconocido",TRIM('DATOS'!F459&amp;"")&lt;&gt;"Sin confirmar",TRIM('DATOS'!F459&amp;"")&lt;&gt;"Por decidir",TRIM('DATOS'!F459&amp;"")&lt;&gt;"Por comprobar")),NOT(AND(LEN(TRIM('DATOS'!N459&amp;""))&gt;0,TRIM('DATOS'!N459&amp;"")&lt;&gt;"Pendiente",TRIM('DATOS'!N459&amp;"")&lt;&gt;"Por confirmar",TRIM('DATOS'!N459&amp;"")&lt;&gt;"No consta",TRIM('DATOS'!N459&amp;"")&lt;&gt;"Desconocido",TRIM('DATOS'!N459&amp;"")&lt;&gt;"Sin confirmar",TRIM('DATOS'!N459&amp;"")&lt;&gt;"Por decidir",TRIM('DATOS'!N459&amp;"")&lt;&gt;"Por comprobar")),NOT(Y459=1),W459&lt;&gt;1,X459&gt;1,NOT(OR(LEN(TRIM('DATOS'!K459&amp;""))=0,'DATOS'!K459="Sin valorar",'DATOS'!K459="Sin coste documentado",'DATOS'!K459="Incluido en otra partida",'DATOS'!K459="Por confirmar")),NOT(OR(LEN(TRIM('DATOS'!M459&amp;""))=0,'DATOS'!M459="Sí",'DATOS'!M459="No",'DATOS'!M459="Por confirmar")),NOT(OR(LEN(TRIM('DATOS'!O459&amp;""))=0,'DATOS'!O459="Comparamos",'DATOS'!O459="No existe",'DATOS'!O459="Por confirmar"))),2,IF(AND(OR('DATOS'!G459&lt;0,'DATOS'!H459&lt;0,'DATOS'!J459&lt;0),NOT(AND(LEN(TRIM('DATOS'!L459&amp;""))&gt;0,TRIM('DATOS'!L459&amp;"")&lt;&gt;"Pendiente",TRIM('DATOS'!L459&amp;"")&lt;&gt;"Por confirmar",TRIM('DATOS'!L459&amp;"")&lt;&gt;"No consta",TRIM('DATOS'!L459&amp;"")&lt;&gt;"Desconocido",TRIM('DATOS'!L459&amp;"")&lt;&gt;"Sin confirmar",TRIM('DATOS'!L459&amp;"")&lt;&gt;"Por decidir",TRIM('DATOS'!L459&amp;"")&lt;&gt;"Por comprobar"))),1,0))),2)</f>
      </c>
      <c r="P459" s="29">
        <f>IFERROR(IF(N459=0,"",IF(NOT(Y459=1),1,IF('REFERENCIAS'!$Q$8&lt;&gt;1,2,IF(ABS('DATOS'!J459-ROUND('DATOS'!G459*'DATOS'!H459,'REFERENCIAS'!$K$8))&gt;0.00000001,2,IF('DATOS'!O459="No existe",IF(LEN(TRIM('DATOS'!I459&amp;""))=0,0,2),IF('DATOS'!O459="Comparamos",IF(LEN(TRIM('DATOS'!I459&amp;""))=0,1,IF(ISNUMBER('DATOS'!I459),IF(ABS('DATOS'!H459-'DATOS'!I459)&gt;0.00000001,2,0),2)),1)))))),2)</f>
      </c>
      <c r="Q459" s="29">
        <f>IFERROR(IF(N459=0,"",IF(NOT(Y459=1),1,IF('DATOS'!K459="Sin valorar",2,IF('DATOS'!G459=0,1,IF(OR('DATOS'!H459=0,'DATOS'!J459=0),IF(AND(OR('DATOS'!K459="Sin coste documentado",'DATOS'!K459="Incluido en otra partida"),AND(LEN(TRIM('DATOS'!L459&amp;""))&gt;0,TRIM('DATOS'!L459&amp;"")&lt;&gt;"Pendiente",TRIM('DATOS'!L459&amp;"")&lt;&gt;"Por confirmar",TRIM('DATOS'!L459&amp;"")&lt;&gt;"No consta",TRIM('DATOS'!L459&amp;"")&lt;&gt;"Desconocido",TRIM('DATOS'!L459&amp;"")&lt;&gt;"Sin confirmar",TRIM('DATOS'!L459&amp;"")&lt;&gt;"Por decidir",TRIM('DATOS'!L459&amp;"")&lt;&gt;"Por comprobar")),0,1),0))))),2)</f>
      </c>
      <c r="R459" s="29">
        <f>IFERROR(IF(N459=0,"",IF(OR(NOT(AND(LEN(TRIM('DATOS'!D459&amp;""))&gt;0,TRIM('DATOS'!D459&amp;"")&lt;&gt;"Pendiente",TRIM('DATOS'!D459&amp;"")&lt;&gt;"Por confirmar",TRIM('DATOS'!D459&amp;"")&lt;&gt;"No consta",TRIM('DATOS'!D459&amp;"")&lt;&gt;"Desconocido",TRIM('DATOS'!D459&amp;"")&lt;&gt;"Sin confirmar",TRIM('DATOS'!D459&amp;"")&lt;&gt;"Por decidir",TRIM('DATOS'!D459&amp;"")&lt;&gt;"Por comprobar")),NOT(AND(LEN(TRIM('DATOS'!E459&amp;""))&gt;0,TRIM('DATOS'!E459&amp;"")&lt;&gt;"Pendiente",TRIM('DATOS'!E459&amp;"")&lt;&gt;"Por confirmar",TRIM('DATOS'!E459&amp;"")&lt;&gt;"No consta",TRIM('DATOS'!E459&amp;"")&lt;&gt;"Desconocido",TRIM('DATOS'!E459&amp;"")&lt;&gt;"Sin confirmar",TRIM('DATOS'!E459&amp;"")&lt;&gt;"Por decidir",TRIM('DATOS'!E459&amp;"")&lt;&gt;"Por comprobar"))),2,IF('DATOS'!M459="No",2,IF('DATOS'!M459="Sí",0,IF(OR('DATOS'!D459&lt;&gt;'DATOS'!E459,LEN('DATOS'!E459)&gt;300,RIGHT(TRIM('DATOS'!E459),3)="...",RIGHT(TRIM('DATOS'!E459),1)="…"),1,0))))),2)</f>
      </c>
      <c r="S459" s="29">
        <f>IFERROR(IF(N459=0,"",IF('REFERENCIAS'!$Q$8&lt;&gt;1,2,IF(NOT(Y459=1),1,IF(OR(ABS('DATOS'!G459-ROUND('DATOS'!G459,'REFERENCIAS'!$E$8))&gt;0.00000001,ABS('DATOS'!H459-ROUND('DATOS'!H459,'REFERENCIAS'!$H$8))&gt;0.00000001,ABS('DATOS'!J459-ROUND('DATOS'!J459,'REFERENCIAS'!$K$8))&gt;0.00000001,IF(ISNUMBER('DATOS'!I459),ABS('DATOS'!I459-ROUND('DATOS'!I459,'REFERENCIAS'!$H$8))&gt;0.00000001,FALSE)),1,0)))),2)</f>
      </c>
      <c r="T459" s="29">
        <f>IFERROR(IF(N459=0,"",IF(NOT(AND(LEN(TRIM('DATOS'!F459&amp;""))&gt;0,TRIM('DATOS'!F459&amp;"")&lt;&gt;"Pendiente",TRIM('DATOS'!F459&amp;"")&lt;&gt;"Por confirmar",TRIM('DATOS'!F459&amp;"")&lt;&gt;"No consta",TRIM('DATOS'!F459&amp;"")&lt;&gt;"Desconocido",TRIM('DATOS'!F459&amp;"")&lt;&gt;"Sin confirmar",TRIM('DATOS'!F459&amp;"")&lt;&gt;"Por decidir",TRIM('DATOS'!F459&amp;"")&lt;&gt;"Por comprobar")),2,IF(COUNTIFS('REFERENCIAS'!$T$15:$T$34,"ID:"&amp;SUBSTITUTE(SUBSTITUTE(SUBSTITUTE(SUBSTITUTE(UPPER(TRIM('DATOS'!F459&amp;"")),"!","!E"),"*","!A"),"?","!B"),"~","!C"),'REFERENCIAS'!$H$15:$H$34,"&lt;&gt;")&gt;0,0,1))),2)</f>
      </c>
      <c r="U459" s="29" t="str">
        <f>'DATOS'!R459</f>
        <v>ID:</v>
      </c>
      <c r="V459" s="29" t="str">
        <f>'DATOS'!S459</f>
        <v>ID:</v>
      </c>
      <c r="W459" s="29" t="n">
        <f>IF(N459=0,0,COUNTIFS('REFERENCIAS'!$R$15:$R$64,U459))</f>
        <v>0</v>
      </c>
      <c r="X459" s="29" t="n">
        <f>IF(N459=0,0,COUNTIFS('DATOS'!$R$10:$R$509,U459,'DATOS'!$S$10:$S$509,V459))</f>
        <v>0</v>
      </c>
      <c r="Y459" s="29" t="n">
        <f>IF(AND(ISNUMBER('DATOS'!G459),ISNUMBER('DATOS'!H459),ISNUMBER('DATOS'!J459)),1,0)</f>
        <v>0</v>
      </c>
    </row>
    <row r="460" ht="64" customHeight="1">
      <c r="B460" s="26">
        <f>IF(N460=1,451,"")</f>
      </c>
      <c r="C460" s="26">
        <f>IF(AND(N460=1,LEN(TRIM('DATOS'!B460&amp;""))&gt;0),'DATOS'!B460,"")</f>
      </c>
      <c r="D460" s="26">
        <f>IF(AND(N460=1,LEN(TRIM('DATOS'!C460&amp;""))&gt;0),'DATOS'!C460,"")</f>
      </c>
      <c r="E460" s="26">
        <f>IF(NOT(ISNUMBER(P460)),"",IF(P460=2,"ROJO",IF(P460=1,"ÁMBAR","VERDE")))</f>
      </c>
      <c r="F460" s="26">
        <f>IF(NOT(ISNUMBER(Q460)),"",IF(Q460=2,"ROJO",IF(Q460=1,"ÁMBAR","VERDE")))</f>
      </c>
      <c r="G460" s="26">
        <f>IF(NOT(ISNUMBER(R460)),"",IF(R460=2,"ROJO",IF(R460=1,"ÁMBAR","VERDE")))</f>
      </c>
      <c r="H460" s="26">
        <f>IF(NOT(ISNUMBER(S460)),"",IF(S460=2,"ROJO",IF(S460=1,"ÁMBAR","VERDE")))</f>
      </c>
      <c r="I460" s="26">
        <f>IF(NOT(ISNUMBER(T460)),"",IF(T460=2,"ROJO",IF(T460=1,"ÁMBAR","VERDE")))</f>
      </c>
      <c r="J460" s="26">
        <f>IF(NOT(ISNUMBER(O460)),"",IF(O460=2,"ROJO",IF(O460=1,"ÁMBAR","VERDE")))</f>
      </c>
      <c r="K460" s="26">
        <f>IFERROR(IF(AND(N460=1,LEN(TRIM('DATOS'!N460&amp;""))&gt;0),'DATOS'!N460,""),"Hay una entrada con error. Corregimos el dato antes de cerrar la comprobación.")</f>
      </c>
      <c r="L460" s="26">
        <f>IFERROR(IF(N460=0,"",IF(O460&gt;0,"Completamos datos, claves o motivo. ","")&amp;IF(P460&gt;0,"Cotejamos precios e importe. ","")&amp;IF(Q460&gt;0,"Aclaramos el cero. ","")&amp;IF(R460&gt;0,"Comprobamos el texto. ","")&amp;IF(S460&gt;0,"Revisamos decimales visibles. ","")&amp;IF(T460&gt;0,"Confirmamos la unidad.","")),"Hay una entrada con error. Corregimos el dato antes de cerrar la comprobación.")</f>
      </c>
      <c r="N460" s="29" t="n">
        <f>IF(COUNTA('DATOS'!B460:O460)&gt;0,1,0)</f>
        <v>0</v>
      </c>
      <c r="O460" s="29">
        <f>IFERROR(IF(N460=0,"",IF(OR(NOT(AND(LEN(TRIM('DATOS'!B460&amp;""))&gt;0,TRIM('DATOS'!B460&amp;"")&lt;&gt;"Pendiente",TRIM('DATOS'!B460&amp;"")&lt;&gt;"Por confirmar",TRIM('DATOS'!B460&amp;"")&lt;&gt;"No consta",TRIM('DATOS'!B460&amp;"")&lt;&gt;"Desconocido",TRIM('DATOS'!B460&amp;"")&lt;&gt;"Sin confirmar",TRIM('DATOS'!B460&amp;"")&lt;&gt;"Por decidir",TRIM('DATOS'!B460&amp;"")&lt;&gt;"Por comprobar")),NOT(AND(LEN(TRIM('DATOS'!C460&amp;""))&gt;0,TRIM('DATOS'!C460&amp;"")&lt;&gt;"Pendiente",TRIM('DATOS'!C460&amp;"")&lt;&gt;"Por confirmar",TRIM('DATOS'!C460&amp;"")&lt;&gt;"No consta",TRIM('DATOS'!C460&amp;"")&lt;&gt;"Desconocido",TRIM('DATOS'!C460&amp;"")&lt;&gt;"Sin confirmar",TRIM('DATOS'!C460&amp;"")&lt;&gt;"Por decidir",TRIM('DATOS'!C460&amp;"")&lt;&gt;"Por comprobar")),NOT(AND(LEN(TRIM('DATOS'!D460&amp;""))&gt;0,TRIM('DATOS'!D460&amp;"")&lt;&gt;"Pendiente",TRIM('DATOS'!D460&amp;"")&lt;&gt;"Por confirmar",TRIM('DATOS'!D460&amp;"")&lt;&gt;"No consta",TRIM('DATOS'!D460&amp;"")&lt;&gt;"Desconocido",TRIM('DATOS'!D460&amp;"")&lt;&gt;"Sin confirmar",TRIM('DATOS'!D460&amp;"")&lt;&gt;"Por decidir",TRIM('DATOS'!D460&amp;"")&lt;&gt;"Por comprobar")),NOT(AND(LEN(TRIM('DATOS'!E460&amp;""))&gt;0,TRIM('DATOS'!E460&amp;"")&lt;&gt;"Pendiente",TRIM('DATOS'!E460&amp;"")&lt;&gt;"Por confirmar",TRIM('DATOS'!E460&amp;"")&lt;&gt;"No consta",TRIM('DATOS'!E460&amp;"")&lt;&gt;"Desconocido",TRIM('DATOS'!E460&amp;"")&lt;&gt;"Sin confirmar",TRIM('DATOS'!E460&amp;"")&lt;&gt;"Por decidir",TRIM('DATOS'!E460&amp;"")&lt;&gt;"Por comprobar")),NOT(AND(LEN(TRIM('DATOS'!F460&amp;""))&gt;0,TRIM('DATOS'!F460&amp;"")&lt;&gt;"Pendiente",TRIM('DATOS'!F460&amp;"")&lt;&gt;"Por confirmar",TRIM('DATOS'!F460&amp;"")&lt;&gt;"No consta",TRIM('DATOS'!F460&amp;"")&lt;&gt;"Desconocido",TRIM('DATOS'!F460&amp;"")&lt;&gt;"Sin confirmar",TRIM('DATOS'!F460&amp;"")&lt;&gt;"Por decidir",TRIM('DATOS'!F460&amp;"")&lt;&gt;"Por comprobar")),NOT(AND(LEN(TRIM('DATOS'!N460&amp;""))&gt;0,TRIM('DATOS'!N460&amp;"")&lt;&gt;"Pendiente",TRIM('DATOS'!N460&amp;"")&lt;&gt;"Por confirmar",TRIM('DATOS'!N460&amp;"")&lt;&gt;"No consta",TRIM('DATOS'!N460&amp;"")&lt;&gt;"Desconocido",TRIM('DATOS'!N460&amp;"")&lt;&gt;"Sin confirmar",TRIM('DATOS'!N460&amp;"")&lt;&gt;"Por decidir",TRIM('DATOS'!N460&amp;"")&lt;&gt;"Por comprobar")),NOT(Y460=1),W460&lt;&gt;1,X460&gt;1,NOT(OR(LEN(TRIM('DATOS'!K460&amp;""))=0,'DATOS'!K460="Sin valorar",'DATOS'!K460="Sin coste documentado",'DATOS'!K460="Incluido en otra partida",'DATOS'!K460="Por confirmar")),NOT(OR(LEN(TRIM('DATOS'!M460&amp;""))=0,'DATOS'!M460="Sí",'DATOS'!M460="No",'DATOS'!M460="Por confirmar")),NOT(OR(LEN(TRIM('DATOS'!O460&amp;""))=0,'DATOS'!O460="Comparamos",'DATOS'!O460="No existe",'DATOS'!O460="Por confirmar"))),2,IF(AND(OR('DATOS'!G460&lt;0,'DATOS'!H460&lt;0,'DATOS'!J460&lt;0),NOT(AND(LEN(TRIM('DATOS'!L460&amp;""))&gt;0,TRIM('DATOS'!L460&amp;"")&lt;&gt;"Pendiente",TRIM('DATOS'!L460&amp;"")&lt;&gt;"Por confirmar",TRIM('DATOS'!L460&amp;"")&lt;&gt;"No consta",TRIM('DATOS'!L460&amp;"")&lt;&gt;"Desconocido",TRIM('DATOS'!L460&amp;"")&lt;&gt;"Sin confirmar",TRIM('DATOS'!L460&amp;"")&lt;&gt;"Por decidir",TRIM('DATOS'!L460&amp;"")&lt;&gt;"Por comprobar"))),1,0))),2)</f>
      </c>
      <c r="P460" s="29">
        <f>IFERROR(IF(N460=0,"",IF(NOT(Y460=1),1,IF('REFERENCIAS'!$Q$8&lt;&gt;1,2,IF(ABS('DATOS'!J460-ROUND('DATOS'!G460*'DATOS'!H460,'REFERENCIAS'!$K$8))&gt;0.00000001,2,IF('DATOS'!O460="No existe",IF(LEN(TRIM('DATOS'!I460&amp;""))=0,0,2),IF('DATOS'!O460="Comparamos",IF(LEN(TRIM('DATOS'!I460&amp;""))=0,1,IF(ISNUMBER('DATOS'!I460),IF(ABS('DATOS'!H460-'DATOS'!I460)&gt;0.00000001,2,0),2)),1)))))),2)</f>
      </c>
      <c r="Q460" s="29">
        <f>IFERROR(IF(N460=0,"",IF(NOT(Y460=1),1,IF('DATOS'!K460="Sin valorar",2,IF('DATOS'!G460=0,1,IF(OR('DATOS'!H460=0,'DATOS'!J460=0),IF(AND(OR('DATOS'!K460="Sin coste documentado",'DATOS'!K460="Incluido en otra partida"),AND(LEN(TRIM('DATOS'!L460&amp;""))&gt;0,TRIM('DATOS'!L460&amp;"")&lt;&gt;"Pendiente",TRIM('DATOS'!L460&amp;"")&lt;&gt;"Por confirmar",TRIM('DATOS'!L460&amp;"")&lt;&gt;"No consta",TRIM('DATOS'!L460&amp;"")&lt;&gt;"Desconocido",TRIM('DATOS'!L460&amp;"")&lt;&gt;"Sin confirmar",TRIM('DATOS'!L460&amp;"")&lt;&gt;"Por decidir",TRIM('DATOS'!L460&amp;"")&lt;&gt;"Por comprobar")),0,1),0))))),2)</f>
      </c>
      <c r="R460" s="29">
        <f>IFERROR(IF(N460=0,"",IF(OR(NOT(AND(LEN(TRIM('DATOS'!D460&amp;""))&gt;0,TRIM('DATOS'!D460&amp;"")&lt;&gt;"Pendiente",TRIM('DATOS'!D460&amp;"")&lt;&gt;"Por confirmar",TRIM('DATOS'!D460&amp;"")&lt;&gt;"No consta",TRIM('DATOS'!D460&amp;"")&lt;&gt;"Desconocido",TRIM('DATOS'!D460&amp;"")&lt;&gt;"Sin confirmar",TRIM('DATOS'!D460&amp;"")&lt;&gt;"Por decidir",TRIM('DATOS'!D460&amp;"")&lt;&gt;"Por comprobar")),NOT(AND(LEN(TRIM('DATOS'!E460&amp;""))&gt;0,TRIM('DATOS'!E460&amp;"")&lt;&gt;"Pendiente",TRIM('DATOS'!E460&amp;"")&lt;&gt;"Por confirmar",TRIM('DATOS'!E460&amp;"")&lt;&gt;"No consta",TRIM('DATOS'!E460&amp;"")&lt;&gt;"Desconocido",TRIM('DATOS'!E460&amp;"")&lt;&gt;"Sin confirmar",TRIM('DATOS'!E460&amp;"")&lt;&gt;"Por decidir",TRIM('DATOS'!E460&amp;"")&lt;&gt;"Por comprobar"))),2,IF('DATOS'!M460="No",2,IF('DATOS'!M460="Sí",0,IF(OR('DATOS'!D460&lt;&gt;'DATOS'!E460,LEN('DATOS'!E460)&gt;300,RIGHT(TRIM('DATOS'!E460),3)="...",RIGHT(TRIM('DATOS'!E460),1)="…"),1,0))))),2)</f>
      </c>
      <c r="S460" s="29">
        <f>IFERROR(IF(N460=0,"",IF('REFERENCIAS'!$Q$8&lt;&gt;1,2,IF(NOT(Y460=1),1,IF(OR(ABS('DATOS'!G460-ROUND('DATOS'!G460,'REFERENCIAS'!$E$8))&gt;0.00000001,ABS('DATOS'!H460-ROUND('DATOS'!H460,'REFERENCIAS'!$H$8))&gt;0.00000001,ABS('DATOS'!J460-ROUND('DATOS'!J460,'REFERENCIAS'!$K$8))&gt;0.00000001,IF(ISNUMBER('DATOS'!I460),ABS('DATOS'!I460-ROUND('DATOS'!I460,'REFERENCIAS'!$H$8))&gt;0.00000001,FALSE)),1,0)))),2)</f>
      </c>
      <c r="T460" s="29">
        <f>IFERROR(IF(N460=0,"",IF(NOT(AND(LEN(TRIM('DATOS'!F460&amp;""))&gt;0,TRIM('DATOS'!F460&amp;"")&lt;&gt;"Pendiente",TRIM('DATOS'!F460&amp;"")&lt;&gt;"Por confirmar",TRIM('DATOS'!F460&amp;"")&lt;&gt;"No consta",TRIM('DATOS'!F460&amp;"")&lt;&gt;"Desconocido",TRIM('DATOS'!F460&amp;"")&lt;&gt;"Sin confirmar",TRIM('DATOS'!F460&amp;"")&lt;&gt;"Por decidir",TRIM('DATOS'!F460&amp;"")&lt;&gt;"Por comprobar")),2,IF(COUNTIFS('REFERENCIAS'!$T$15:$T$34,"ID:"&amp;SUBSTITUTE(SUBSTITUTE(SUBSTITUTE(SUBSTITUTE(UPPER(TRIM('DATOS'!F460&amp;"")),"!","!E"),"*","!A"),"?","!B"),"~","!C"),'REFERENCIAS'!$H$15:$H$34,"&lt;&gt;")&gt;0,0,1))),2)</f>
      </c>
      <c r="U460" s="29" t="str">
        <f>'DATOS'!R460</f>
        <v>ID:</v>
      </c>
      <c r="V460" s="29" t="str">
        <f>'DATOS'!S460</f>
        <v>ID:</v>
      </c>
      <c r="W460" s="29" t="n">
        <f>IF(N460=0,0,COUNTIFS('REFERENCIAS'!$R$15:$R$64,U460))</f>
        <v>0</v>
      </c>
      <c r="X460" s="29" t="n">
        <f>IF(N460=0,0,COUNTIFS('DATOS'!$R$10:$R$509,U460,'DATOS'!$S$10:$S$509,V460))</f>
        <v>0</v>
      </c>
      <c r="Y460" s="29" t="n">
        <f>IF(AND(ISNUMBER('DATOS'!G460),ISNUMBER('DATOS'!H460),ISNUMBER('DATOS'!J460)),1,0)</f>
        <v>0</v>
      </c>
    </row>
    <row r="461" ht="64" customHeight="1">
      <c r="B461" s="26">
        <f>IF(N461=1,452,"")</f>
      </c>
      <c r="C461" s="26">
        <f>IF(AND(N461=1,LEN(TRIM('DATOS'!B461&amp;""))&gt;0),'DATOS'!B461,"")</f>
      </c>
      <c r="D461" s="26">
        <f>IF(AND(N461=1,LEN(TRIM('DATOS'!C461&amp;""))&gt;0),'DATOS'!C461,"")</f>
      </c>
      <c r="E461" s="26">
        <f>IF(NOT(ISNUMBER(P461)),"",IF(P461=2,"ROJO",IF(P461=1,"ÁMBAR","VERDE")))</f>
      </c>
      <c r="F461" s="26">
        <f>IF(NOT(ISNUMBER(Q461)),"",IF(Q461=2,"ROJO",IF(Q461=1,"ÁMBAR","VERDE")))</f>
      </c>
      <c r="G461" s="26">
        <f>IF(NOT(ISNUMBER(R461)),"",IF(R461=2,"ROJO",IF(R461=1,"ÁMBAR","VERDE")))</f>
      </c>
      <c r="H461" s="26">
        <f>IF(NOT(ISNUMBER(S461)),"",IF(S461=2,"ROJO",IF(S461=1,"ÁMBAR","VERDE")))</f>
      </c>
      <c r="I461" s="26">
        <f>IF(NOT(ISNUMBER(T461)),"",IF(T461=2,"ROJO",IF(T461=1,"ÁMBAR","VERDE")))</f>
      </c>
      <c r="J461" s="26">
        <f>IF(NOT(ISNUMBER(O461)),"",IF(O461=2,"ROJO",IF(O461=1,"ÁMBAR","VERDE")))</f>
      </c>
      <c r="K461" s="26">
        <f>IFERROR(IF(AND(N461=1,LEN(TRIM('DATOS'!N461&amp;""))&gt;0),'DATOS'!N461,""),"Hay una entrada con error. Corregimos el dato antes de cerrar la comprobación.")</f>
      </c>
      <c r="L461" s="26">
        <f>IFERROR(IF(N461=0,"",IF(O461&gt;0,"Completamos datos, claves o motivo. ","")&amp;IF(P461&gt;0,"Cotejamos precios e importe. ","")&amp;IF(Q461&gt;0,"Aclaramos el cero. ","")&amp;IF(R461&gt;0,"Comprobamos el texto. ","")&amp;IF(S461&gt;0,"Revisamos decimales visibles. ","")&amp;IF(T461&gt;0,"Confirmamos la unidad.","")),"Hay una entrada con error. Corregimos el dato antes de cerrar la comprobación.")</f>
      </c>
      <c r="N461" s="29" t="n">
        <f>IF(COUNTA('DATOS'!B461:O461)&gt;0,1,0)</f>
        <v>0</v>
      </c>
      <c r="O461" s="29">
        <f>IFERROR(IF(N461=0,"",IF(OR(NOT(AND(LEN(TRIM('DATOS'!B461&amp;""))&gt;0,TRIM('DATOS'!B461&amp;"")&lt;&gt;"Pendiente",TRIM('DATOS'!B461&amp;"")&lt;&gt;"Por confirmar",TRIM('DATOS'!B461&amp;"")&lt;&gt;"No consta",TRIM('DATOS'!B461&amp;"")&lt;&gt;"Desconocido",TRIM('DATOS'!B461&amp;"")&lt;&gt;"Sin confirmar",TRIM('DATOS'!B461&amp;"")&lt;&gt;"Por decidir",TRIM('DATOS'!B461&amp;"")&lt;&gt;"Por comprobar")),NOT(AND(LEN(TRIM('DATOS'!C461&amp;""))&gt;0,TRIM('DATOS'!C461&amp;"")&lt;&gt;"Pendiente",TRIM('DATOS'!C461&amp;"")&lt;&gt;"Por confirmar",TRIM('DATOS'!C461&amp;"")&lt;&gt;"No consta",TRIM('DATOS'!C461&amp;"")&lt;&gt;"Desconocido",TRIM('DATOS'!C461&amp;"")&lt;&gt;"Sin confirmar",TRIM('DATOS'!C461&amp;"")&lt;&gt;"Por decidir",TRIM('DATOS'!C461&amp;"")&lt;&gt;"Por comprobar")),NOT(AND(LEN(TRIM('DATOS'!D461&amp;""))&gt;0,TRIM('DATOS'!D461&amp;"")&lt;&gt;"Pendiente",TRIM('DATOS'!D461&amp;"")&lt;&gt;"Por confirmar",TRIM('DATOS'!D461&amp;"")&lt;&gt;"No consta",TRIM('DATOS'!D461&amp;"")&lt;&gt;"Desconocido",TRIM('DATOS'!D461&amp;"")&lt;&gt;"Sin confirmar",TRIM('DATOS'!D461&amp;"")&lt;&gt;"Por decidir",TRIM('DATOS'!D461&amp;"")&lt;&gt;"Por comprobar")),NOT(AND(LEN(TRIM('DATOS'!E461&amp;""))&gt;0,TRIM('DATOS'!E461&amp;"")&lt;&gt;"Pendiente",TRIM('DATOS'!E461&amp;"")&lt;&gt;"Por confirmar",TRIM('DATOS'!E461&amp;"")&lt;&gt;"No consta",TRIM('DATOS'!E461&amp;"")&lt;&gt;"Desconocido",TRIM('DATOS'!E461&amp;"")&lt;&gt;"Sin confirmar",TRIM('DATOS'!E461&amp;"")&lt;&gt;"Por decidir",TRIM('DATOS'!E461&amp;"")&lt;&gt;"Por comprobar")),NOT(AND(LEN(TRIM('DATOS'!F461&amp;""))&gt;0,TRIM('DATOS'!F461&amp;"")&lt;&gt;"Pendiente",TRIM('DATOS'!F461&amp;"")&lt;&gt;"Por confirmar",TRIM('DATOS'!F461&amp;"")&lt;&gt;"No consta",TRIM('DATOS'!F461&amp;"")&lt;&gt;"Desconocido",TRIM('DATOS'!F461&amp;"")&lt;&gt;"Sin confirmar",TRIM('DATOS'!F461&amp;"")&lt;&gt;"Por decidir",TRIM('DATOS'!F461&amp;"")&lt;&gt;"Por comprobar")),NOT(AND(LEN(TRIM('DATOS'!N461&amp;""))&gt;0,TRIM('DATOS'!N461&amp;"")&lt;&gt;"Pendiente",TRIM('DATOS'!N461&amp;"")&lt;&gt;"Por confirmar",TRIM('DATOS'!N461&amp;"")&lt;&gt;"No consta",TRIM('DATOS'!N461&amp;"")&lt;&gt;"Desconocido",TRIM('DATOS'!N461&amp;"")&lt;&gt;"Sin confirmar",TRIM('DATOS'!N461&amp;"")&lt;&gt;"Por decidir",TRIM('DATOS'!N461&amp;"")&lt;&gt;"Por comprobar")),NOT(Y461=1),W461&lt;&gt;1,X461&gt;1,NOT(OR(LEN(TRIM('DATOS'!K461&amp;""))=0,'DATOS'!K461="Sin valorar",'DATOS'!K461="Sin coste documentado",'DATOS'!K461="Incluido en otra partida",'DATOS'!K461="Por confirmar")),NOT(OR(LEN(TRIM('DATOS'!M461&amp;""))=0,'DATOS'!M461="Sí",'DATOS'!M461="No",'DATOS'!M461="Por confirmar")),NOT(OR(LEN(TRIM('DATOS'!O461&amp;""))=0,'DATOS'!O461="Comparamos",'DATOS'!O461="No existe",'DATOS'!O461="Por confirmar"))),2,IF(AND(OR('DATOS'!G461&lt;0,'DATOS'!H461&lt;0,'DATOS'!J461&lt;0),NOT(AND(LEN(TRIM('DATOS'!L461&amp;""))&gt;0,TRIM('DATOS'!L461&amp;"")&lt;&gt;"Pendiente",TRIM('DATOS'!L461&amp;"")&lt;&gt;"Por confirmar",TRIM('DATOS'!L461&amp;"")&lt;&gt;"No consta",TRIM('DATOS'!L461&amp;"")&lt;&gt;"Desconocido",TRIM('DATOS'!L461&amp;"")&lt;&gt;"Sin confirmar",TRIM('DATOS'!L461&amp;"")&lt;&gt;"Por decidir",TRIM('DATOS'!L461&amp;"")&lt;&gt;"Por comprobar"))),1,0))),2)</f>
      </c>
      <c r="P461" s="29">
        <f>IFERROR(IF(N461=0,"",IF(NOT(Y461=1),1,IF('REFERENCIAS'!$Q$8&lt;&gt;1,2,IF(ABS('DATOS'!J461-ROUND('DATOS'!G461*'DATOS'!H461,'REFERENCIAS'!$K$8))&gt;0.00000001,2,IF('DATOS'!O461="No existe",IF(LEN(TRIM('DATOS'!I461&amp;""))=0,0,2),IF('DATOS'!O461="Comparamos",IF(LEN(TRIM('DATOS'!I461&amp;""))=0,1,IF(ISNUMBER('DATOS'!I461),IF(ABS('DATOS'!H461-'DATOS'!I461)&gt;0.00000001,2,0),2)),1)))))),2)</f>
      </c>
      <c r="Q461" s="29">
        <f>IFERROR(IF(N461=0,"",IF(NOT(Y461=1),1,IF('DATOS'!K461="Sin valorar",2,IF('DATOS'!G461=0,1,IF(OR('DATOS'!H461=0,'DATOS'!J461=0),IF(AND(OR('DATOS'!K461="Sin coste documentado",'DATOS'!K461="Incluido en otra partida"),AND(LEN(TRIM('DATOS'!L461&amp;""))&gt;0,TRIM('DATOS'!L461&amp;"")&lt;&gt;"Pendiente",TRIM('DATOS'!L461&amp;"")&lt;&gt;"Por confirmar",TRIM('DATOS'!L461&amp;"")&lt;&gt;"No consta",TRIM('DATOS'!L461&amp;"")&lt;&gt;"Desconocido",TRIM('DATOS'!L461&amp;"")&lt;&gt;"Sin confirmar",TRIM('DATOS'!L461&amp;"")&lt;&gt;"Por decidir",TRIM('DATOS'!L461&amp;"")&lt;&gt;"Por comprobar")),0,1),0))))),2)</f>
      </c>
      <c r="R461" s="29">
        <f>IFERROR(IF(N461=0,"",IF(OR(NOT(AND(LEN(TRIM('DATOS'!D461&amp;""))&gt;0,TRIM('DATOS'!D461&amp;"")&lt;&gt;"Pendiente",TRIM('DATOS'!D461&amp;"")&lt;&gt;"Por confirmar",TRIM('DATOS'!D461&amp;"")&lt;&gt;"No consta",TRIM('DATOS'!D461&amp;"")&lt;&gt;"Desconocido",TRIM('DATOS'!D461&amp;"")&lt;&gt;"Sin confirmar",TRIM('DATOS'!D461&amp;"")&lt;&gt;"Por decidir",TRIM('DATOS'!D461&amp;"")&lt;&gt;"Por comprobar")),NOT(AND(LEN(TRIM('DATOS'!E461&amp;""))&gt;0,TRIM('DATOS'!E461&amp;"")&lt;&gt;"Pendiente",TRIM('DATOS'!E461&amp;"")&lt;&gt;"Por confirmar",TRIM('DATOS'!E461&amp;"")&lt;&gt;"No consta",TRIM('DATOS'!E461&amp;"")&lt;&gt;"Desconocido",TRIM('DATOS'!E461&amp;"")&lt;&gt;"Sin confirmar",TRIM('DATOS'!E461&amp;"")&lt;&gt;"Por decidir",TRIM('DATOS'!E461&amp;"")&lt;&gt;"Por comprobar"))),2,IF('DATOS'!M461="No",2,IF('DATOS'!M461="Sí",0,IF(OR('DATOS'!D461&lt;&gt;'DATOS'!E461,LEN('DATOS'!E461)&gt;300,RIGHT(TRIM('DATOS'!E461),3)="...",RIGHT(TRIM('DATOS'!E461),1)="…"),1,0))))),2)</f>
      </c>
      <c r="S461" s="29">
        <f>IFERROR(IF(N461=0,"",IF('REFERENCIAS'!$Q$8&lt;&gt;1,2,IF(NOT(Y461=1),1,IF(OR(ABS('DATOS'!G461-ROUND('DATOS'!G461,'REFERENCIAS'!$E$8))&gt;0.00000001,ABS('DATOS'!H461-ROUND('DATOS'!H461,'REFERENCIAS'!$H$8))&gt;0.00000001,ABS('DATOS'!J461-ROUND('DATOS'!J461,'REFERENCIAS'!$K$8))&gt;0.00000001,IF(ISNUMBER('DATOS'!I461),ABS('DATOS'!I461-ROUND('DATOS'!I461,'REFERENCIAS'!$H$8))&gt;0.00000001,FALSE)),1,0)))),2)</f>
      </c>
      <c r="T461" s="29">
        <f>IFERROR(IF(N461=0,"",IF(NOT(AND(LEN(TRIM('DATOS'!F461&amp;""))&gt;0,TRIM('DATOS'!F461&amp;"")&lt;&gt;"Pendiente",TRIM('DATOS'!F461&amp;"")&lt;&gt;"Por confirmar",TRIM('DATOS'!F461&amp;"")&lt;&gt;"No consta",TRIM('DATOS'!F461&amp;"")&lt;&gt;"Desconocido",TRIM('DATOS'!F461&amp;"")&lt;&gt;"Sin confirmar",TRIM('DATOS'!F461&amp;"")&lt;&gt;"Por decidir",TRIM('DATOS'!F461&amp;"")&lt;&gt;"Por comprobar")),2,IF(COUNTIFS('REFERENCIAS'!$T$15:$T$34,"ID:"&amp;SUBSTITUTE(SUBSTITUTE(SUBSTITUTE(SUBSTITUTE(UPPER(TRIM('DATOS'!F461&amp;"")),"!","!E"),"*","!A"),"?","!B"),"~","!C"),'REFERENCIAS'!$H$15:$H$34,"&lt;&gt;")&gt;0,0,1))),2)</f>
      </c>
      <c r="U461" s="29" t="str">
        <f>'DATOS'!R461</f>
        <v>ID:</v>
      </c>
      <c r="V461" s="29" t="str">
        <f>'DATOS'!S461</f>
        <v>ID:</v>
      </c>
      <c r="W461" s="29" t="n">
        <f>IF(N461=0,0,COUNTIFS('REFERENCIAS'!$R$15:$R$64,U461))</f>
        <v>0</v>
      </c>
      <c r="X461" s="29" t="n">
        <f>IF(N461=0,0,COUNTIFS('DATOS'!$R$10:$R$509,U461,'DATOS'!$S$10:$S$509,V461))</f>
        <v>0</v>
      </c>
      <c r="Y461" s="29" t="n">
        <f>IF(AND(ISNUMBER('DATOS'!G461),ISNUMBER('DATOS'!H461),ISNUMBER('DATOS'!J461)),1,0)</f>
        <v>0</v>
      </c>
    </row>
    <row r="462" ht="64" customHeight="1">
      <c r="B462" s="26">
        <f>IF(N462=1,453,"")</f>
      </c>
      <c r="C462" s="26">
        <f>IF(AND(N462=1,LEN(TRIM('DATOS'!B462&amp;""))&gt;0),'DATOS'!B462,"")</f>
      </c>
      <c r="D462" s="26">
        <f>IF(AND(N462=1,LEN(TRIM('DATOS'!C462&amp;""))&gt;0),'DATOS'!C462,"")</f>
      </c>
      <c r="E462" s="26">
        <f>IF(NOT(ISNUMBER(P462)),"",IF(P462=2,"ROJO",IF(P462=1,"ÁMBAR","VERDE")))</f>
      </c>
      <c r="F462" s="26">
        <f>IF(NOT(ISNUMBER(Q462)),"",IF(Q462=2,"ROJO",IF(Q462=1,"ÁMBAR","VERDE")))</f>
      </c>
      <c r="G462" s="26">
        <f>IF(NOT(ISNUMBER(R462)),"",IF(R462=2,"ROJO",IF(R462=1,"ÁMBAR","VERDE")))</f>
      </c>
      <c r="H462" s="26">
        <f>IF(NOT(ISNUMBER(S462)),"",IF(S462=2,"ROJO",IF(S462=1,"ÁMBAR","VERDE")))</f>
      </c>
      <c r="I462" s="26">
        <f>IF(NOT(ISNUMBER(T462)),"",IF(T462=2,"ROJO",IF(T462=1,"ÁMBAR","VERDE")))</f>
      </c>
      <c r="J462" s="26">
        <f>IF(NOT(ISNUMBER(O462)),"",IF(O462=2,"ROJO",IF(O462=1,"ÁMBAR","VERDE")))</f>
      </c>
      <c r="K462" s="26">
        <f>IFERROR(IF(AND(N462=1,LEN(TRIM('DATOS'!N462&amp;""))&gt;0),'DATOS'!N462,""),"Hay una entrada con error. Corregimos el dato antes de cerrar la comprobación.")</f>
      </c>
      <c r="L462" s="26">
        <f>IFERROR(IF(N462=0,"",IF(O462&gt;0,"Completamos datos, claves o motivo. ","")&amp;IF(P462&gt;0,"Cotejamos precios e importe. ","")&amp;IF(Q462&gt;0,"Aclaramos el cero. ","")&amp;IF(R462&gt;0,"Comprobamos el texto. ","")&amp;IF(S462&gt;0,"Revisamos decimales visibles. ","")&amp;IF(T462&gt;0,"Confirmamos la unidad.","")),"Hay una entrada con error. Corregimos el dato antes de cerrar la comprobación.")</f>
      </c>
      <c r="N462" s="29" t="n">
        <f>IF(COUNTA('DATOS'!B462:O462)&gt;0,1,0)</f>
        <v>0</v>
      </c>
      <c r="O462" s="29">
        <f>IFERROR(IF(N462=0,"",IF(OR(NOT(AND(LEN(TRIM('DATOS'!B462&amp;""))&gt;0,TRIM('DATOS'!B462&amp;"")&lt;&gt;"Pendiente",TRIM('DATOS'!B462&amp;"")&lt;&gt;"Por confirmar",TRIM('DATOS'!B462&amp;"")&lt;&gt;"No consta",TRIM('DATOS'!B462&amp;"")&lt;&gt;"Desconocido",TRIM('DATOS'!B462&amp;"")&lt;&gt;"Sin confirmar",TRIM('DATOS'!B462&amp;"")&lt;&gt;"Por decidir",TRIM('DATOS'!B462&amp;"")&lt;&gt;"Por comprobar")),NOT(AND(LEN(TRIM('DATOS'!C462&amp;""))&gt;0,TRIM('DATOS'!C462&amp;"")&lt;&gt;"Pendiente",TRIM('DATOS'!C462&amp;"")&lt;&gt;"Por confirmar",TRIM('DATOS'!C462&amp;"")&lt;&gt;"No consta",TRIM('DATOS'!C462&amp;"")&lt;&gt;"Desconocido",TRIM('DATOS'!C462&amp;"")&lt;&gt;"Sin confirmar",TRIM('DATOS'!C462&amp;"")&lt;&gt;"Por decidir",TRIM('DATOS'!C462&amp;"")&lt;&gt;"Por comprobar")),NOT(AND(LEN(TRIM('DATOS'!D462&amp;""))&gt;0,TRIM('DATOS'!D462&amp;"")&lt;&gt;"Pendiente",TRIM('DATOS'!D462&amp;"")&lt;&gt;"Por confirmar",TRIM('DATOS'!D462&amp;"")&lt;&gt;"No consta",TRIM('DATOS'!D462&amp;"")&lt;&gt;"Desconocido",TRIM('DATOS'!D462&amp;"")&lt;&gt;"Sin confirmar",TRIM('DATOS'!D462&amp;"")&lt;&gt;"Por decidir",TRIM('DATOS'!D462&amp;"")&lt;&gt;"Por comprobar")),NOT(AND(LEN(TRIM('DATOS'!E462&amp;""))&gt;0,TRIM('DATOS'!E462&amp;"")&lt;&gt;"Pendiente",TRIM('DATOS'!E462&amp;"")&lt;&gt;"Por confirmar",TRIM('DATOS'!E462&amp;"")&lt;&gt;"No consta",TRIM('DATOS'!E462&amp;"")&lt;&gt;"Desconocido",TRIM('DATOS'!E462&amp;"")&lt;&gt;"Sin confirmar",TRIM('DATOS'!E462&amp;"")&lt;&gt;"Por decidir",TRIM('DATOS'!E462&amp;"")&lt;&gt;"Por comprobar")),NOT(AND(LEN(TRIM('DATOS'!F462&amp;""))&gt;0,TRIM('DATOS'!F462&amp;"")&lt;&gt;"Pendiente",TRIM('DATOS'!F462&amp;"")&lt;&gt;"Por confirmar",TRIM('DATOS'!F462&amp;"")&lt;&gt;"No consta",TRIM('DATOS'!F462&amp;"")&lt;&gt;"Desconocido",TRIM('DATOS'!F462&amp;"")&lt;&gt;"Sin confirmar",TRIM('DATOS'!F462&amp;"")&lt;&gt;"Por decidir",TRIM('DATOS'!F462&amp;"")&lt;&gt;"Por comprobar")),NOT(AND(LEN(TRIM('DATOS'!N462&amp;""))&gt;0,TRIM('DATOS'!N462&amp;"")&lt;&gt;"Pendiente",TRIM('DATOS'!N462&amp;"")&lt;&gt;"Por confirmar",TRIM('DATOS'!N462&amp;"")&lt;&gt;"No consta",TRIM('DATOS'!N462&amp;"")&lt;&gt;"Desconocido",TRIM('DATOS'!N462&amp;"")&lt;&gt;"Sin confirmar",TRIM('DATOS'!N462&amp;"")&lt;&gt;"Por decidir",TRIM('DATOS'!N462&amp;"")&lt;&gt;"Por comprobar")),NOT(Y462=1),W462&lt;&gt;1,X462&gt;1,NOT(OR(LEN(TRIM('DATOS'!K462&amp;""))=0,'DATOS'!K462="Sin valorar",'DATOS'!K462="Sin coste documentado",'DATOS'!K462="Incluido en otra partida",'DATOS'!K462="Por confirmar")),NOT(OR(LEN(TRIM('DATOS'!M462&amp;""))=0,'DATOS'!M462="Sí",'DATOS'!M462="No",'DATOS'!M462="Por confirmar")),NOT(OR(LEN(TRIM('DATOS'!O462&amp;""))=0,'DATOS'!O462="Comparamos",'DATOS'!O462="No existe",'DATOS'!O462="Por confirmar"))),2,IF(AND(OR('DATOS'!G462&lt;0,'DATOS'!H462&lt;0,'DATOS'!J462&lt;0),NOT(AND(LEN(TRIM('DATOS'!L462&amp;""))&gt;0,TRIM('DATOS'!L462&amp;"")&lt;&gt;"Pendiente",TRIM('DATOS'!L462&amp;"")&lt;&gt;"Por confirmar",TRIM('DATOS'!L462&amp;"")&lt;&gt;"No consta",TRIM('DATOS'!L462&amp;"")&lt;&gt;"Desconocido",TRIM('DATOS'!L462&amp;"")&lt;&gt;"Sin confirmar",TRIM('DATOS'!L462&amp;"")&lt;&gt;"Por decidir",TRIM('DATOS'!L462&amp;"")&lt;&gt;"Por comprobar"))),1,0))),2)</f>
      </c>
      <c r="P462" s="29">
        <f>IFERROR(IF(N462=0,"",IF(NOT(Y462=1),1,IF('REFERENCIAS'!$Q$8&lt;&gt;1,2,IF(ABS('DATOS'!J462-ROUND('DATOS'!G462*'DATOS'!H462,'REFERENCIAS'!$K$8))&gt;0.00000001,2,IF('DATOS'!O462="No existe",IF(LEN(TRIM('DATOS'!I462&amp;""))=0,0,2),IF('DATOS'!O462="Comparamos",IF(LEN(TRIM('DATOS'!I462&amp;""))=0,1,IF(ISNUMBER('DATOS'!I462),IF(ABS('DATOS'!H462-'DATOS'!I462)&gt;0.00000001,2,0),2)),1)))))),2)</f>
      </c>
      <c r="Q462" s="29">
        <f>IFERROR(IF(N462=0,"",IF(NOT(Y462=1),1,IF('DATOS'!K462="Sin valorar",2,IF('DATOS'!G462=0,1,IF(OR('DATOS'!H462=0,'DATOS'!J462=0),IF(AND(OR('DATOS'!K462="Sin coste documentado",'DATOS'!K462="Incluido en otra partida"),AND(LEN(TRIM('DATOS'!L462&amp;""))&gt;0,TRIM('DATOS'!L462&amp;"")&lt;&gt;"Pendiente",TRIM('DATOS'!L462&amp;"")&lt;&gt;"Por confirmar",TRIM('DATOS'!L462&amp;"")&lt;&gt;"No consta",TRIM('DATOS'!L462&amp;"")&lt;&gt;"Desconocido",TRIM('DATOS'!L462&amp;"")&lt;&gt;"Sin confirmar",TRIM('DATOS'!L462&amp;"")&lt;&gt;"Por decidir",TRIM('DATOS'!L462&amp;"")&lt;&gt;"Por comprobar")),0,1),0))))),2)</f>
      </c>
      <c r="R462" s="29">
        <f>IFERROR(IF(N462=0,"",IF(OR(NOT(AND(LEN(TRIM('DATOS'!D462&amp;""))&gt;0,TRIM('DATOS'!D462&amp;"")&lt;&gt;"Pendiente",TRIM('DATOS'!D462&amp;"")&lt;&gt;"Por confirmar",TRIM('DATOS'!D462&amp;"")&lt;&gt;"No consta",TRIM('DATOS'!D462&amp;"")&lt;&gt;"Desconocido",TRIM('DATOS'!D462&amp;"")&lt;&gt;"Sin confirmar",TRIM('DATOS'!D462&amp;"")&lt;&gt;"Por decidir",TRIM('DATOS'!D462&amp;"")&lt;&gt;"Por comprobar")),NOT(AND(LEN(TRIM('DATOS'!E462&amp;""))&gt;0,TRIM('DATOS'!E462&amp;"")&lt;&gt;"Pendiente",TRIM('DATOS'!E462&amp;"")&lt;&gt;"Por confirmar",TRIM('DATOS'!E462&amp;"")&lt;&gt;"No consta",TRIM('DATOS'!E462&amp;"")&lt;&gt;"Desconocido",TRIM('DATOS'!E462&amp;"")&lt;&gt;"Sin confirmar",TRIM('DATOS'!E462&amp;"")&lt;&gt;"Por decidir",TRIM('DATOS'!E462&amp;"")&lt;&gt;"Por comprobar"))),2,IF('DATOS'!M462="No",2,IF('DATOS'!M462="Sí",0,IF(OR('DATOS'!D462&lt;&gt;'DATOS'!E462,LEN('DATOS'!E462)&gt;300,RIGHT(TRIM('DATOS'!E462),3)="...",RIGHT(TRIM('DATOS'!E462),1)="…"),1,0))))),2)</f>
      </c>
      <c r="S462" s="29">
        <f>IFERROR(IF(N462=0,"",IF('REFERENCIAS'!$Q$8&lt;&gt;1,2,IF(NOT(Y462=1),1,IF(OR(ABS('DATOS'!G462-ROUND('DATOS'!G462,'REFERENCIAS'!$E$8))&gt;0.00000001,ABS('DATOS'!H462-ROUND('DATOS'!H462,'REFERENCIAS'!$H$8))&gt;0.00000001,ABS('DATOS'!J462-ROUND('DATOS'!J462,'REFERENCIAS'!$K$8))&gt;0.00000001,IF(ISNUMBER('DATOS'!I462),ABS('DATOS'!I462-ROUND('DATOS'!I462,'REFERENCIAS'!$H$8))&gt;0.00000001,FALSE)),1,0)))),2)</f>
      </c>
      <c r="T462" s="29">
        <f>IFERROR(IF(N462=0,"",IF(NOT(AND(LEN(TRIM('DATOS'!F462&amp;""))&gt;0,TRIM('DATOS'!F462&amp;"")&lt;&gt;"Pendiente",TRIM('DATOS'!F462&amp;"")&lt;&gt;"Por confirmar",TRIM('DATOS'!F462&amp;"")&lt;&gt;"No consta",TRIM('DATOS'!F462&amp;"")&lt;&gt;"Desconocido",TRIM('DATOS'!F462&amp;"")&lt;&gt;"Sin confirmar",TRIM('DATOS'!F462&amp;"")&lt;&gt;"Por decidir",TRIM('DATOS'!F462&amp;"")&lt;&gt;"Por comprobar")),2,IF(COUNTIFS('REFERENCIAS'!$T$15:$T$34,"ID:"&amp;SUBSTITUTE(SUBSTITUTE(SUBSTITUTE(SUBSTITUTE(UPPER(TRIM('DATOS'!F462&amp;"")),"!","!E"),"*","!A"),"?","!B"),"~","!C"),'REFERENCIAS'!$H$15:$H$34,"&lt;&gt;")&gt;0,0,1))),2)</f>
      </c>
      <c r="U462" s="29" t="str">
        <f>'DATOS'!R462</f>
        <v>ID:</v>
      </c>
      <c r="V462" s="29" t="str">
        <f>'DATOS'!S462</f>
        <v>ID:</v>
      </c>
      <c r="W462" s="29" t="n">
        <f>IF(N462=0,0,COUNTIFS('REFERENCIAS'!$R$15:$R$64,U462))</f>
        <v>0</v>
      </c>
      <c r="X462" s="29" t="n">
        <f>IF(N462=0,0,COUNTIFS('DATOS'!$R$10:$R$509,U462,'DATOS'!$S$10:$S$509,V462))</f>
        <v>0</v>
      </c>
      <c r="Y462" s="29" t="n">
        <f>IF(AND(ISNUMBER('DATOS'!G462),ISNUMBER('DATOS'!H462),ISNUMBER('DATOS'!J462)),1,0)</f>
        <v>0</v>
      </c>
    </row>
    <row r="463" ht="64" customHeight="1">
      <c r="B463" s="26">
        <f>IF(N463=1,454,"")</f>
      </c>
      <c r="C463" s="26">
        <f>IF(AND(N463=1,LEN(TRIM('DATOS'!B463&amp;""))&gt;0),'DATOS'!B463,"")</f>
      </c>
      <c r="D463" s="26">
        <f>IF(AND(N463=1,LEN(TRIM('DATOS'!C463&amp;""))&gt;0),'DATOS'!C463,"")</f>
      </c>
      <c r="E463" s="26">
        <f>IF(NOT(ISNUMBER(P463)),"",IF(P463=2,"ROJO",IF(P463=1,"ÁMBAR","VERDE")))</f>
      </c>
      <c r="F463" s="26">
        <f>IF(NOT(ISNUMBER(Q463)),"",IF(Q463=2,"ROJO",IF(Q463=1,"ÁMBAR","VERDE")))</f>
      </c>
      <c r="G463" s="26">
        <f>IF(NOT(ISNUMBER(R463)),"",IF(R463=2,"ROJO",IF(R463=1,"ÁMBAR","VERDE")))</f>
      </c>
      <c r="H463" s="26">
        <f>IF(NOT(ISNUMBER(S463)),"",IF(S463=2,"ROJO",IF(S463=1,"ÁMBAR","VERDE")))</f>
      </c>
      <c r="I463" s="26">
        <f>IF(NOT(ISNUMBER(T463)),"",IF(T463=2,"ROJO",IF(T463=1,"ÁMBAR","VERDE")))</f>
      </c>
      <c r="J463" s="26">
        <f>IF(NOT(ISNUMBER(O463)),"",IF(O463=2,"ROJO",IF(O463=1,"ÁMBAR","VERDE")))</f>
      </c>
      <c r="K463" s="26">
        <f>IFERROR(IF(AND(N463=1,LEN(TRIM('DATOS'!N463&amp;""))&gt;0),'DATOS'!N463,""),"Hay una entrada con error. Corregimos el dato antes de cerrar la comprobación.")</f>
      </c>
      <c r="L463" s="26">
        <f>IFERROR(IF(N463=0,"",IF(O463&gt;0,"Completamos datos, claves o motivo. ","")&amp;IF(P463&gt;0,"Cotejamos precios e importe. ","")&amp;IF(Q463&gt;0,"Aclaramos el cero. ","")&amp;IF(R463&gt;0,"Comprobamos el texto. ","")&amp;IF(S463&gt;0,"Revisamos decimales visibles. ","")&amp;IF(T463&gt;0,"Confirmamos la unidad.","")),"Hay una entrada con error. Corregimos el dato antes de cerrar la comprobación.")</f>
      </c>
      <c r="N463" s="29" t="n">
        <f>IF(COUNTA('DATOS'!B463:O463)&gt;0,1,0)</f>
        <v>0</v>
      </c>
      <c r="O463" s="29">
        <f>IFERROR(IF(N463=0,"",IF(OR(NOT(AND(LEN(TRIM('DATOS'!B463&amp;""))&gt;0,TRIM('DATOS'!B463&amp;"")&lt;&gt;"Pendiente",TRIM('DATOS'!B463&amp;"")&lt;&gt;"Por confirmar",TRIM('DATOS'!B463&amp;"")&lt;&gt;"No consta",TRIM('DATOS'!B463&amp;"")&lt;&gt;"Desconocido",TRIM('DATOS'!B463&amp;"")&lt;&gt;"Sin confirmar",TRIM('DATOS'!B463&amp;"")&lt;&gt;"Por decidir",TRIM('DATOS'!B463&amp;"")&lt;&gt;"Por comprobar")),NOT(AND(LEN(TRIM('DATOS'!C463&amp;""))&gt;0,TRIM('DATOS'!C463&amp;"")&lt;&gt;"Pendiente",TRIM('DATOS'!C463&amp;"")&lt;&gt;"Por confirmar",TRIM('DATOS'!C463&amp;"")&lt;&gt;"No consta",TRIM('DATOS'!C463&amp;"")&lt;&gt;"Desconocido",TRIM('DATOS'!C463&amp;"")&lt;&gt;"Sin confirmar",TRIM('DATOS'!C463&amp;"")&lt;&gt;"Por decidir",TRIM('DATOS'!C463&amp;"")&lt;&gt;"Por comprobar")),NOT(AND(LEN(TRIM('DATOS'!D463&amp;""))&gt;0,TRIM('DATOS'!D463&amp;"")&lt;&gt;"Pendiente",TRIM('DATOS'!D463&amp;"")&lt;&gt;"Por confirmar",TRIM('DATOS'!D463&amp;"")&lt;&gt;"No consta",TRIM('DATOS'!D463&amp;"")&lt;&gt;"Desconocido",TRIM('DATOS'!D463&amp;"")&lt;&gt;"Sin confirmar",TRIM('DATOS'!D463&amp;"")&lt;&gt;"Por decidir",TRIM('DATOS'!D463&amp;"")&lt;&gt;"Por comprobar")),NOT(AND(LEN(TRIM('DATOS'!E463&amp;""))&gt;0,TRIM('DATOS'!E463&amp;"")&lt;&gt;"Pendiente",TRIM('DATOS'!E463&amp;"")&lt;&gt;"Por confirmar",TRIM('DATOS'!E463&amp;"")&lt;&gt;"No consta",TRIM('DATOS'!E463&amp;"")&lt;&gt;"Desconocido",TRIM('DATOS'!E463&amp;"")&lt;&gt;"Sin confirmar",TRIM('DATOS'!E463&amp;"")&lt;&gt;"Por decidir",TRIM('DATOS'!E463&amp;"")&lt;&gt;"Por comprobar")),NOT(AND(LEN(TRIM('DATOS'!F463&amp;""))&gt;0,TRIM('DATOS'!F463&amp;"")&lt;&gt;"Pendiente",TRIM('DATOS'!F463&amp;"")&lt;&gt;"Por confirmar",TRIM('DATOS'!F463&amp;"")&lt;&gt;"No consta",TRIM('DATOS'!F463&amp;"")&lt;&gt;"Desconocido",TRIM('DATOS'!F463&amp;"")&lt;&gt;"Sin confirmar",TRIM('DATOS'!F463&amp;"")&lt;&gt;"Por decidir",TRIM('DATOS'!F463&amp;"")&lt;&gt;"Por comprobar")),NOT(AND(LEN(TRIM('DATOS'!N463&amp;""))&gt;0,TRIM('DATOS'!N463&amp;"")&lt;&gt;"Pendiente",TRIM('DATOS'!N463&amp;"")&lt;&gt;"Por confirmar",TRIM('DATOS'!N463&amp;"")&lt;&gt;"No consta",TRIM('DATOS'!N463&amp;"")&lt;&gt;"Desconocido",TRIM('DATOS'!N463&amp;"")&lt;&gt;"Sin confirmar",TRIM('DATOS'!N463&amp;"")&lt;&gt;"Por decidir",TRIM('DATOS'!N463&amp;"")&lt;&gt;"Por comprobar")),NOT(Y463=1),W463&lt;&gt;1,X463&gt;1,NOT(OR(LEN(TRIM('DATOS'!K463&amp;""))=0,'DATOS'!K463="Sin valorar",'DATOS'!K463="Sin coste documentado",'DATOS'!K463="Incluido en otra partida",'DATOS'!K463="Por confirmar")),NOT(OR(LEN(TRIM('DATOS'!M463&amp;""))=0,'DATOS'!M463="Sí",'DATOS'!M463="No",'DATOS'!M463="Por confirmar")),NOT(OR(LEN(TRIM('DATOS'!O463&amp;""))=0,'DATOS'!O463="Comparamos",'DATOS'!O463="No existe",'DATOS'!O463="Por confirmar"))),2,IF(AND(OR('DATOS'!G463&lt;0,'DATOS'!H463&lt;0,'DATOS'!J463&lt;0),NOT(AND(LEN(TRIM('DATOS'!L463&amp;""))&gt;0,TRIM('DATOS'!L463&amp;"")&lt;&gt;"Pendiente",TRIM('DATOS'!L463&amp;"")&lt;&gt;"Por confirmar",TRIM('DATOS'!L463&amp;"")&lt;&gt;"No consta",TRIM('DATOS'!L463&amp;"")&lt;&gt;"Desconocido",TRIM('DATOS'!L463&amp;"")&lt;&gt;"Sin confirmar",TRIM('DATOS'!L463&amp;"")&lt;&gt;"Por decidir",TRIM('DATOS'!L463&amp;"")&lt;&gt;"Por comprobar"))),1,0))),2)</f>
      </c>
      <c r="P463" s="29">
        <f>IFERROR(IF(N463=0,"",IF(NOT(Y463=1),1,IF('REFERENCIAS'!$Q$8&lt;&gt;1,2,IF(ABS('DATOS'!J463-ROUND('DATOS'!G463*'DATOS'!H463,'REFERENCIAS'!$K$8))&gt;0.00000001,2,IF('DATOS'!O463="No existe",IF(LEN(TRIM('DATOS'!I463&amp;""))=0,0,2),IF('DATOS'!O463="Comparamos",IF(LEN(TRIM('DATOS'!I463&amp;""))=0,1,IF(ISNUMBER('DATOS'!I463),IF(ABS('DATOS'!H463-'DATOS'!I463)&gt;0.00000001,2,0),2)),1)))))),2)</f>
      </c>
      <c r="Q463" s="29">
        <f>IFERROR(IF(N463=0,"",IF(NOT(Y463=1),1,IF('DATOS'!K463="Sin valorar",2,IF('DATOS'!G463=0,1,IF(OR('DATOS'!H463=0,'DATOS'!J463=0),IF(AND(OR('DATOS'!K463="Sin coste documentado",'DATOS'!K463="Incluido en otra partida"),AND(LEN(TRIM('DATOS'!L463&amp;""))&gt;0,TRIM('DATOS'!L463&amp;"")&lt;&gt;"Pendiente",TRIM('DATOS'!L463&amp;"")&lt;&gt;"Por confirmar",TRIM('DATOS'!L463&amp;"")&lt;&gt;"No consta",TRIM('DATOS'!L463&amp;"")&lt;&gt;"Desconocido",TRIM('DATOS'!L463&amp;"")&lt;&gt;"Sin confirmar",TRIM('DATOS'!L463&amp;"")&lt;&gt;"Por decidir",TRIM('DATOS'!L463&amp;"")&lt;&gt;"Por comprobar")),0,1),0))))),2)</f>
      </c>
      <c r="R463" s="29">
        <f>IFERROR(IF(N463=0,"",IF(OR(NOT(AND(LEN(TRIM('DATOS'!D463&amp;""))&gt;0,TRIM('DATOS'!D463&amp;"")&lt;&gt;"Pendiente",TRIM('DATOS'!D463&amp;"")&lt;&gt;"Por confirmar",TRIM('DATOS'!D463&amp;"")&lt;&gt;"No consta",TRIM('DATOS'!D463&amp;"")&lt;&gt;"Desconocido",TRIM('DATOS'!D463&amp;"")&lt;&gt;"Sin confirmar",TRIM('DATOS'!D463&amp;"")&lt;&gt;"Por decidir",TRIM('DATOS'!D463&amp;"")&lt;&gt;"Por comprobar")),NOT(AND(LEN(TRIM('DATOS'!E463&amp;""))&gt;0,TRIM('DATOS'!E463&amp;"")&lt;&gt;"Pendiente",TRIM('DATOS'!E463&amp;"")&lt;&gt;"Por confirmar",TRIM('DATOS'!E463&amp;"")&lt;&gt;"No consta",TRIM('DATOS'!E463&amp;"")&lt;&gt;"Desconocido",TRIM('DATOS'!E463&amp;"")&lt;&gt;"Sin confirmar",TRIM('DATOS'!E463&amp;"")&lt;&gt;"Por decidir",TRIM('DATOS'!E463&amp;"")&lt;&gt;"Por comprobar"))),2,IF('DATOS'!M463="No",2,IF('DATOS'!M463="Sí",0,IF(OR('DATOS'!D463&lt;&gt;'DATOS'!E463,LEN('DATOS'!E463)&gt;300,RIGHT(TRIM('DATOS'!E463),3)="...",RIGHT(TRIM('DATOS'!E463),1)="…"),1,0))))),2)</f>
      </c>
      <c r="S463" s="29">
        <f>IFERROR(IF(N463=0,"",IF('REFERENCIAS'!$Q$8&lt;&gt;1,2,IF(NOT(Y463=1),1,IF(OR(ABS('DATOS'!G463-ROUND('DATOS'!G463,'REFERENCIAS'!$E$8))&gt;0.00000001,ABS('DATOS'!H463-ROUND('DATOS'!H463,'REFERENCIAS'!$H$8))&gt;0.00000001,ABS('DATOS'!J463-ROUND('DATOS'!J463,'REFERENCIAS'!$K$8))&gt;0.00000001,IF(ISNUMBER('DATOS'!I463),ABS('DATOS'!I463-ROUND('DATOS'!I463,'REFERENCIAS'!$H$8))&gt;0.00000001,FALSE)),1,0)))),2)</f>
      </c>
      <c r="T463" s="29">
        <f>IFERROR(IF(N463=0,"",IF(NOT(AND(LEN(TRIM('DATOS'!F463&amp;""))&gt;0,TRIM('DATOS'!F463&amp;"")&lt;&gt;"Pendiente",TRIM('DATOS'!F463&amp;"")&lt;&gt;"Por confirmar",TRIM('DATOS'!F463&amp;"")&lt;&gt;"No consta",TRIM('DATOS'!F463&amp;"")&lt;&gt;"Desconocido",TRIM('DATOS'!F463&amp;"")&lt;&gt;"Sin confirmar",TRIM('DATOS'!F463&amp;"")&lt;&gt;"Por decidir",TRIM('DATOS'!F463&amp;"")&lt;&gt;"Por comprobar")),2,IF(COUNTIFS('REFERENCIAS'!$T$15:$T$34,"ID:"&amp;SUBSTITUTE(SUBSTITUTE(SUBSTITUTE(SUBSTITUTE(UPPER(TRIM('DATOS'!F463&amp;"")),"!","!E"),"*","!A"),"?","!B"),"~","!C"),'REFERENCIAS'!$H$15:$H$34,"&lt;&gt;")&gt;0,0,1))),2)</f>
      </c>
      <c r="U463" s="29" t="str">
        <f>'DATOS'!R463</f>
        <v>ID:</v>
      </c>
      <c r="V463" s="29" t="str">
        <f>'DATOS'!S463</f>
        <v>ID:</v>
      </c>
      <c r="W463" s="29" t="n">
        <f>IF(N463=0,0,COUNTIFS('REFERENCIAS'!$R$15:$R$64,U463))</f>
        <v>0</v>
      </c>
      <c r="X463" s="29" t="n">
        <f>IF(N463=0,0,COUNTIFS('DATOS'!$R$10:$R$509,U463,'DATOS'!$S$10:$S$509,V463))</f>
        <v>0</v>
      </c>
      <c r="Y463" s="29" t="n">
        <f>IF(AND(ISNUMBER('DATOS'!G463),ISNUMBER('DATOS'!H463),ISNUMBER('DATOS'!J463)),1,0)</f>
        <v>0</v>
      </c>
    </row>
    <row r="464" ht="64" customHeight="1">
      <c r="B464" s="26">
        <f>IF(N464=1,455,"")</f>
      </c>
      <c r="C464" s="26">
        <f>IF(AND(N464=1,LEN(TRIM('DATOS'!B464&amp;""))&gt;0),'DATOS'!B464,"")</f>
      </c>
      <c r="D464" s="26">
        <f>IF(AND(N464=1,LEN(TRIM('DATOS'!C464&amp;""))&gt;0),'DATOS'!C464,"")</f>
      </c>
      <c r="E464" s="26">
        <f>IF(NOT(ISNUMBER(P464)),"",IF(P464=2,"ROJO",IF(P464=1,"ÁMBAR","VERDE")))</f>
      </c>
      <c r="F464" s="26">
        <f>IF(NOT(ISNUMBER(Q464)),"",IF(Q464=2,"ROJO",IF(Q464=1,"ÁMBAR","VERDE")))</f>
      </c>
      <c r="G464" s="26">
        <f>IF(NOT(ISNUMBER(R464)),"",IF(R464=2,"ROJO",IF(R464=1,"ÁMBAR","VERDE")))</f>
      </c>
      <c r="H464" s="26">
        <f>IF(NOT(ISNUMBER(S464)),"",IF(S464=2,"ROJO",IF(S464=1,"ÁMBAR","VERDE")))</f>
      </c>
      <c r="I464" s="26">
        <f>IF(NOT(ISNUMBER(T464)),"",IF(T464=2,"ROJO",IF(T464=1,"ÁMBAR","VERDE")))</f>
      </c>
      <c r="J464" s="26">
        <f>IF(NOT(ISNUMBER(O464)),"",IF(O464=2,"ROJO",IF(O464=1,"ÁMBAR","VERDE")))</f>
      </c>
      <c r="K464" s="26">
        <f>IFERROR(IF(AND(N464=1,LEN(TRIM('DATOS'!N464&amp;""))&gt;0),'DATOS'!N464,""),"Hay una entrada con error. Corregimos el dato antes de cerrar la comprobación.")</f>
      </c>
      <c r="L464" s="26">
        <f>IFERROR(IF(N464=0,"",IF(O464&gt;0,"Completamos datos, claves o motivo. ","")&amp;IF(P464&gt;0,"Cotejamos precios e importe. ","")&amp;IF(Q464&gt;0,"Aclaramos el cero. ","")&amp;IF(R464&gt;0,"Comprobamos el texto. ","")&amp;IF(S464&gt;0,"Revisamos decimales visibles. ","")&amp;IF(T464&gt;0,"Confirmamos la unidad.","")),"Hay una entrada con error. Corregimos el dato antes de cerrar la comprobación.")</f>
      </c>
      <c r="N464" s="29" t="n">
        <f>IF(COUNTA('DATOS'!B464:O464)&gt;0,1,0)</f>
        <v>0</v>
      </c>
      <c r="O464" s="29">
        <f>IFERROR(IF(N464=0,"",IF(OR(NOT(AND(LEN(TRIM('DATOS'!B464&amp;""))&gt;0,TRIM('DATOS'!B464&amp;"")&lt;&gt;"Pendiente",TRIM('DATOS'!B464&amp;"")&lt;&gt;"Por confirmar",TRIM('DATOS'!B464&amp;"")&lt;&gt;"No consta",TRIM('DATOS'!B464&amp;"")&lt;&gt;"Desconocido",TRIM('DATOS'!B464&amp;"")&lt;&gt;"Sin confirmar",TRIM('DATOS'!B464&amp;"")&lt;&gt;"Por decidir",TRIM('DATOS'!B464&amp;"")&lt;&gt;"Por comprobar")),NOT(AND(LEN(TRIM('DATOS'!C464&amp;""))&gt;0,TRIM('DATOS'!C464&amp;"")&lt;&gt;"Pendiente",TRIM('DATOS'!C464&amp;"")&lt;&gt;"Por confirmar",TRIM('DATOS'!C464&amp;"")&lt;&gt;"No consta",TRIM('DATOS'!C464&amp;"")&lt;&gt;"Desconocido",TRIM('DATOS'!C464&amp;"")&lt;&gt;"Sin confirmar",TRIM('DATOS'!C464&amp;"")&lt;&gt;"Por decidir",TRIM('DATOS'!C464&amp;"")&lt;&gt;"Por comprobar")),NOT(AND(LEN(TRIM('DATOS'!D464&amp;""))&gt;0,TRIM('DATOS'!D464&amp;"")&lt;&gt;"Pendiente",TRIM('DATOS'!D464&amp;"")&lt;&gt;"Por confirmar",TRIM('DATOS'!D464&amp;"")&lt;&gt;"No consta",TRIM('DATOS'!D464&amp;"")&lt;&gt;"Desconocido",TRIM('DATOS'!D464&amp;"")&lt;&gt;"Sin confirmar",TRIM('DATOS'!D464&amp;"")&lt;&gt;"Por decidir",TRIM('DATOS'!D464&amp;"")&lt;&gt;"Por comprobar")),NOT(AND(LEN(TRIM('DATOS'!E464&amp;""))&gt;0,TRIM('DATOS'!E464&amp;"")&lt;&gt;"Pendiente",TRIM('DATOS'!E464&amp;"")&lt;&gt;"Por confirmar",TRIM('DATOS'!E464&amp;"")&lt;&gt;"No consta",TRIM('DATOS'!E464&amp;"")&lt;&gt;"Desconocido",TRIM('DATOS'!E464&amp;"")&lt;&gt;"Sin confirmar",TRIM('DATOS'!E464&amp;"")&lt;&gt;"Por decidir",TRIM('DATOS'!E464&amp;"")&lt;&gt;"Por comprobar")),NOT(AND(LEN(TRIM('DATOS'!F464&amp;""))&gt;0,TRIM('DATOS'!F464&amp;"")&lt;&gt;"Pendiente",TRIM('DATOS'!F464&amp;"")&lt;&gt;"Por confirmar",TRIM('DATOS'!F464&amp;"")&lt;&gt;"No consta",TRIM('DATOS'!F464&amp;"")&lt;&gt;"Desconocido",TRIM('DATOS'!F464&amp;"")&lt;&gt;"Sin confirmar",TRIM('DATOS'!F464&amp;"")&lt;&gt;"Por decidir",TRIM('DATOS'!F464&amp;"")&lt;&gt;"Por comprobar")),NOT(AND(LEN(TRIM('DATOS'!N464&amp;""))&gt;0,TRIM('DATOS'!N464&amp;"")&lt;&gt;"Pendiente",TRIM('DATOS'!N464&amp;"")&lt;&gt;"Por confirmar",TRIM('DATOS'!N464&amp;"")&lt;&gt;"No consta",TRIM('DATOS'!N464&amp;"")&lt;&gt;"Desconocido",TRIM('DATOS'!N464&amp;"")&lt;&gt;"Sin confirmar",TRIM('DATOS'!N464&amp;"")&lt;&gt;"Por decidir",TRIM('DATOS'!N464&amp;"")&lt;&gt;"Por comprobar")),NOT(Y464=1),W464&lt;&gt;1,X464&gt;1,NOT(OR(LEN(TRIM('DATOS'!K464&amp;""))=0,'DATOS'!K464="Sin valorar",'DATOS'!K464="Sin coste documentado",'DATOS'!K464="Incluido en otra partida",'DATOS'!K464="Por confirmar")),NOT(OR(LEN(TRIM('DATOS'!M464&amp;""))=0,'DATOS'!M464="Sí",'DATOS'!M464="No",'DATOS'!M464="Por confirmar")),NOT(OR(LEN(TRIM('DATOS'!O464&amp;""))=0,'DATOS'!O464="Comparamos",'DATOS'!O464="No existe",'DATOS'!O464="Por confirmar"))),2,IF(AND(OR('DATOS'!G464&lt;0,'DATOS'!H464&lt;0,'DATOS'!J464&lt;0),NOT(AND(LEN(TRIM('DATOS'!L464&amp;""))&gt;0,TRIM('DATOS'!L464&amp;"")&lt;&gt;"Pendiente",TRIM('DATOS'!L464&amp;"")&lt;&gt;"Por confirmar",TRIM('DATOS'!L464&amp;"")&lt;&gt;"No consta",TRIM('DATOS'!L464&amp;"")&lt;&gt;"Desconocido",TRIM('DATOS'!L464&amp;"")&lt;&gt;"Sin confirmar",TRIM('DATOS'!L464&amp;"")&lt;&gt;"Por decidir",TRIM('DATOS'!L464&amp;"")&lt;&gt;"Por comprobar"))),1,0))),2)</f>
      </c>
      <c r="P464" s="29">
        <f>IFERROR(IF(N464=0,"",IF(NOT(Y464=1),1,IF('REFERENCIAS'!$Q$8&lt;&gt;1,2,IF(ABS('DATOS'!J464-ROUND('DATOS'!G464*'DATOS'!H464,'REFERENCIAS'!$K$8))&gt;0.00000001,2,IF('DATOS'!O464="No existe",IF(LEN(TRIM('DATOS'!I464&amp;""))=0,0,2),IF('DATOS'!O464="Comparamos",IF(LEN(TRIM('DATOS'!I464&amp;""))=0,1,IF(ISNUMBER('DATOS'!I464),IF(ABS('DATOS'!H464-'DATOS'!I464)&gt;0.00000001,2,0),2)),1)))))),2)</f>
      </c>
      <c r="Q464" s="29">
        <f>IFERROR(IF(N464=0,"",IF(NOT(Y464=1),1,IF('DATOS'!K464="Sin valorar",2,IF('DATOS'!G464=0,1,IF(OR('DATOS'!H464=0,'DATOS'!J464=0),IF(AND(OR('DATOS'!K464="Sin coste documentado",'DATOS'!K464="Incluido en otra partida"),AND(LEN(TRIM('DATOS'!L464&amp;""))&gt;0,TRIM('DATOS'!L464&amp;"")&lt;&gt;"Pendiente",TRIM('DATOS'!L464&amp;"")&lt;&gt;"Por confirmar",TRIM('DATOS'!L464&amp;"")&lt;&gt;"No consta",TRIM('DATOS'!L464&amp;"")&lt;&gt;"Desconocido",TRIM('DATOS'!L464&amp;"")&lt;&gt;"Sin confirmar",TRIM('DATOS'!L464&amp;"")&lt;&gt;"Por decidir",TRIM('DATOS'!L464&amp;"")&lt;&gt;"Por comprobar")),0,1),0))))),2)</f>
      </c>
      <c r="R464" s="29">
        <f>IFERROR(IF(N464=0,"",IF(OR(NOT(AND(LEN(TRIM('DATOS'!D464&amp;""))&gt;0,TRIM('DATOS'!D464&amp;"")&lt;&gt;"Pendiente",TRIM('DATOS'!D464&amp;"")&lt;&gt;"Por confirmar",TRIM('DATOS'!D464&amp;"")&lt;&gt;"No consta",TRIM('DATOS'!D464&amp;"")&lt;&gt;"Desconocido",TRIM('DATOS'!D464&amp;"")&lt;&gt;"Sin confirmar",TRIM('DATOS'!D464&amp;"")&lt;&gt;"Por decidir",TRIM('DATOS'!D464&amp;"")&lt;&gt;"Por comprobar")),NOT(AND(LEN(TRIM('DATOS'!E464&amp;""))&gt;0,TRIM('DATOS'!E464&amp;"")&lt;&gt;"Pendiente",TRIM('DATOS'!E464&amp;"")&lt;&gt;"Por confirmar",TRIM('DATOS'!E464&amp;"")&lt;&gt;"No consta",TRIM('DATOS'!E464&amp;"")&lt;&gt;"Desconocido",TRIM('DATOS'!E464&amp;"")&lt;&gt;"Sin confirmar",TRIM('DATOS'!E464&amp;"")&lt;&gt;"Por decidir",TRIM('DATOS'!E464&amp;"")&lt;&gt;"Por comprobar"))),2,IF('DATOS'!M464="No",2,IF('DATOS'!M464="Sí",0,IF(OR('DATOS'!D464&lt;&gt;'DATOS'!E464,LEN('DATOS'!E464)&gt;300,RIGHT(TRIM('DATOS'!E464),3)="...",RIGHT(TRIM('DATOS'!E464),1)="…"),1,0))))),2)</f>
      </c>
      <c r="S464" s="29">
        <f>IFERROR(IF(N464=0,"",IF('REFERENCIAS'!$Q$8&lt;&gt;1,2,IF(NOT(Y464=1),1,IF(OR(ABS('DATOS'!G464-ROUND('DATOS'!G464,'REFERENCIAS'!$E$8))&gt;0.00000001,ABS('DATOS'!H464-ROUND('DATOS'!H464,'REFERENCIAS'!$H$8))&gt;0.00000001,ABS('DATOS'!J464-ROUND('DATOS'!J464,'REFERENCIAS'!$K$8))&gt;0.00000001,IF(ISNUMBER('DATOS'!I464),ABS('DATOS'!I464-ROUND('DATOS'!I464,'REFERENCIAS'!$H$8))&gt;0.00000001,FALSE)),1,0)))),2)</f>
      </c>
      <c r="T464" s="29">
        <f>IFERROR(IF(N464=0,"",IF(NOT(AND(LEN(TRIM('DATOS'!F464&amp;""))&gt;0,TRIM('DATOS'!F464&amp;"")&lt;&gt;"Pendiente",TRIM('DATOS'!F464&amp;"")&lt;&gt;"Por confirmar",TRIM('DATOS'!F464&amp;"")&lt;&gt;"No consta",TRIM('DATOS'!F464&amp;"")&lt;&gt;"Desconocido",TRIM('DATOS'!F464&amp;"")&lt;&gt;"Sin confirmar",TRIM('DATOS'!F464&amp;"")&lt;&gt;"Por decidir",TRIM('DATOS'!F464&amp;"")&lt;&gt;"Por comprobar")),2,IF(COUNTIFS('REFERENCIAS'!$T$15:$T$34,"ID:"&amp;SUBSTITUTE(SUBSTITUTE(SUBSTITUTE(SUBSTITUTE(UPPER(TRIM('DATOS'!F464&amp;"")),"!","!E"),"*","!A"),"?","!B"),"~","!C"),'REFERENCIAS'!$H$15:$H$34,"&lt;&gt;")&gt;0,0,1))),2)</f>
      </c>
      <c r="U464" s="29" t="str">
        <f>'DATOS'!R464</f>
        <v>ID:</v>
      </c>
      <c r="V464" s="29" t="str">
        <f>'DATOS'!S464</f>
        <v>ID:</v>
      </c>
      <c r="W464" s="29" t="n">
        <f>IF(N464=0,0,COUNTIFS('REFERENCIAS'!$R$15:$R$64,U464))</f>
        <v>0</v>
      </c>
      <c r="X464" s="29" t="n">
        <f>IF(N464=0,0,COUNTIFS('DATOS'!$R$10:$R$509,U464,'DATOS'!$S$10:$S$509,V464))</f>
        <v>0</v>
      </c>
      <c r="Y464" s="29" t="n">
        <f>IF(AND(ISNUMBER('DATOS'!G464),ISNUMBER('DATOS'!H464),ISNUMBER('DATOS'!J464)),1,0)</f>
        <v>0</v>
      </c>
    </row>
    <row r="465" ht="64" customHeight="1">
      <c r="B465" s="26">
        <f>IF(N465=1,456,"")</f>
      </c>
      <c r="C465" s="26">
        <f>IF(AND(N465=1,LEN(TRIM('DATOS'!B465&amp;""))&gt;0),'DATOS'!B465,"")</f>
      </c>
      <c r="D465" s="26">
        <f>IF(AND(N465=1,LEN(TRIM('DATOS'!C465&amp;""))&gt;0),'DATOS'!C465,"")</f>
      </c>
      <c r="E465" s="26">
        <f>IF(NOT(ISNUMBER(P465)),"",IF(P465=2,"ROJO",IF(P465=1,"ÁMBAR","VERDE")))</f>
      </c>
      <c r="F465" s="26">
        <f>IF(NOT(ISNUMBER(Q465)),"",IF(Q465=2,"ROJO",IF(Q465=1,"ÁMBAR","VERDE")))</f>
      </c>
      <c r="G465" s="26">
        <f>IF(NOT(ISNUMBER(R465)),"",IF(R465=2,"ROJO",IF(R465=1,"ÁMBAR","VERDE")))</f>
      </c>
      <c r="H465" s="26">
        <f>IF(NOT(ISNUMBER(S465)),"",IF(S465=2,"ROJO",IF(S465=1,"ÁMBAR","VERDE")))</f>
      </c>
      <c r="I465" s="26">
        <f>IF(NOT(ISNUMBER(T465)),"",IF(T465=2,"ROJO",IF(T465=1,"ÁMBAR","VERDE")))</f>
      </c>
      <c r="J465" s="26">
        <f>IF(NOT(ISNUMBER(O465)),"",IF(O465=2,"ROJO",IF(O465=1,"ÁMBAR","VERDE")))</f>
      </c>
      <c r="K465" s="26">
        <f>IFERROR(IF(AND(N465=1,LEN(TRIM('DATOS'!N465&amp;""))&gt;0),'DATOS'!N465,""),"Hay una entrada con error. Corregimos el dato antes de cerrar la comprobación.")</f>
      </c>
      <c r="L465" s="26">
        <f>IFERROR(IF(N465=0,"",IF(O465&gt;0,"Completamos datos, claves o motivo. ","")&amp;IF(P465&gt;0,"Cotejamos precios e importe. ","")&amp;IF(Q465&gt;0,"Aclaramos el cero. ","")&amp;IF(R465&gt;0,"Comprobamos el texto. ","")&amp;IF(S465&gt;0,"Revisamos decimales visibles. ","")&amp;IF(T465&gt;0,"Confirmamos la unidad.","")),"Hay una entrada con error. Corregimos el dato antes de cerrar la comprobación.")</f>
      </c>
      <c r="N465" s="29" t="n">
        <f>IF(COUNTA('DATOS'!B465:O465)&gt;0,1,0)</f>
        <v>0</v>
      </c>
      <c r="O465" s="29">
        <f>IFERROR(IF(N465=0,"",IF(OR(NOT(AND(LEN(TRIM('DATOS'!B465&amp;""))&gt;0,TRIM('DATOS'!B465&amp;"")&lt;&gt;"Pendiente",TRIM('DATOS'!B465&amp;"")&lt;&gt;"Por confirmar",TRIM('DATOS'!B465&amp;"")&lt;&gt;"No consta",TRIM('DATOS'!B465&amp;"")&lt;&gt;"Desconocido",TRIM('DATOS'!B465&amp;"")&lt;&gt;"Sin confirmar",TRIM('DATOS'!B465&amp;"")&lt;&gt;"Por decidir",TRIM('DATOS'!B465&amp;"")&lt;&gt;"Por comprobar")),NOT(AND(LEN(TRIM('DATOS'!C465&amp;""))&gt;0,TRIM('DATOS'!C465&amp;"")&lt;&gt;"Pendiente",TRIM('DATOS'!C465&amp;"")&lt;&gt;"Por confirmar",TRIM('DATOS'!C465&amp;"")&lt;&gt;"No consta",TRIM('DATOS'!C465&amp;"")&lt;&gt;"Desconocido",TRIM('DATOS'!C465&amp;"")&lt;&gt;"Sin confirmar",TRIM('DATOS'!C465&amp;"")&lt;&gt;"Por decidir",TRIM('DATOS'!C465&amp;"")&lt;&gt;"Por comprobar")),NOT(AND(LEN(TRIM('DATOS'!D465&amp;""))&gt;0,TRIM('DATOS'!D465&amp;"")&lt;&gt;"Pendiente",TRIM('DATOS'!D465&amp;"")&lt;&gt;"Por confirmar",TRIM('DATOS'!D465&amp;"")&lt;&gt;"No consta",TRIM('DATOS'!D465&amp;"")&lt;&gt;"Desconocido",TRIM('DATOS'!D465&amp;"")&lt;&gt;"Sin confirmar",TRIM('DATOS'!D465&amp;"")&lt;&gt;"Por decidir",TRIM('DATOS'!D465&amp;"")&lt;&gt;"Por comprobar")),NOT(AND(LEN(TRIM('DATOS'!E465&amp;""))&gt;0,TRIM('DATOS'!E465&amp;"")&lt;&gt;"Pendiente",TRIM('DATOS'!E465&amp;"")&lt;&gt;"Por confirmar",TRIM('DATOS'!E465&amp;"")&lt;&gt;"No consta",TRIM('DATOS'!E465&amp;"")&lt;&gt;"Desconocido",TRIM('DATOS'!E465&amp;"")&lt;&gt;"Sin confirmar",TRIM('DATOS'!E465&amp;"")&lt;&gt;"Por decidir",TRIM('DATOS'!E465&amp;"")&lt;&gt;"Por comprobar")),NOT(AND(LEN(TRIM('DATOS'!F465&amp;""))&gt;0,TRIM('DATOS'!F465&amp;"")&lt;&gt;"Pendiente",TRIM('DATOS'!F465&amp;"")&lt;&gt;"Por confirmar",TRIM('DATOS'!F465&amp;"")&lt;&gt;"No consta",TRIM('DATOS'!F465&amp;"")&lt;&gt;"Desconocido",TRIM('DATOS'!F465&amp;"")&lt;&gt;"Sin confirmar",TRIM('DATOS'!F465&amp;"")&lt;&gt;"Por decidir",TRIM('DATOS'!F465&amp;"")&lt;&gt;"Por comprobar")),NOT(AND(LEN(TRIM('DATOS'!N465&amp;""))&gt;0,TRIM('DATOS'!N465&amp;"")&lt;&gt;"Pendiente",TRIM('DATOS'!N465&amp;"")&lt;&gt;"Por confirmar",TRIM('DATOS'!N465&amp;"")&lt;&gt;"No consta",TRIM('DATOS'!N465&amp;"")&lt;&gt;"Desconocido",TRIM('DATOS'!N465&amp;"")&lt;&gt;"Sin confirmar",TRIM('DATOS'!N465&amp;"")&lt;&gt;"Por decidir",TRIM('DATOS'!N465&amp;"")&lt;&gt;"Por comprobar")),NOT(Y465=1),W465&lt;&gt;1,X465&gt;1,NOT(OR(LEN(TRIM('DATOS'!K465&amp;""))=0,'DATOS'!K465="Sin valorar",'DATOS'!K465="Sin coste documentado",'DATOS'!K465="Incluido en otra partida",'DATOS'!K465="Por confirmar")),NOT(OR(LEN(TRIM('DATOS'!M465&amp;""))=0,'DATOS'!M465="Sí",'DATOS'!M465="No",'DATOS'!M465="Por confirmar")),NOT(OR(LEN(TRIM('DATOS'!O465&amp;""))=0,'DATOS'!O465="Comparamos",'DATOS'!O465="No existe",'DATOS'!O465="Por confirmar"))),2,IF(AND(OR('DATOS'!G465&lt;0,'DATOS'!H465&lt;0,'DATOS'!J465&lt;0),NOT(AND(LEN(TRIM('DATOS'!L465&amp;""))&gt;0,TRIM('DATOS'!L465&amp;"")&lt;&gt;"Pendiente",TRIM('DATOS'!L465&amp;"")&lt;&gt;"Por confirmar",TRIM('DATOS'!L465&amp;"")&lt;&gt;"No consta",TRIM('DATOS'!L465&amp;"")&lt;&gt;"Desconocido",TRIM('DATOS'!L465&amp;"")&lt;&gt;"Sin confirmar",TRIM('DATOS'!L465&amp;"")&lt;&gt;"Por decidir",TRIM('DATOS'!L465&amp;"")&lt;&gt;"Por comprobar"))),1,0))),2)</f>
      </c>
      <c r="P465" s="29">
        <f>IFERROR(IF(N465=0,"",IF(NOT(Y465=1),1,IF('REFERENCIAS'!$Q$8&lt;&gt;1,2,IF(ABS('DATOS'!J465-ROUND('DATOS'!G465*'DATOS'!H465,'REFERENCIAS'!$K$8))&gt;0.00000001,2,IF('DATOS'!O465="No existe",IF(LEN(TRIM('DATOS'!I465&amp;""))=0,0,2),IF('DATOS'!O465="Comparamos",IF(LEN(TRIM('DATOS'!I465&amp;""))=0,1,IF(ISNUMBER('DATOS'!I465),IF(ABS('DATOS'!H465-'DATOS'!I465)&gt;0.00000001,2,0),2)),1)))))),2)</f>
      </c>
      <c r="Q465" s="29">
        <f>IFERROR(IF(N465=0,"",IF(NOT(Y465=1),1,IF('DATOS'!K465="Sin valorar",2,IF('DATOS'!G465=0,1,IF(OR('DATOS'!H465=0,'DATOS'!J465=0),IF(AND(OR('DATOS'!K465="Sin coste documentado",'DATOS'!K465="Incluido en otra partida"),AND(LEN(TRIM('DATOS'!L465&amp;""))&gt;0,TRIM('DATOS'!L465&amp;"")&lt;&gt;"Pendiente",TRIM('DATOS'!L465&amp;"")&lt;&gt;"Por confirmar",TRIM('DATOS'!L465&amp;"")&lt;&gt;"No consta",TRIM('DATOS'!L465&amp;"")&lt;&gt;"Desconocido",TRIM('DATOS'!L465&amp;"")&lt;&gt;"Sin confirmar",TRIM('DATOS'!L465&amp;"")&lt;&gt;"Por decidir",TRIM('DATOS'!L465&amp;"")&lt;&gt;"Por comprobar")),0,1),0))))),2)</f>
      </c>
      <c r="R465" s="29">
        <f>IFERROR(IF(N465=0,"",IF(OR(NOT(AND(LEN(TRIM('DATOS'!D465&amp;""))&gt;0,TRIM('DATOS'!D465&amp;"")&lt;&gt;"Pendiente",TRIM('DATOS'!D465&amp;"")&lt;&gt;"Por confirmar",TRIM('DATOS'!D465&amp;"")&lt;&gt;"No consta",TRIM('DATOS'!D465&amp;"")&lt;&gt;"Desconocido",TRIM('DATOS'!D465&amp;"")&lt;&gt;"Sin confirmar",TRIM('DATOS'!D465&amp;"")&lt;&gt;"Por decidir",TRIM('DATOS'!D465&amp;"")&lt;&gt;"Por comprobar")),NOT(AND(LEN(TRIM('DATOS'!E465&amp;""))&gt;0,TRIM('DATOS'!E465&amp;"")&lt;&gt;"Pendiente",TRIM('DATOS'!E465&amp;"")&lt;&gt;"Por confirmar",TRIM('DATOS'!E465&amp;"")&lt;&gt;"No consta",TRIM('DATOS'!E465&amp;"")&lt;&gt;"Desconocido",TRIM('DATOS'!E465&amp;"")&lt;&gt;"Sin confirmar",TRIM('DATOS'!E465&amp;"")&lt;&gt;"Por decidir",TRIM('DATOS'!E465&amp;"")&lt;&gt;"Por comprobar"))),2,IF('DATOS'!M465="No",2,IF('DATOS'!M465="Sí",0,IF(OR('DATOS'!D465&lt;&gt;'DATOS'!E465,LEN('DATOS'!E465)&gt;300,RIGHT(TRIM('DATOS'!E465),3)="...",RIGHT(TRIM('DATOS'!E465),1)="…"),1,0))))),2)</f>
      </c>
      <c r="S465" s="29">
        <f>IFERROR(IF(N465=0,"",IF('REFERENCIAS'!$Q$8&lt;&gt;1,2,IF(NOT(Y465=1),1,IF(OR(ABS('DATOS'!G465-ROUND('DATOS'!G465,'REFERENCIAS'!$E$8))&gt;0.00000001,ABS('DATOS'!H465-ROUND('DATOS'!H465,'REFERENCIAS'!$H$8))&gt;0.00000001,ABS('DATOS'!J465-ROUND('DATOS'!J465,'REFERENCIAS'!$K$8))&gt;0.00000001,IF(ISNUMBER('DATOS'!I465),ABS('DATOS'!I465-ROUND('DATOS'!I465,'REFERENCIAS'!$H$8))&gt;0.00000001,FALSE)),1,0)))),2)</f>
      </c>
      <c r="T465" s="29">
        <f>IFERROR(IF(N465=0,"",IF(NOT(AND(LEN(TRIM('DATOS'!F465&amp;""))&gt;0,TRIM('DATOS'!F465&amp;"")&lt;&gt;"Pendiente",TRIM('DATOS'!F465&amp;"")&lt;&gt;"Por confirmar",TRIM('DATOS'!F465&amp;"")&lt;&gt;"No consta",TRIM('DATOS'!F465&amp;"")&lt;&gt;"Desconocido",TRIM('DATOS'!F465&amp;"")&lt;&gt;"Sin confirmar",TRIM('DATOS'!F465&amp;"")&lt;&gt;"Por decidir",TRIM('DATOS'!F465&amp;"")&lt;&gt;"Por comprobar")),2,IF(COUNTIFS('REFERENCIAS'!$T$15:$T$34,"ID:"&amp;SUBSTITUTE(SUBSTITUTE(SUBSTITUTE(SUBSTITUTE(UPPER(TRIM('DATOS'!F465&amp;"")),"!","!E"),"*","!A"),"?","!B"),"~","!C"),'REFERENCIAS'!$H$15:$H$34,"&lt;&gt;")&gt;0,0,1))),2)</f>
      </c>
      <c r="U465" s="29" t="str">
        <f>'DATOS'!R465</f>
        <v>ID:</v>
      </c>
      <c r="V465" s="29" t="str">
        <f>'DATOS'!S465</f>
        <v>ID:</v>
      </c>
      <c r="W465" s="29" t="n">
        <f>IF(N465=0,0,COUNTIFS('REFERENCIAS'!$R$15:$R$64,U465))</f>
        <v>0</v>
      </c>
      <c r="X465" s="29" t="n">
        <f>IF(N465=0,0,COUNTIFS('DATOS'!$R$10:$R$509,U465,'DATOS'!$S$10:$S$509,V465))</f>
        <v>0</v>
      </c>
      <c r="Y465" s="29" t="n">
        <f>IF(AND(ISNUMBER('DATOS'!G465),ISNUMBER('DATOS'!H465),ISNUMBER('DATOS'!J465)),1,0)</f>
        <v>0</v>
      </c>
    </row>
    <row r="466" ht="64" customHeight="1">
      <c r="B466" s="26">
        <f>IF(N466=1,457,"")</f>
      </c>
      <c r="C466" s="26">
        <f>IF(AND(N466=1,LEN(TRIM('DATOS'!B466&amp;""))&gt;0),'DATOS'!B466,"")</f>
      </c>
      <c r="D466" s="26">
        <f>IF(AND(N466=1,LEN(TRIM('DATOS'!C466&amp;""))&gt;0),'DATOS'!C466,"")</f>
      </c>
      <c r="E466" s="26">
        <f>IF(NOT(ISNUMBER(P466)),"",IF(P466=2,"ROJO",IF(P466=1,"ÁMBAR","VERDE")))</f>
      </c>
      <c r="F466" s="26">
        <f>IF(NOT(ISNUMBER(Q466)),"",IF(Q466=2,"ROJO",IF(Q466=1,"ÁMBAR","VERDE")))</f>
      </c>
      <c r="G466" s="26">
        <f>IF(NOT(ISNUMBER(R466)),"",IF(R466=2,"ROJO",IF(R466=1,"ÁMBAR","VERDE")))</f>
      </c>
      <c r="H466" s="26">
        <f>IF(NOT(ISNUMBER(S466)),"",IF(S466=2,"ROJO",IF(S466=1,"ÁMBAR","VERDE")))</f>
      </c>
      <c r="I466" s="26">
        <f>IF(NOT(ISNUMBER(T466)),"",IF(T466=2,"ROJO",IF(T466=1,"ÁMBAR","VERDE")))</f>
      </c>
      <c r="J466" s="26">
        <f>IF(NOT(ISNUMBER(O466)),"",IF(O466=2,"ROJO",IF(O466=1,"ÁMBAR","VERDE")))</f>
      </c>
      <c r="K466" s="26">
        <f>IFERROR(IF(AND(N466=1,LEN(TRIM('DATOS'!N466&amp;""))&gt;0),'DATOS'!N466,""),"Hay una entrada con error. Corregimos el dato antes de cerrar la comprobación.")</f>
      </c>
      <c r="L466" s="26">
        <f>IFERROR(IF(N466=0,"",IF(O466&gt;0,"Completamos datos, claves o motivo. ","")&amp;IF(P466&gt;0,"Cotejamos precios e importe. ","")&amp;IF(Q466&gt;0,"Aclaramos el cero. ","")&amp;IF(R466&gt;0,"Comprobamos el texto. ","")&amp;IF(S466&gt;0,"Revisamos decimales visibles. ","")&amp;IF(T466&gt;0,"Confirmamos la unidad.","")),"Hay una entrada con error. Corregimos el dato antes de cerrar la comprobación.")</f>
      </c>
      <c r="N466" s="29" t="n">
        <f>IF(COUNTA('DATOS'!B466:O466)&gt;0,1,0)</f>
        <v>0</v>
      </c>
      <c r="O466" s="29">
        <f>IFERROR(IF(N466=0,"",IF(OR(NOT(AND(LEN(TRIM('DATOS'!B466&amp;""))&gt;0,TRIM('DATOS'!B466&amp;"")&lt;&gt;"Pendiente",TRIM('DATOS'!B466&amp;"")&lt;&gt;"Por confirmar",TRIM('DATOS'!B466&amp;"")&lt;&gt;"No consta",TRIM('DATOS'!B466&amp;"")&lt;&gt;"Desconocido",TRIM('DATOS'!B466&amp;"")&lt;&gt;"Sin confirmar",TRIM('DATOS'!B466&amp;"")&lt;&gt;"Por decidir",TRIM('DATOS'!B466&amp;"")&lt;&gt;"Por comprobar")),NOT(AND(LEN(TRIM('DATOS'!C466&amp;""))&gt;0,TRIM('DATOS'!C466&amp;"")&lt;&gt;"Pendiente",TRIM('DATOS'!C466&amp;"")&lt;&gt;"Por confirmar",TRIM('DATOS'!C466&amp;"")&lt;&gt;"No consta",TRIM('DATOS'!C466&amp;"")&lt;&gt;"Desconocido",TRIM('DATOS'!C466&amp;"")&lt;&gt;"Sin confirmar",TRIM('DATOS'!C466&amp;"")&lt;&gt;"Por decidir",TRIM('DATOS'!C466&amp;"")&lt;&gt;"Por comprobar")),NOT(AND(LEN(TRIM('DATOS'!D466&amp;""))&gt;0,TRIM('DATOS'!D466&amp;"")&lt;&gt;"Pendiente",TRIM('DATOS'!D466&amp;"")&lt;&gt;"Por confirmar",TRIM('DATOS'!D466&amp;"")&lt;&gt;"No consta",TRIM('DATOS'!D466&amp;"")&lt;&gt;"Desconocido",TRIM('DATOS'!D466&amp;"")&lt;&gt;"Sin confirmar",TRIM('DATOS'!D466&amp;"")&lt;&gt;"Por decidir",TRIM('DATOS'!D466&amp;"")&lt;&gt;"Por comprobar")),NOT(AND(LEN(TRIM('DATOS'!E466&amp;""))&gt;0,TRIM('DATOS'!E466&amp;"")&lt;&gt;"Pendiente",TRIM('DATOS'!E466&amp;"")&lt;&gt;"Por confirmar",TRIM('DATOS'!E466&amp;"")&lt;&gt;"No consta",TRIM('DATOS'!E466&amp;"")&lt;&gt;"Desconocido",TRIM('DATOS'!E466&amp;"")&lt;&gt;"Sin confirmar",TRIM('DATOS'!E466&amp;"")&lt;&gt;"Por decidir",TRIM('DATOS'!E466&amp;"")&lt;&gt;"Por comprobar")),NOT(AND(LEN(TRIM('DATOS'!F466&amp;""))&gt;0,TRIM('DATOS'!F466&amp;"")&lt;&gt;"Pendiente",TRIM('DATOS'!F466&amp;"")&lt;&gt;"Por confirmar",TRIM('DATOS'!F466&amp;"")&lt;&gt;"No consta",TRIM('DATOS'!F466&amp;"")&lt;&gt;"Desconocido",TRIM('DATOS'!F466&amp;"")&lt;&gt;"Sin confirmar",TRIM('DATOS'!F466&amp;"")&lt;&gt;"Por decidir",TRIM('DATOS'!F466&amp;"")&lt;&gt;"Por comprobar")),NOT(AND(LEN(TRIM('DATOS'!N466&amp;""))&gt;0,TRIM('DATOS'!N466&amp;"")&lt;&gt;"Pendiente",TRIM('DATOS'!N466&amp;"")&lt;&gt;"Por confirmar",TRIM('DATOS'!N466&amp;"")&lt;&gt;"No consta",TRIM('DATOS'!N466&amp;"")&lt;&gt;"Desconocido",TRIM('DATOS'!N466&amp;"")&lt;&gt;"Sin confirmar",TRIM('DATOS'!N466&amp;"")&lt;&gt;"Por decidir",TRIM('DATOS'!N466&amp;"")&lt;&gt;"Por comprobar")),NOT(Y466=1),W466&lt;&gt;1,X466&gt;1,NOT(OR(LEN(TRIM('DATOS'!K466&amp;""))=0,'DATOS'!K466="Sin valorar",'DATOS'!K466="Sin coste documentado",'DATOS'!K466="Incluido en otra partida",'DATOS'!K466="Por confirmar")),NOT(OR(LEN(TRIM('DATOS'!M466&amp;""))=0,'DATOS'!M466="Sí",'DATOS'!M466="No",'DATOS'!M466="Por confirmar")),NOT(OR(LEN(TRIM('DATOS'!O466&amp;""))=0,'DATOS'!O466="Comparamos",'DATOS'!O466="No existe",'DATOS'!O466="Por confirmar"))),2,IF(AND(OR('DATOS'!G466&lt;0,'DATOS'!H466&lt;0,'DATOS'!J466&lt;0),NOT(AND(LEN(TRIM('DATOS'!L466&amp;""))&gt;0,TRIM('DATOS'!L466&amp;"")&lt;&gt;"Pendiente",TRIM('DATOS'!L466&amp;"")&lt;&gt;"Por confirmar",TRIM('DATOS'!L466&amp;"")&lt;&gt;"No consta",TRIM('DATOS'!L466&amp;"")&lt;&gt;"Desconocido",TRIM('DATOS'!L466&amp;"")&lt;&gt;"Sin confirmar",TRIM('DATOS'!L466&amp;"")&lt;&gt;"Por decidir",TRIM('DATOS'!L466&amp;"")&lt;&gt;"Por comprobar"))),1,0))),2)</f>
      </c>
      <c r="P466" s="29">
        <f>IFERROR(IF(N466=0,"",IF(NOT(Y466=1),1,IF('REFERENCIAS'!$Q$8&lt;&gt;1,2,IF(ABS('DATOS'!J466-ROUND('DATOS'!G466*'DATOS'!H466,'REFERENCIAS'!$K$8))&gt;0.00000001,2,IF('DATOS'!O466="No existe",IF(LEN(TRIM('DATOS'!I466&amp;""))=0,0,2),IF('DATOS'!O466="Comparamos",IF(LEN(TRIM('DATOS'!I466&amp;""))=0,1,IF(ISNUMBER('DATOS'!I466),IF(ABS('DATOS'!H466-'DATOS'!I466)&gt;0.00000001,2,0),2)),1)))))),2)</f>
      </c>
      <c r="Q466" s="29">
        <f>IFERROR(IF(N466=0,"",IF(NOT(Y466=1),1,IF('DATOS'!K466="Sin valorar",2,IF('DATOS'!G466=0,1,IF(OR('DATOS'!H466=0,'DATOS'!J466=0),IF(AND(OR('DATOS'!K466="Sin coste documentado",'DATOS'!K466="Incluido en otra partida"),AND(LEN(TRIM('DATOS'!L466&amp;""))&gt;0,TRIM('DATOS'!L466&amp;"")&lt;&gt;"Pendiente",TRIM('DATOS'!L466&amp;"")&lt;&gt;"Por confirmar",TRIM('DATOS'!L466&amp;"")&lt;&gt;"No consta",TRIM('DATOS'!L466&amp;"")&lt;&gt;"Desconocido",TRIM('DATOS'!L466&amp;"")&lt;&gt;"Sin confirmar",TRIM('DATOS'!L466&amp;"")&lt;&gt;"Por decidir",TRIM('DATOS'!L466&amp;"")&lt;&gt;"Por comprobar")),0,1),0))))),2)</f>
      </c>
      <c r="R466" s="29">
        <f>IFERROR(IF(N466=0,"",IF(OR(NOT(AND(LEN(TRIM('DATOS'!D466&amp;""))&gt;0,TRIM('DATOS'!D466&amp;"")&lt;&gt;"Pendiente",TRIM('DATOS'!D466&amp;"")&lt;&gt;"Por confirmar",TRIM('DATOS'!D466&amp;"")&lt;&gt;"No consta",TRIM('DATOS'!D466&amp;"")&lt;&gt;"Desconocido",TRIM('DATOS'!D466&amp;"")&lt;&gt;"Sin confirmar",TRIM('DATOS'!D466&amp;"")&lt;&gt;"Por decidir",TRIM('DATOS'!D466&amp;"")&lt;&gt;"Por comprobar")),NOT(AND(LEN(TRIM('DATOS'!E466&amp;""))&gt;0,TRIM('DATOS'!E466&amp;"")&lt;&gt;"Pendiente",TRIM('DATOS'!E466&amp;"")&lt;&gt;"Por confirmar",TRIM('DATOS'!E466&amp;"")&lt;&gt;"No consta",TRIM('DATOS'!E466&amp;"")&lt;&gt;"Desconocido",TRIM('DATOS'!E466&amp;"")&lt;&gt;"Sin confirmar",TRIM('DATOS'!E466&amp;"")&lt;&gt;"Por decidir",TRIM('DATOS'!E466&amp;"")&lt;&gt;"Por comprobar"))),2,IF('DATOS'!M466="No",2,IF('DATOS'!M466="Sí",0,IF(OR('DATOS'!D466&lt;&gt;'DATOS'!E466,LEN('DATOS'!E466)&gt;300,RIGHT(TRIM('DATOS'!E466),3)="...",RIGHT(TRIM('DATOS'!E466),1)="…"),1,0))))),2)</f>
      </c>
      <c r="S466" s="29">
        <f>IFERROR(IF(N466=0,"",IF('REFERENCIAS'!$Q$8&lt;&gt;1,2,IF(NOT(Y466=1),1,IF(OR(ABS('DATOS'!G466-ROUND('DATOS'!G466,'REFERENCIAS'!$E$8))&gt;0.00000001,ABS('DATOS'!H466-ROUND('DATOS'!H466,'REFERENCIAS'!$H$8))&gt;0.00000001,ABS('DATOS'!J466-ROUND('DATOS'!J466,'REFERENCIAS'!$K$8))&gt;0.00000001,IF(ISNUMBER('DATOS'!I466),ABS('DATOS'!I466-ROUND('DATOS'!I466,'REFERENCIAS'!$H$8))&gt;0.00000001,FALSE)),1,0)))),2)</f>
      </c>
      <c r="T466" s="29">
        <f>IFERROR(IF(N466=0,"",IF(NOT(AND(LEN(TRIM('DATOS'!F466&amp;""))&gt;0,TRIM('DATOS'!F466&amp;"")&lt;&gt;"Pendiente",TRIM('DATOS'!F466&amp;"")&lt;&gt;"Por confirmar",TRIM('DATOS'!F466&amp;"")&lt;&gt;"No consta",TRIM('DATOS'!F466&amp;"")&lt;&gt;"Desconocido",TRIM('DATOS'!F466&amp;"")&lt;&gt;"Sin confirmar",TRIM('DATOS'!F466&amp;"")&lt;&gt;"Por decidir",TRIM('DATOS'!F466&amp;"")&lt;&gt;"Por comprobar")),2,IF(COUNTIFS('REFERENCIAS'!$T$15:$T$34,"ID:"&amp;SUBSTITUTE(SUBSTITUTE(SUBSTITUTE(SUBSTITUTE(UPPER(TRIM('DATOS'!F466&amp;"")),"!","!E"),"*","!A"),"?","!B"),"~","!C"),'REFERENCIAS'!$H$15:$H$34,"&lt;&gt;")&gt;0,0,1))),2)</f>
      </c>
      <c r="U466" s="29" t="str">
        <f>'DATOS'!R466</f>
        <v>ID:</v>
      </c>
      <c r="V466" s="29" t="str">
        <f>'DATOS'!S466</f>
        <v>ID:</v>
      </c>
      <c r="W466" s="29" t="n">
        <f>IF(N466=0,0,COUNTIFS('REFERENCIAS'!$R$15:$R$64,U466))</f>
        <v>0</v>
      </c>
      <c r="X466" s="29" t="n">
        <f>IF(N466=0,0,COUNTIFS('DATOS'!$R$10:$R$509,U466,'DATOS'!$S$10:$S$509,V466))</f>
        <v>0</v>
      </c>
      <c r="Y466" s="29" t="n">
        <f>IF(AND(ISNUMBER('DATOS'!G466),ISNUMBER('DATOS'!H466),ISNUMBER('DATOS'!J466)),1,0)</f>
        <v>0</v>
      </c>
    </row>
    <row r="467" ht="64" customHeight="1">
      <c r="B467" s="26">
        <f>IF(N467=1,458,"")</f>
      </c>
      <c r="C467" s="26">
        <f>IF(AND(N467=1,LEN(TRIM('DATOS'!B467&amp;""))&gt;0),'DATOS'!B467,"")</f>
      </c>
      <c r="D467" s="26">
        <f>IF(AND(N467=1,LEN(TRIM('DATOS'!C467&amp;""))&gt;0),'DATOS'!C467,"")</f>
      </c>
      <c r="E467" s="26">
        <f>IF(NOT(ISNUMBER(P467)),"",IF(P467=2,"ROJO",IF(P467=1,"ÁMBAR","VERDE")))</f>
      </c>
      <c r="F467" s="26">
        <f>IF(NOT(ISNUMBER(Q467)),"",IF(Q467=2,"ROJO",IF(Q467=1,"ÁMBAR","VERDE")))</f>
      </c>
      <c r="G467" s="26">
        <f>IF(NOT(ISNUMBER(R467)),"",IF(R467=2,"ROJO",IF(R467=1,"ÁMBAR","VERDE")))</f>
      </c>
      <c r="H467" s="26">
        <f>IF(NOT(ISNUMBER(S467)),"",IF(S467=2,"ROJO",IF(S467=1,"ÁMBAR","VERDE")))</f>
      </c>
      <c r="I467" s="26">
        <f>IF(NOT(ISNUMBER(T467)),"",IF(T467=2,"ROJO",IF(T467=1,"ÁMBAR","VERDE")))</f>
      </c>
      <c r="J467" s="26">
        <f>IF(NOT(ISNUMBER(O467)),"",IF(O467=2,"ROJO",IF(O467=1,"ÁMBAR","VERDE")))</f>
      </c>
      <c r="K467" s="26">
        <f>IFERROR(IF(AND(N467=1,LEN(TRIM('DATOS'!N467&amp;""))&gt;0),'DATOS'!N467,""),"Hay una entrada con error. Corregimos el dato antes de cerrar la comprobación.")</f>
      </c>
      <c r="L467" s="26">
        <f>IFERROR(IF(N467=0,"",IF(O467&gt;0,"Completamos datos, claves o motivo. ","")&amp;IF(P467&gt;0,"Cotejamos precios e importe. ","")&amp;IF(Q467&gt;0,"Aclaramos el cero. ","")&amp;IF(R467&gt;0,"Comprobamos el texto. ","")&amp;IF(S467&gt;0,"Revisamos decimales visibles. ","")&amp;IF(T467&gt;0,"Confirmamos la unidad.","")),"Hay una entrada con error. Corregimos el dato antes de cerrar la comprobación.")</f>
      </c>
      <c r="N467" s="29" t="n">
        <f>IF(COUNTA('DATOS'!B467:O467)&gt;0,1,0)</f>
        <v>0</v>
      </c>
      <c r="O467" s="29">
        <f>IFERROR(IF(N467=0,"",IF(OR(NOT(AND(LEN(TRIM('DATOS'!B467&amp;""))&gt;0,TRIM('DATOS'!B467&amp;"")&lt;&gt;"Pendiente",TRIM('DATOS'!B467&amp;"")&lt;&gt;"Por confirmar",TRIM('DATOS'!B467&amp;"")&lt;&gt;"No consta",TRIM('DATOS'!B467&amp;"")&lt;&gt;"Desconocido",TRIM('DATOS'!B467&amp;"")&lt;&gt;"Sin confirmar",TRIM('DATOS'!B467&amp;"")&lt;&gt;"Por decidir",TRIM('DATOS'!B467&amp;"")&lt;&gt;"Por comprobar")),NOT(AND(LEN(TRIM('DATOS'!C467&amp;""))&gt;0,TRIM('DATOS'!C467&amp;"")&lt;&gt;"Pendiente",TRIM('DATOS'!C467&amp;"")&lt;&gt;"Por confirmar",TRIM('DATOS'!C467&amp;"")&lt;&gt;"No consta",TRIM('DATOS'!C467&amp;"")&lt;&gt;"Desconocido",TRIM('DATOS'!C467&amp;"")&lt;&gt;"Sin confirmar",TRIM('DATOS'!C467&amp;"")&lt;&gt;"Por decidir",TRIM('DATOS'!C467&amp;"")&lt;&gt;"Por comprobar")),NOT(AND(LEN(TRIM('DATOS'!D467&amp;""))&gt;0,TRIM('DATOS'!D467&amp;"")&lt;&gt;"Pendiente",TRIM('DATOS'!D467&amp;"")&lt;&gt;"Por confirmar",TRIM('DATOS'!D467&amp;"")&lt;&gt;"No consta",TRIM('DATOS'!D467&amp;"")&lt;&gt;"Desconocido",TRIM('DATOS'!D467&amp;"")&lt;&gt;"Sin confirmar",TRIM('DATOS'!D467&amp;"")&lt;&gt;"Por decidir",TRIM('DATOS'!D467&amp;"")&lt;&gt;"Por comprobar")),NOT(AND(LEN(TRIM('DATOS'!E467&amp;""))&gt;0,TRIM('DATOS'!E467&amp;"")&lt;&gt;"Pendiente",TRIM('DATOS'!E467&amp;"")&lt;&gt;"Por confirmar",TRIM('DATOS'!E467&amp;"")&lt;&gt;"No consta",TRIM('DATOS'!E467&amp;"")&lt;&gt;"Desconocido",TRIM('DATOS'!E467&amp;"")&lt;&gt;"Sin confirmar",TRIM('DATOS'!E467&amp;"")&lt;&gt;"Por decidir",TRIM('DATOS'!E467&amp;"")&lt;&gt;"Por comprobar")),NOT(AND(LEN(TRIM('DATOS'!F467&amp;""))&gt;0,TRIM('DATOS'!F467&amp;"")&lt;&gt;"Pendiente",TRIM('DATOS'!F467&amp;"")&lt;&gt;"Por confirmar",TRIM('DATOS'!F467&amp;"")&lt;&gt;"No consta",TRIM('DATOS'!F467&amp;"")&lt;&gt;"Desconocido",TRIM('DATOS'!F467&amp;"")&lt;&gt;"Sin confirmar",TRIM('DATOS'!F467&amp;"")&lt;&gt;"Por decidir",TRIM('DATOS'!F467&amp;"")&lt;&gt;"Por comprobar")),NOT(AND(LEN(TRIM('DATOS'!N467&amp;""))&gt;0,TRIM('DATOS'!N467&amp;"")&lt;&gt;"Pendiente",TRIM('DATOS'!N467&amp;"")&lt;&gt;"Por confirmar",TRIM('DATOS'!N467&amp;"")&lt;&gt;"No consta",TRIM('DATOS'!N467&amp;"")&lt;&gt;"Desconocido",TRIM('DATOS'!N467&amp;"")&lt;&gt;"Sin confirmar",TRIM('DATOS'!N467&amp;"")&lt;&gt;"Por decidir",TRIM('DATOS'!N467&amp;"")&lt;&gt;"Por comprobar")),NOT(Y467=1),W467&lt;&gt;1,X467&gt;1,NOT(OR(LEN(TRIM('DATOS'!K467&amp;""))=0,'DATOS'!K467="Sin valorar",'DATOS'!K467="Sin coste documentado",'DATOS'!K467="Incluido en otra partida",'DATOS'!K467="Por confirmar")),NOT(OR(LEN(TRIM('DATOS'!M467&amp;""))=0,'DATOS'!M467="Sí",'DATOS'!M467="No",'DATOS'!M467="Por confirmar")),NOT(OR(LEN(TRIM('DATOS'!O467&amp;""))=0,'DATOS'!O467="Comparamos",'DATOS'!O467="No existe",'DATOS'!O467="Por confirmar"))),2,IF(AND(OR('DATOS'!G467&lt;0,'DATOS'!H467&lt;0,'DATOS'!J467&lt;0),NOT(AND(LEN(TRIM('DATOS'!L467&amp;""))&gt;0,TRIM('DATOS'!L467&amp;"")&lt;&gt;"Pendiente",TRIM('DATOS'!L467&amp;"")&lt;&gt;"Por confirmar",TRIM('DATOS'!L467&amp;"")&lt;&gt;"No consta",TRIM('DATOS'!L467&amp;"")&lt;&gt;"Desconocido",TRIM('DATOS'!L467&amp;"")&lt;&gt;"Sin confirmar",TRIM('DATOS'!L467&amp;"")&lt;&gt;"Por decidir",TRIM('DATOS'!L467&amp;"")&lt;&gt;"Por comprobar"))),1,0))),2)</f>
      </c>
      <c r="P467" s="29">
        <f>IFERROR(IF(N467=0,"",IF(NOT(Y467=1),1,IF('REFERENCIAS'!$Q$8&lt;&gt;1,2,IF(ABS('DATOS'!J467-ROUND('DATOS'!G467*'DATOS'!H467,'REFERENCIAS'!$K$8))&gt;0.00000001,2,IF('DATOS'!O467="No existe",IF(LEN(TRIM('DATOS'!I467&amp;""))=0,0,2),IF('DATOS'!O467="Comparamos",IF(LEN(TRIM('DATOS'!I467&amp;""))=0,1,IF(ISNUMBER('DATOS'!I467),IF(ABS('DATOS'!H467-'DATOS'!I467)&gt;0.00000001,2,0),2)),1)))))),2)</f>
      </c>
      <c r="Q467" s="29">
        <f>IFERROR(IF(N467=0,"",IF(NOT(Y467=1),1,IF('DATOS'!K467="Sin valorar",2,IF('DATOS'!G467=0,1,IF(OR('DATOS'!H467=0,'DATOS'!J467=0),IF(AND(OR('DATOS'!K467="Sin coste documentado",'DATOS'!K467="Incluido en otra partida"),AND(LEN(TRIM('DATOS'!L467&amp;""))&gt;0,TRIM('DATOS'!L467&amp;"")&lt;&gt;"Pendiente",TRIM('DATOS'!L467&amp;"")&lt;&gt;"Por confirmar",TRIM('DATOS'!L467&amp;"")&lt;&gt;"No consta",TRIM('DATOS'!L467&amp;"")&lt;&gt;"Desconocido",TRIM('DATOS'!L467&amp;"")&lt;&gt;"Sin confirmar",TRIM('DATOS'!L467&amp;"")&lt;&gt;"Por decidir",TRIM('DATOS'!L467&amp;"")&lt;&gt;"Por comprobar")),0,1),0))))),2)</f>
      </c>
      <c r="R467" s="29">
        <f>IFERROR(IF(N467=0,"",IF(OR(NOT(AND(LEN(TRIM('DATOS'!D467&amp;""))&gt;0,TRIM('DATOS'!D467&amp;"")&lt;&gt;"Pendiente",TRIM('DATOS'!D467&amp;"")&lt;&gt;"Por confirmar",TRIM('DATOS'!D467&amp;"")&lt;&gt;"No consta",TRIM('DATOS'!D467&amp;"")&lt;&gt;"Desconocido",TRIM('DATOS'!D467&amp;"")&lt;&gt;"Sin confirmar",TRIM('DATOS'!D467&amp;"")&lt;&gt;"Por decidir",TRIM('DATOS'!D467&amp;"")&lt;&gt;"Por comprobar")),NOT(AND(LEN(TRIM('DATOS'!E467&amp;""))&gt;0,TRIM('DATOS'!E467&amp;"")&lt;&gt;"Pendiente",TRIM('DATOS'!E467&amp;"")&lt;&gt;"Por confirmar",TRIM('DATOS'!E467&amp;"")&lt;&gt;"No consta",TRIM('DATOS'!E467&amp;"")&lt;&gt;"Desconocido",TRIM('DATOS'!E467&amp;"")&lt;&gt;"Sin confirmar",TRIM('DATOS'!E467&amp;"")&lt;&gt;"Por decidir",TRIM('DATOS'!E467&amp;"")&lt;&gt;"Por comprobar"))),2,IF('DATOS'!M467="No",2,IF('DATOS'!M467="Sí",0,IF(OR('DATOS'!D467&lt;&gt;'DATOS'!E467,LEN('DATOS'!E467)&gt;300,RIGHT(TRIM('DATOS'!E467),3)="...",RIGHT(TRIM('DATOS'!E467),1)="…"),1,0))))),2)</f>
      </c>
      <c r="S467" s="29">
        <f>IFERROR(IF(N467=0,"",IF('REFERENCIAS'!$Q$8&lt;&gt;1,2,IF(NOT(Y467=1),1,IF(OR(ABS('DATOS'!G467-ROUND('DATOS'!G467,'REFERENCIAS'!$E$8))&gt;0.00000001,ABS('DATOS'!H467-ROUND('DATOS'!H467,'REFERENCIAS'!$H$8))&gt;0.00000001,ABS('DATOS'!J467-ROUND('DATOS'!J467,'REFERENCIAS'!$K$8))&gt;0.00000001,IF(ISNUMBER('DATOS'!I467),ABS('DATOS'!I467-ROUND('DATOS'!I467,'REFERENCIAS'!$H$8))&gt;0.00000001,FALSE)),1,0)))),2)</f>
      </c>
      <c r="T467" s="29">
        <f>IFERROR(IF(N467=0,"",IF(NOT(AND(LEN(TRIM('DATOS'!F467&amp;""))&gt;0,TRIM('DATOS'!F467&amp;"")&lt;&gt;"Pendiente",TRIM('DATOS'!F467&amp;"")&lt;&gt;"Por confirmar",TRIM('DATOS'!F467&amp;"")&lt;&gt;"No consta",TRIM('DATOS'!F467&amp;"")&lt;&gt;"Desconocido",TRIM('DATOS'!F467&amp;"")&lt;&gt;"Sin confirmar",TRIM('DATOS'!F467&amp;"")&lt;&gt;"Por decidir",TRIM('DATOS'!F467&amp;"")&lt;&gt;"Por comprobar")),2,IF(COUNTIFS('REFERENCIAS'!$T$15:$T$34,"ID:"&amp;SUBSTITUTE(SUBSTITUTE(SUBSTITUTE(SUBSTITUTE(UPPER(TRIM('DATOS'!F467&amp;"")),"!","!E"),"*","!A"),"?","!B"),"~","!C"),'REFERENCIAS'!$H$15:$H$34,"&lt;&gt;")&gt;0,0,1))),2)</f>
      </c>
      <c r="U467" s="29" t="str">
        <f>'DATOS'!R467</f>
        <v>ID:</v>
      </c>
      <c r="V467" s="29" t="str">
        <f>'DATOS'!S467</f>
        <v>ID:</v>
      </c>
      <c r="W467" s="29" t="n">
        <f>IF(N467=0,0,COUNTIFS('REFERENCIAS'!$R$15:$R$64,U467))</f>
        <v>0</v>
      </c>
      <c r="X467" s="29" t="n">
        <f>IF(N467=0,0,COUNTIFS('DATOS'!$R$10:$R$509,U467,'DATOS'!$S$10:$S$509,V467))</f>
        <v>0</v>
      </c>
      <c r="Y467" s="29" t="n">
        <f>IF(AND(ISNUMBER('DATOS'!G467),ISNUMBER('DATOS'!H467),ISNUMBER('DATOS'!J467)),1,0)</f>
        <v>0</v>
      </c>
    </row>
    <row r="468" ht="64" customHeight="1">
      <c r="B468" s="26">
        <f>IF(N468=1,459,"")</f>
      </c>
      <c r="C468" s="26">
        <f>IF(AND(N468=1,LEN(TRIM('DATOS'!B468&amp;""))&gt;0),'DATOS'!B468,"")</f>
      </c>
      <c r="D468" s="26">
        <f>IF(AND(N468=1,LEN(TRIM('DATOS'!C468&amp;""))&gt;0),'DATOS'!C468,"")</f>
      </c>
      <c r="E468" s="26">
        <f>IF(NOT(ISNUMBER(P468)),"",IF(P468=2,"ROJO",IF(P468=1,"ÁMBAR","VERDE")))</f>
      </c>
      <c r="F468" s="26">
        <f>IF(NOT(ISNUMBER(Q468)),"",IF(Q468=2,"ROJO",IF(Q468=1,"ÁMBAR","VERDE")))</f>
      </c>
      <c r="G468" s="26">
        <f>IF(NOT(ISNUMBER(R468)),"",IF(R468=2,"ROJO",IF(R468=1,"ÁMBAR","VERDE")))</f>
      </c>
      <c r="H468" s="26">
        <f>IF(NOT(ISNUMBER(S468)),"",IF(S468=2,"ROJO",IF(S468=1,"ÁMBAR","VERDE")))</f>
      </c>
      <c r="I468" s="26">
        <f>IF(NOT(ISNUMBER(T468)),"",IF(T468=2,"ROJO",IF(T468=1,"ÁMBAR","VERDE")))</f>
      </c>
      <c r="J468" s="26">
        <f>IF(NOT(ISNUMBER(O468)),"",IF(O468=2,"ROJO",IF(O468=1,"ÁMBAR","VERDE")))</f>
      </c>
      <c r="K468" s="26">
        <f>IFERROR(IF(AND(N468=1,LEN(TRIM('DATOS'!N468&amp;""))&gt;0),'DATOS'!N468,""),"Hay una entrada con error. Corregimos el dato antes de cerrar la comprobación.")</f>
      </c>
      <c r="L468" s="26">
        <f>IFERROR(IF(N468=0,"",IF(O468&gt;0,"Completamos datos, claves o motivo. ","")&amp;IF(P468&gt;0,"Cotejamos precios e importe. ","")&amp;IF(Q468&gt;0,"Aclaramos el cero. ","")&amp;IF(R468&gt;0,"Comprobamos el texto. ","")&amp;IF(S468&gt;0,"Revisamos decimales visibles. ","")&amp;IF(T468&gt;0,"Confirmamos la unidad.","")),"Hay una entrada con error. Corregimos el dato antes de cerrar la comprobación.")</f>
      </c>
      <c r="N468" s="29" t="n">
        <f>IF(COUNTA('DATOS'!B468:O468)&gt;0,1,0)</f>
        <v>0</v>
      </c>
      <c r="O468" s="29">
        <f>IFERROR(IF(N468=0,"",IF(OR(NOT(AND(LEN(TRIM('DATOS'!B468&amp;""))&gt;0,TRIM('DATOS'!B468&amp;"")&lt;&gt;"Pendiente",TRIM('DATOS'!B468&amp;"")&lt;&gt;"Por confirmar",TRIM('DATOS'!B468&amp;"")&lt;&gt;"No consta",TRIM('DATOS'!B468&amp;"")&lt;&gt;"Desconocido",TRIM('DATOS'!B468&amp;"")&lt;&gt;"Sin confirmar",TRIM('DATOS'!B468&amp;"")&lt;&gt;"Por decidir",TRIM('DATOS'!B468&amp;"")&lt;&gt;"Por comprobar")),NOT(AND(LEN(TRIM('DATOS'!C468&amp;""))&gt;0,TRIM('DATOS'!C468&amp;"")&lt;&gt;"Pendiente",TRIM('DATOS'!C468&amp;"")&lt;&gt;"Por confirmar",TRIM('DATOS'!C468&amp;"")&lt;&gt;"No consta",TRIM('DATOS'!C468&amp;"")&lt;&gt;"Desconocido",TRIM('DATOS'!C468&amp;"")&lt;&gt;"Sin confirmar",TRIM('DATOS'!C468&amp;"")&lt;&gt;"Por decidir",TRIM('DATOS'!C468&amp;"")&lt;&gt;"Por comprobar")),NOT(AND(LEN(TRIM('DATOS'!D468&amp;""))&gt;0,TRIM('DATOS'!D468&amp;"")&lt;&gt;"Pendiente",TRIM('DATOS'!D468&amp;"")&lt;&gt;"Por confirmar",TRIM('DATOS'!D468&amp;"")&lt;&gt;"No consta",TRIM('DATOS'!D468&amp;"")&lt;&gt;"Desconocido",TRIM('DATOS'!D468&amp;"")&lt;&gt;"Sin confirmar",TRIM('DATOS'!D468&amp;"")&lt;&gt;"Por decidir",TRIM('DATOS'!D468&amp;"")&lt;&gt;"Por comprobar")),NOT(AND(LEN(TRIM('DATOS'!E468&amp;""))&gt;0,TRIM('DATOS'!E468&amp;"")&lt;&gt;"Pendiente",TRIM('DATOS'!E468&amp;"")&lt;&gt;"Por confirmar",TRIM('DATOS'!E468&amp;"")&lt;&gt;"No consta",TRIM('DATOS'!E468&amp;"")&lt;&gt;"Desconocido",TRIM('DATOS'!E468&amp;"")&lt;&gt;"Sin confirmar",TRIM('DATOS'!E468&amp;"")&lt;&gt;"Por decidir",TRIM('DATOS'!E468&amp;"")&lt;&gt;"Por comprobar")),NOT(AND(LEN(TRIM('DATOS'!F468&amp;""))&gt;0,TRIM('DATOS'!F468&amp;"")&lt;&gt;"Pendiente",TRIM('DATOS'!F468&amp;"")&lt;&gt;"Por confirmar",TRIM('DATOS'!F468&amp;"")&lt;&gt;"No consta",TRIM('DATOS'!F468&amp;"")&lt;&gt;"Desconocido",TRIM('DATOS'!F468&amp;"")&lt;&gt;"Sin confirmar",TRIM('DATOS'!F468&amp;"")&lt;&gt;"Por decidir",TRIM('DATOS'!F468&amp;"")&lt;&gt;"Por comprobar")),NOT(AND(LEN(TRIM('DATOS'!N468&amp;""))&gt;0,TRIM('DATOS'!N468&amp;"")&lt;&gt;"Pendiente",TRIM('DATOS'!N468&amp;"")&lt;&gt;"Por confirmar",TRIM('DATOS'!N468&amp;"")&lt;&gt;"No consta",TRIM('DATOS'!N468&amp;"")&lt;&gt;"Desconocido",TRIM('DATOS'!N468&amp;"")&lt;&gt;"Sin confirmar",TRIM('DATOS'!N468&amp;"")&lt;&gt;"Por decidir",TRIM('DATOS'!N468&amp;"")&lt;&gt;"Por comprobar")),NOT(Y468=1),W468&lt;&gt;1,X468&gt;1,NOT(OR(LEN(TRIM('DATOS'!K468&amp;""))=0,'DATOS'!K468="Sin valorar",'DATOS'!K468="Sin coste documentado",'DATOS'!K468="Incluido en otra partida",'DATOS'!K468="Por confirmar")),NOT(OR(LEN(TRIM('DATOS'!M468&amp;""))=0,'DATOS'!M468="Sí",'DATOS'!M468="No",'DATOS'!M468="Por confirmar")),NOT(OR(LEN(TRIM('DATOS'!O468&amp;""))=0,'DATOS'!O468="Comparamos",'DATOS'!O468="No existe",'DATOS'!O468="Por confirmar"))),2,IF(AND(OR('DATOS'!G468&lt;0,'DATOS'!H468&lt;0,'DATOS'!J468&lt;0),NOT(AND(LEN(TRIM('DATOS'!L468&amp;""))&gt;0,TRIM('DATOS'!L468&amp;"")&lt;&gt;"Pendiente",TRIM('DATOS'!L468&amp;"")&lt;&gt;"Por confirmar",TRIM('DATOS'!L468&amp;"")&lt;&gt;"No consta",TRIM('DATOS'!L468&amp;"")&lt;&gt;"Desconocido",TRIM('DATOS'!L468&amp;"")&lt;&gt;"Sin confirmar",TRIM('DATOS'!L468&amp;"")&lt;&gt;"Por decidir",TRIM('DATOS'!L468&amp;"")&lt;&gt;"Por comprobar"))),1,0))),2)</f>
      </c>
      <c r="P468" s="29">
        <f>IFERROR(IF(N468=0,"",IF(NOT(Y468=1),1,IF('REFERENCIAS'!$Q$8&lt;&gt;1,2,IF(ABS('DATOS'!J468-ROUND('DATOS'!G468*'DATOS'!H468,'REFERENCIAS'!$K$8))&gt;0.00000001,2,IF('DATOS'!O468="No existe",IF(LEN(TRIM('DATOS'!I468&amp;""))=0,0,2),IF('DATOS'!O468="Comparamos",IF(LEN(TRIM('DATOS'!I468&amp;""))=0,1,IF(ISNUMBER('DATOS'!I468),IF(ABS('DATOS'!H468-'DATOS'!I468)&gt;0.00000001,2,0),2)),1)))))),2)</f>
      </c>
      <c r="Q468" s="29">
        <f>IFERROR(IF(N468=0,"",IF(NOT(Y468=1),1,IF('DATOS'!K468="Sin valorar",2,IF('DATOS'!G468=0,1,IF(OR('DATOS'!H468=0,'DATOS'!J468=0),IF(AND(OR('DATOS'!K468="Sin coste documentado",'DATOS'!K468="Incluido en otra partida"),AND(LEN(TRIM('DATOS'!L468&amp;""))&gt;0,TRIM('DATOS'!L468&amp;"")&lt;&gt;"Pendiente",TRIM('DATOS'!L468&amp;"")&lt;&gt;"Por confirmar",TRIM('DATOS'!L468&amp;"")&lt;&gt;"No consta",TRIM('DATOS'!L468&amp;"")&lt;&gt;"Desconocido",TRIM('DATOS'!L468&amp;"")&lt;&gt;"Sin confirmar",TRIM('DATOS'!L468&amp;"")&lt;&gt;"Por decidir",TRIM('DATOS'!L468&amp;"")&lt;&gt;"Por comprobar")),0,1),0))))),2)</f>
      </c>
      <c r="R468" s="29">
        <f>IFERROR(IF(N468=0,"",IF(OR(NOT(AND(LEN(TRIM('DATOS'!D468&amp;""))&gt;0,TRIM('DATOS'!D468&amp;"")&lt;&gt;"Pendiente",TRIM('DATOS'!D468&amp;"")&lt;&gt;"Por confirmar",TRIM('DATOS'!D468&amp;"")&lt;&gt;"No consta",TRIM('DATOS'!D468&amp;"")&lt;&gt;"Desconocido",TRIM('DATOS'!D468&amp;"")&lt;&gt;"Sin confirmar",TRIM('DATOS'!D468&amp;"")&lt;&gt;"Por decidir",TRIM('DATOS'!D468&amp;"")&lt;&gt;"Por comprobar")),NOT(AND(LEN(TRIM('DATOS'!E468&amp;""))&gt;0,TRIM('DATOS'!E468&amp;"")&lt;&gt;"Pendiente",TRIM('DATOS'!E468&amp;"")&lt;&gt;"Por confirmar",TRIM('DATOS'!E468&amp;"")&lt;&gt;"No consta",TRIM('DATOS'!E468&amp;"")&lt;&gt;"Desconocido",TRIM('DATOS'!E468&amp;"")&lt;&gt;"Sin confirmar",TRIM('DATOS'!E468&amp;"")&lt;&gt;"Por decidir",TRIM('DATOS'!E468&amp;"")&lt;&gt;"Por comprobar"))),2,IF('DATOS'!M468="No",2,IF('DATOS'!M468="Sí",0,IF(OR('DATOS'!D468&lt;&gt;'DATOS'!E468,LEN('DATOS'!E468)&gt;300,RIGHT(TRIM('DATOS'!E468),3)="...",RIGHT(TRIM('DATOS'!E468),1)="…"),1,0))))),2)</f>
      </c>
      <c r="S468" s="29">
        <f>IFERROR(IF(N468=0,"",IF('REFERENCIAS'!$Q$8&lt;&gt;1,2,IF(NOT(Y468=1),1,IF(OR(ABS('DATOS'!G468-ROUND('DATOS'!G468,'REFERENCIAS'!$E$8))&gt;0.00000001,ABS('DATOS'!H468-ROUND('DATOS'!H468,'REFERENCIAS'!$H$8))&gt;0.00000001,ABS('DATOS'!J468-ROUND('DATOS'!J468,'REFERENCIAS'!$K$8))&gt;0.00000001,IF(ISNUMBER('DATOS'!I468),ABS('DATOS'!I468-ROUND('DATOS'!I468,'REFERENCIAS'!$H$8))&gt;0.00000001,FALSE)),1,0)))),2)</f>
      </c>
      <c r="T468" s="29">
        <f>IFERROR(IF(N468=0,"",IF(NOT(AND(LEN(TRIM('DATOS'!F468&amp;""))&gt;0,TRIM('DATOS'!F468&amp;"")&lt;&gt;"Pendiente",TRIM('DATOS'!F468&amp;"")&lt;&gt;"Por confirmar",TRIM('DATOS'!F468&amp;"")&lt;&gt;"No consta",TRIM('DATOS'!F468&amp;"")&lt;&gt;"Desconocido",TRIM('DATOS'!F468&amp;"")&lt;&gt;"Sin confirmar",TRIM('DATOS'!F468&amp;"")&lt;&gt;"Por decidir",TRIM('DATOS'!F468&amp;"")&lt;&gt;"Por comprobar")),2,IF(COUNTIFS('REFERENCIAS'!$T$15:$T$34,"ID:"&amp;SUBSTITUTE(SUBSTITUTE(SUBSTITUTE(SUBSTITUTE(UPPER(TRIM('DATOS'!F468&amp;"")),"!","!E"),"*","!A"),"?","!B"),"~","!C"),'REFERENCIAS'!$H$15:$H$34,"&lt;&gt;")&gt;0,0,1))),2)</f>
      </c>
      <c r="U468" s="29" t="str">
        <f>'DATOS'!R468</f>
        <v>ID:</v>
      </c>
      <c r="V468" s="29" t="str">
        <f>'DATOS'!S468</f>
        <v>ID:</v>
      </c>
      <c r="W468" s="29" t="n">
        <f>IF(N468=0,0,COUNTIFS('REFERENCIAS'!$R$15:$R$64,U468))</f>
        <v>0</v>
      </c>
      <c r="X468" s="29" t="n">
        <f>IF(N468=0,0,COUNTIFS('DATOS'!$R$10:$R$509,U468,'DATOS'!$S$10:$S$509,V468))</f>
        <v>0</v>
      </c>
      <c r="Y468" s="29" t="n">
        <f>IF(AND(ISNUMBER('DATOS'!G468),ISNUMBER('DATOS'!H468),ISNUMBER('DATOS'!J468)),1,0)</f>
        <v>0</v>
      </c>
    </row>
    <row r="469" ht="64" customHeight="1">
      <c r="B469" s="26">
        <f>IF(N469=1,460,"")</f>
      </c>
      <c r="C469" s="26">
        <f>IF(AND(N469=1,LEN(TRIM('DATOS'!B469&amp;""))&gt;0),'DATOS'!B469,"")</f>
      </c>
      <c r="D469" s="26">
        <f>IF(AND(N469=1,LEN(TRIM('DATOS'!C469&amp;""))&gt;0),'DATOS'!C469,"")</f>
      </c>
      <c r="E469" s="26">
        <f>IF(NOT(ISNUMBER(P469)),"",IF(P469=2,"ROJO",IF(P469=1,"ÁMBAR","VERDE")))</f>
      </c>
      <c r="F469" s="26">
        <f>IF(NOT(ISNUMBER(Q469)),"",IF(Q469=2,"ROJO",IF(Q469=1,"ÁMBAR","VERDE")))</f>
      </c>
      <c r="G469" s="26">
        <f>IF(NOT(ISNUMBER(R469)),"",IF(R469=2,"ROJO",IF(R469=1,"ÁMBAR","VERDE")))</f>
      </c>
      <c r="H469" s="26">
        <f>IF(NOT(ISNUMBER(S469)),"",IF(S469=2,"ROJO",IF(S469=1,"ÁMBAR","VERDE")))</f>
      </c>
      <c r="I469" s="26">
        <f>IF(NOT(ISNUMBER(T469)),"",IF(T469=2,"ROJO",IF(T469=1,"ÁMBAR","VERDE")))</f>
      </c>
      <c r="J469" s="26">
        <f>IF(NOT(ISNUMBER(O469)),"",IF(O469=2,"ROJO",IF(O469=1,"ÁMBAR","VERDE")))</f>
      </c>
      <c r="K469" s="26">
        <f>IFERROR(IF(AND(N469=1,LEN(TRIM('DATOS'!N469&amp;""))&gt;0),'DATOS'!N469,""),"Hay una entrada con error. Corregimos el dato antes de cerrar la comprobación.")</f>
      </c>
      <c r="L469" s="26">
        <f>IFERROR(IF(N469=0,"",IF(O469&gt;0,"Completamos datos, claves o motivo. ","")&amp;IF(P469&gt;0,"Cotejamos precios e importe. ","")&amp;IF(Q469&gt;0,"Aclaramos el cero. ","")&amp;IF(R469&gt;0,"Comprobamos el texto. ","")&amp;IF(S469&gt;0,"Revisamos decimales visibles. ","")&amp;IF(T469&gt;0,"Confirmamos la unidad.","")),"Hay una entrada con error. Corregimos el dato antes de cerrar la comprobación.")</f>
      </c>
      <c r="N469" s="29" t="n">
        <f>IF(COUNTA('DATOS'!B469:O469)&gt;0,1,0)</f>
        <v>0</v>
      </c>
      <c r="O469" s="29">
        <f>IFERROR(IF(N469=0,"",IF(OR(NOT(AND(LEN(TRIM('DATOS'!B469&amp;""))&gt;0,TRIM('DATOS'!B469&amp;"")&lt;&gt;"Pendiente",TRIM('DATOS'!B469&amp;"")&lt;&gt;"Por confirmar",TRIM('DATOS'!B469&amp;"")&lt;&gt;"No consta",TRIM('DATOS'!B469&amp;"")&lt;&gt;"Desconocido",TRIM('DATOS'!B469&amp;"")&lt;&gt;"Sin confirmar",TRIM('DATOS'!B469&amp;"")&lt;&gt;"Por decidir",TRIM('DATOS'!B469&amp;"")&lt;&gt;"Por comprobar")),NOT(AND(LEN(TRIM('DATOS'!C469&amp;""))&gt;0,TRIM('DATOS'!C469&amp;"")&lt;&gt;"Pendiente",TRIM('DATOS'!C469&amp;"")&lt;&gt;"Por confirmar",TRIM('DATOS'!C469&amp;"")&lt;&gt;"No consta",TRIM('DATOS'!C469&amp;"")&lt;&gt;"Desconocido",TRIM('DATOS'!C469&amp;"")&lt;&gt;"Sin confirmar",TRIM('DATOS'!C469&amp;"")&lt;&gt;"Por decidir",TRIM('DATOS'!C469&amp;"")&lt;&gt;"Por comprobar")),NOT(AND(LEN(TRIM('DATOS'!D469&amp;""))&gt;0,TRIM('DATOS'!D469&amp;"")&lt;&gt;"Pendiente",TRIM('DATOS'!D469&amp;"")&lt;&gt;"Por confirmar",TRIM('DATOS'!D469&amp;"")&lt;&gt;"No consta",TRIM('DATOS'!D469&amp;"")&lt;&gt;"Desconocido",TRIM('DATOS'!D469&amp;"")&lt;&gt;"Sin confirmar",TRIM('DATOS'!D469&amp;"")&lt;&gt;"Por decidir",TRIM('DATOS'!D469&amp;"")&lt;&gt;"Por comprobar")),NOT(AND(LEN(TRIM('DATOS'!E469&amp;""))&gt;0,TRIM('DATOS'!E469&amp;"")&lt;&gt;"Pendiente",TRIM('DATOS'!E469&amp;"")&lt;&gt;"Por confirmar",TRIM('DATOS'!E469&amp;"")&lt;&gt;"No consta",TRIM('DATOS'!E469&amp;"")&lt;&gt;"Desconocido",TRIM('DATOS'!E469&amp;"")&lt;&gt;"Sin confirmar",TRIM('DATOS'!E469&amp;"")&lt;&gt;"Por decidir",TRIM('DATOS'!E469&amp;"")&lt;&gt;"Por comprobar")),NOT(AND(LEN(TRIM('DATOS'!F469&amp;""))&gt;0,TRIM('DATOS'!F469&amp;"")&lt;&gt;"Pendiente",TRIM('DATOS'!F469&amp;"")&lt;&gt;"Por confirmar",TRIM('DATOS'!F469&amp;"")&lt;&gt;"No consta",TRIM('DATOS'!F469&amp;"")&lt;&gt;"Desconocido",TRIM('DATOS'!F469&amp;"")&lt;&gt;"Sin confirmar",TRIM('DATOS'!F469&amp;"")&lt;&gt;"Por decidir",TRIM('DATOS'!F469&amp;"")&lt;&gt;"Por comprobar")),NOT(AND(LEN(TRIM('DATOS'!N469&amp;""))&gt;0,TRIM('DATOS'!N469&amp;"")&lt;&gt;"Pendiente",TRIM('DATOS'!N469&amp;"")&lt;&gt;"Por confirmar",TRIM('DATOS'!N469&amp;"")&lt;&gt;"No consta",TRIM('DATOS'!N469&amp;"")&lt;&gt;"Desconocido",TRIM('DATOS'!N469&amp;"")&lt;&gt;"Sin confirmar",TRIM('DATOS'!N469&amp;"")&lt;&gt;"Por decidir",TRIM('DATOS'!N469&amp;"")&lt;&gt;"Por comprobar")),NOT(Y469=1),W469&lt;&gt;1,X469&gt;1,NOT(OR(LEN(TRIM('DATOS'!K469&amp;""))=0,'DATOS'!K469="Sin valorar",'DATOS'!K469="Sin coste documentado",'DATOS'!K469="Incluido en otra partida",'DATOS'!K469="Por confirmar")),NOT(OR(LEN(TRIM('DATOS'!M469&amp;""))=0,'DATOS'!M469="Sí",'DATOS'!M469="No",'DATOS'!M469="Por confirmar")),NOT(OR(LEN(TRIM('DATOS'!O469&amp;""))=0,'DATOS'!O469="Comparamos",'DATOS'!O469="No existe",'DATOS'!O469="Por confirmar"))),2,IF(AND(OR('DATOS'!G469&lt;0,'DATOS'!H469&lt;0,'DATOS'!J469&lt;0),NOT(AND(LEN(TRIM('DATOS'!L469&amp;""))&gt;0,TRIM('DATOS'!L469&amp;"")&lt;&gt;"Pendiente",TRIM('DATOS'!L469&amp;"")&lt;&gt;"Por confirmar",TRIM('DATOS'!L469&amp;"")&lt;&gt;"No consta",TRIM('DATOS'!L469&amp;"")&lt;&gt;"Desconocido",TRIM('DATOS'!L469&amp;"")&lt;&gt;"Sin confirmar",TRIM('DATOS'!L469&amp;"")&lt;&gt;"Por decidir",TRIM('DATOS'!L469&amp;"")&lt;&gt;"Por comprobar"))),1,0))),2)</f>
      </c>
      <c r="P469" s="29">
        <f>IFERROR(IF(N469=0,"",IF(NOT(Y469=1),1,IF('REFERENCIAS'!$Q$8&lt;&gt;1,2,IF(ABS('DATOS'!J469-ROUND('DATOS'!G469*'DATOS'!H469,'REFERENCIAS'!$K$8))&gt;0.00000001,2,IF('DATOS'!O469="No existe",IF(LEN(TRIM('DATOS'!I469&amp;""))=0,0,2),IF('DATOS'!O469="Comparamos",IF(LEN(TRIM('DATOS'!I469&amp;""))=0,1,IF(ISNUMBER('DATOS'!I469),IF(ABS('DATOS'!H469-'DATOS'!I469)&gt;0.00000001,2,0),2)),1)))))),2)</f>
      </c>
      <c r="Q469" s="29">
        <f>IFERROR(IF(N469=0,"",IF(NOT(Y469=1),1,IF('DATOS'!K469="Sin valorar",2,IF('DATOS'!G469=0,1,IF(OR('DATOS'!H469=0,'DATOS'!J469=0),IF(AND(OR('DATOS'!K469="Sin coste documentado",'DATOS'!K469="Incluido en otra partida"),AND(LEN(TRIM('DATOS'!L469&amp;""))&gt;0,TRIM('DATOS'!L469&amp;"")&lt;&gt;"Pendiente",TRIM('DATOS'!L469&amp;"")&lt;&gt;"Por confirmar",TRIM('DATOS'!L469&amp;"")&lt;&gt;"No consta",TRIM('DATOS'!L469&amp;"")&lt;&gt;"Desconocido",TRIM('DATOS'!L469&amp;"")&lt;&gt;"Sin confirmar",TRIM('DATOS'!L469&amp;"")&lt;&gt;"Por decidir",TRIM('DATOS'!L469&amp;"")&lt;&gt;"Por comprobar")),0,1),0))))),2)</f>
      </c>
      <c r="R469" s="29">
        <f>IFERROR(IF(N469=0,"",IF(OR(NOT(AND(LEN(TRIM('DATOS'!D469&amp;""))&gt;0,TRIM('DATOS'!D469&amp;"")&lt;&gt;"Pendiente",TRIM('DATOS'!D469&amp;"")&lt;&gt;"Por confirmar",TRIM('DATOS'!D469&amp;"")&lt;&gt;"No consta",TRIM('DATOS'!D469&amp;"")&lt;&gt;"Desconocido",TRIM('DATOS'!D469&amp;"")&lt;&gt;"Sin confirmar",TRIM('DATOS'!D469&amp;"")&lt;&gt;"Por decidir",TRIM('DATOS'!D469&amp;"")&lt;&gt;"Por comprobar")),NOT(AND(LEN(TRIM('DATOS'!E469&amp;""))&gt;0,TRIM('DATOS'!E469&amp;"")&lt;&gt;"Pendiente",TRIM('DATOS'!E469&amp;"")&lt;&gt;"Por confirmar",TRIM('DATOS'!E469&amp;"")&lt;&gt;"No consta",TRIM('DATOS'!E469&amp;"")&lt;&gt;"Desconocido",TRIM('DATOS'!E469&amp;"")&lt;&gt;"Sin confirmar",TRIM('DATOS'!E469&amp;"")&lt;&gt;"Por decidir",TRIM('DATOS'!E469&amp;"")&lt;&gt;"Por comprobar"))),2,IF('DATOS'!M469="No",2,IF('DATOS'!M469="Sí",0,IF(OR('DATOS'!D469&lt;&gt;'DATOS'!E469,LEN('DATOS'!E469)&gt;300,RIGHT(TRIM('DATOS'!E469),3)="...",RIGHT(TRIM('DATOS'!E469),1)="…"),1,0))))),2)</f>
      </c>
      <c r="S469" s="29">
        <f>IFERROR(IF(N469=0,"",IF('REFERENCIAS'!$Q$8&lt;&gt;1,2,IF(NOT(Y469=1),1,IF(OR(ABS('DATOS'!G469-ROUND('DATOS'!G469,'REFERENCIAS'!$E$8))&gt;0.00000001,ABS('DATOS'!H469-ROUND('DATOS'!H469,'REFERENCIAS'!$H$8))&gt;0.00000001,ABS('DATOS'!J469-ROUND('DATOS'!J469,'REFERENCIAS'!$K$8))&gt;0.00000001,IF(ISNUMBER('DATOS'!I469),ABS('DATOS'!I469-ROUND('DATOS'!I469,'REFERENCIAS'!$H$8))&gt;0.00000001,FALSE)),1,0)))),2)</f>
      </c>
      <c r="T469" s="29">
        <f>IFERROR(IF(N469=0,"",IF(NOT(AND(LEN(TRIM('DATOS'!F469&amp;""))&gt;0,TRIM('DATOS'!F469&amp;"")&lt;&gt;"Pendiente",TRIM('DATOS'!F469&amp;"")&lt;&gt;"Por confirmar",TRIM('DATOS'!F469&amp;"")&lt;&gt;"No consta",TRIM('DATOS'!F469&amp;"")&lt;&gt;"Desconocido",TRIM('DATOS'!F469&amp;"")&lt;&gt;"Sin confirmar",TRIM('DATOS'!F469&amp;"")&lt;&gt;"Por decidir",TRIM('DATOS'!F469&amp;"")&lt;&gt;"Por comprobar")),2,IF(COUNTIFS('REFERENCIAS'!$T$15:$T$34,"ID:"&amp;SUBSTITUTE(SUBSTITUTE(SUBSTITUTE(SUBSTITUTE(UPPER(TRIM('DATOS'!F469&amp;"")),"!","!E"),"*","!A"),"?","!B"),"~","!C"),'REFERENCIAS'!$H$15:$H$34,"&lt;&gt;")&gt;0,0,1))),2)</f>
      </c>
      <c r="U469" s="29" t="str">
        <f>'DATOS'!R469</f>
        <v>ID:</v>
      </c>
      <c r="V469" s="29" t="str">
        <f>'DATOS'!S469</f>
        <v>ID:</v>
      </c>
      <c r="W469" s="29" t="n">
        <f>IF(N469=0,0,COUNTIFS('REFERENCIAS'!$R$15:$R$64,U469))</f>
        <v>0</v>
      </c>
      <c r="X469" s="29" t="n">
        <f>IF(N469=0,0,COUNTIFS('DATOS'!$R$10:$R$509,U469,'DATOS'!$S$10:$S$509,V469))</f>
        <v>0</v>
      </c>
      <c r="Y469" s="29" t="n">
        <f>IF(AND(ISNUMBER('DATOS'!G469),ISNUMBER('DATOS'!H469),ISNUMBER('DATOS'!J469)),1,0)</f>
        <v>0</v>
      </c>
    </row>
    <row r="470" ht="64" customHeight="1">
      <c r="B470" s="26">
        <f>IF(N470=1,461,"")</f>
      </c>
      <c r="C470" s="26">
        <f>IF(AND(N470=1,LEN(TRIM('DATOS'!B470&amp;""))&gt;0),'DATOS'!B470,"")</f>
      </c>
      <c r="D470" s="26">
        <f>IF(AND(N470=1,LEN(TRIM('DATOS'!C470&amp;""))&gt;0),'DATOS'!C470,"")</f>
      </c>
      <c r="E470" s="26">
        <f>IF(NOT(ISNUMBER(P470)),"",IF(P470=2,"ROJO",IF(P470=1,"ÁMBAR","VERDE")))</f>
      </c>
      <c r="F470" s="26">
        <f>IF(NOT(ISNUMBER(Q470)),"",IF(Q470=2,"ROJO",IF(Q470=1,"ÁMBAR","VERDE")))</f>
      </c>
      <c r="G470" s="26">
        <f>IF(NOT(ISNUMBER(R470)),"",IF(R470=2,"ROJO",IF(R470=1,"ÁMBAR","VERDE")))</f>
      </c>
      <c r="H470" s="26">
        <f>IF(NOT(ISNUMBER(S470)),"",IF(S470=2,"ROJO",IF(S470=1,"ÁMBAR","VERDE")))</f>
      </c>
      <c r="I470" s="26">
        <f>IF(NOT(ISNUMBER(T470)),"",IF(T470=2,"ROJO",IF(T470=1,"ÁMBAR","VERDE")))</f>
      </c>
      <c r="J470" s="26">
        <f>IF(NOT(ISNUMBER(O470)),"",IF(O470=2,"ROJO",IF(O470=1,"ÁMBAR","VERDE")))</f>
      </c>
      <c r="K470" s="26">
        <f>IFERROR(IF(AND(N470=1,LEN(TRIM('DATOS'!N470&amp;""))&gt;0),'DATOS'!N470,""),"Hay una entrada con error. Corregimos el dato antes de cerrar la comprobación.")</f>
      </c>
      <c r="L470" s="26">
        <f>IFERROR(IF(N470=0,"",IF(O470&gt;0,"Completamos datos, claves o motivo. ","")&amp;IF(P470&gt;0,"Cotejamos precios e importe. ","")&amp;IF(Q470&gt;0,"Aclaramos el cero. ","")&amp;IF(R470&gt;0,"Comprobamos el texto. ","")&amp;IF(S470&gt;0,"Revisamos decimales visibles. ","")&amp;IF(T470&gt;0,"Confirmamos la unidad.","")),"Hay una entrada con error. Corregimos el dato antes de cerrar la comprobación.")</f>
      </c>
      <c r="N470" s="29" t="n">
        <f>IF(COUNTA('DATOS'!B470:O470)&gt;0,1,0)</f>
        <v>0</v>
      </c>
      <c r="O470" s="29">
        <f>IFERROR(IF(N470=0,"",IF(OR(NOT(AND(LEN(TRIM('DATOS'!B470&amp;""))&gt;0,TRIM('DATOS'!B470&amp;"")&lt;&gt;"Pendiente",TRIM('DATOS'!B470&amp;"")&lt;&gt;"Por confirmar",TRIM('DATOS'!B470&amp;"")&lt;&gt;"No consta",TRIM('DATOS'!B470&amp;"")&lt;&gt;"Desconocido",TRIM('DATOS'!B470&amp;"")&lt;&gt;"Sin confirmar",TRIM('DATOS'!B470&amp;"")&lt;&gt;"Por decidir",TRIM('DATOS'!B470&amp;"")&lt;&gt;"Por comprobar")),NOT(AND(LEN(TRIM('DATOS'!C470&amp;""))&gt;0,TRIM('DATOS'!C470&amp;"")&lt;&gt;"Pendiente",TRIM('DATOS'!C470&amp;"")&lt;&gt;"Por confirmar",TRIM('DATOS'!C470&amp;"")&lt;&gt;"No consta",TRIM('DATOS'!C470&amp;"")&lt;&gt;"Desconocido",TRIM('DATOS'!C470&amp;"")&lt;&gt;"Sin confirmar",TRIM('DATOS'!C470&amp;"")&lt;&gt;"Por decidir",TRIM('DATOS'!C470&amp;"")&lt;&gt;"Por comprobar")),NOT(AND(LEN(TRIM('DATOS'!D470&amp;""))&gt;0,TRIM('DATOS'!D470&amp;"")&lt;&gt;"Pendiente",TRIM('DATOS'!D470&amp;"")&lt;&gt;"Por confirmar",TRIM('DATOS'!D470&amp;"")&lt;&gt;"No consta",TRIM('DATOS'!D470&amp;"")&lt;&gt;"Desconocido",TRIM('DATOS'!D470&amp;"")&lt;&gt;"Sin confirmar",TRIM('DATOS'!D470&amp;"")&lt;&gt;"Por decidir",TRIM('DATOS'!D470&amp;"")&lt;&gt;"Por comprobar")),NOT(AND(LEN(TRIM('DATOS'!E470&amp;""))&gt;0,TRIM('DATOS'!E470&amp;"")&lt;&gt;"Pendiente",TRIM('DATOS'!E470&amp;"")&lt;&gt;"Por confirmar",TRIM('DATOS'!E470&amp;"")&lt;&gt;"No consta",TRIM('DATOS'!E470&amp;"")&lt;&gt;"Desconocido",TRIM('DATOS'!E470&amp;"")&lt;&gt;"Sin confirmar",TRIM('DATOS'!E470&amp;"")&lt;&gt;"Por decidir",TRIM('DATOS'!E470&amp;"")&lt;&gt;"Por comprobar")),NOT(AND(LEN(TRIM('DATOS'!F470&amp;""))&gt;0,TRIM('DATOS'!F470&amp;"")&lt;&gt;"Pendiente",TRIM('DATOS'!F470&amp;"")&lt;&gt;"Por confirmar",TRIM('DATOS'!F470&amp;"")&lt;&gt;"No consta",TRIM('DATOS'!F470&amp;"")&lt;&gt;"Desconocido",TRIM('DATOS'!F470&amp;"")&lt;&gt;"Sin confirmar",TRIM('DATOS'!F470&amp;"")&lt;&gt;"Por decidir",TRIM('DATOS'!F470&amp;"")&lt;&gt;"Por comprobar")),NOT(AND(LEN(TRIM('DATOS'!N470&amp;""))&gt;0,TRIM('DATOS'!N470&amp;"")&lt;&gt;"Pendiente",TRIM('DATOS'!N470&amp;"")&lt;&gt;"Por confirmar",TRIM('DATOS'!N470&amp;"")&lt;&gt;"No consta",TRIM('DATOS'!N470&amp;"")&lt;&gt;"Desconocido",TRIM('DATOS'!N470&amp;"")&lt;&gt;"Sin confirmar",TRIM('DATOS'!N470&amp;"")&lt;&gt;"Por decidir",TRIM('DATOS'!N470&amp;"")&lt;&gt;"Por comprobar")),NOT(Y470=1),W470&lt;&gt;1,X470&gt;1,NOT(OR(LEN(TRIM('DATOS'!K470&amp;""))=0,'DATOS'!K470="Sin valorar",'DATOS'!K470="Sin coste documentado",'DATOS'!K470="Incluido en otra partida",'DATOS'!K470="Por confirmar")),NOT(OR(LEN(TRIM('DATOS'!M470&amp;""))=0,'DATOS'!M470="Sí",'DATOS'!M470="No",'DATOS'!M470="Por confirmar")),NOT(OR(LEN(TRIM('DATOS'!O470&amp;""))=0,'DATOS'!O470="Comparamos",'DATOS'!O470="No existe",'DATOS'!O470="Por confirmar"))),2,IF(AND(OR('DATOS'!G470&lt;0,'DATOS'!H470&lt;0,'DATOS'!J470&lt;0),NOT(AND(LEN(TRIM('DATOS'!L470&amp;""))&gt;0,TRIM('DATOS'!L470&amp;"")&lt;&gt;"Pendiente",TRIM('DATOS'!L470&amp;"")&lt;&gt;"Por confirmar",TRIM('DATOS'!L470&amp;"")&lt;&gt;"No consta",TRIM('DATOS'!L470&amp;"")&lt;&gt;"Desconocido",TRIM('DATOS'!L470&amp;"")&lt;&gt;"Sin confirmar",TRIM('DATOS'!L470&amp;"")&lt;&gt;"Por decidir",TRIM('DATOS'!L470&amp;"")&lt;&gt;"Por comprobar"))),1,0))),2)</f>
      </c>
      <c r="P470" s="29">
        <f>IFERROR(IF(N470=0,"",IF(NOT(Y470=1),1,IF('REFERENCIAS'!$Q$8&lt;&gt;1,2,IF(ABS('DATOS'!J470-ROUND('DATOS'!G470*'DATOS'!H470,'REFERENCIAS'!$K$8))&gt;0.00000001,2,IF('DATOS'!O470="No existe",IF(LEN(TRIM('DATOS'!I470&amp;""))=0,0,2),IF('DATOS'!O470="Comparamos",IF(LEN(TRIM('DATOS'!I470&amp;""))=0,1,IF(ISNUMBER('DATOS'!I470),IF(ABS('DATOS'!H470-'DATOS'!I470)&gt;0.00000001,2,0),2)),1)))))),2)</f>
      </c>
      <c r="Q470" s="29">
        <f>IFERROR(IF(N470=0,"",IF(NOT(Y470=1),1,IF('DATOS'!K470="Sin valorar",2,IF('DATOS'!G470=0,1,IF(OR('DATOS'!H470=0,'DATOS'!J470=0),IF(AND(OR('DATOS'!K470="Sin coste documentado",'DATOS'!K470="Incluido en otra partida"),AND(LEN(TRIM('DATOS'!L470&amp;""))&gt;0,TRIM('DATOS'!L470&amp;"")&lt;&gt;"Pendiente",TRIM('DATOS'!L470&amp;"")&lt;&gt;"Por confirmar",TRIM('DATOS'!L470&amp;"")&lt;&gt;"No consta",TRIM('DATOS'!L470&amp;"")&lt;&gt;"Desconocido",TRIM('DATOS'!L470&amp;"")&lt;&gt;"Sin confirmar",TRIM('DATOS'!L470&amp;"")&lt;&gt;"Por decidir",TRIM('DATOS'!L470&amp;"")&lt;&gt;"Por comprobar")),0,1),0))))),2)</f>
      </c>
      <c r="R470" s="29">
        <f>IFERROR(IF(N470=0,"",IF(OR(NOT(AND(LEN(TRIM('DATOS'!D470&amp;""))&gt;0,TRIM('DATOS'!D470&amp;"")&lt;&gt;"Pendiente",TRIM('DATOS'!D470&amp;"")&lt;&gt;"Por confirmar",TRIM('DATOS'!D470&amp;"")&lt;&gt;"No consta",TRIM('DATOS'!D470&amp;"")&lt;&gt;"Desconocido",TRIM('DATOS'!D470&amp;"")&lt;&gt;"Sin confirmar",TRIM('DATOS'!D470&amp;"")&lt;&gt;"Por decidir",TRIM('DATOS'!D470&amp;"")&lt;&gt;"Por comprobar")),NOT(AND(LEN(TRIM('DATOS'!E470&amp;""))&gt;0,TRIM('DATOS'!E470&amp;"")&lt;&gt;"Pendiente",TRIM('DATOS'!E470&amp;"")&lt;&gt;"Por confirmar",TRIM('DATOS'!E470&amp;"")&lt;&gt;"No consta",TRIM('DATOS'!E470&amp;"")&lt;&gt;"Desconocido",TRIM('DATOS'!E470&amp;"")&lt;&gt;"Sin confirmar",TRIM('DATOS'!E470&amp;"")&lt;&gt;"Por decidir",TRIM('DATOS'!E470&amp;"")&lt;&gt;"Por comprobar"))),2,IF('DATOS'!M470="No",2,IF('DATOS'!M470="Sí",0,IF(OR('DATOS'!D470&lt;&gt;'DATOS'!E470,LEN('DATOS'!E470)&gt;300,RIGHT(TRIM('DATOS'!E470),3)="...",RIGHT(TRIM('DATOS'!E470),1)="…"),1,0))))),2)</f>
      </c>
      <c r="S470" s="29">
        <f>IFERROR(IF(N470=0,"",IF('REFERENCIAS'!$Q$8&lt;&gt;1,2,IF(NOT(Y470=1),1,IF(OR(ABS('DATOS'!G470-ROUND('DATOS'!G470,'REFERENCIAS'!$E$8))&gt;0.00000001,ABS('DATOS'!H470-ROUND('DATOS'!H470,'REFERENCIAS'!$H$8))&gt;0.00000001,ABS('DATOS'!J470-ROUND('DATOS'!J470,'REFERENCIAS'!$K$8))&gt;0.00000001,IF(ISNUMBER('DATOS'!I470),ABS('DATOS'!I470-ROUND('DATOS'!I470,'REFERENCIAS'!$H$8))&gt;0.00000001,FALSE)),1,0)))),2)</f>
      </c>
      <c r="T470" s="29">
        <f>IFERROR(IF(N470=0,"",IF(NOT(AND(LEN(TRIM('DATOS'!F470&amp;""))&gt;0,TRIM('DATOS'!F470&amp;"")&lt;&gt;"Pendiente",TRIM('DATOS'!F470&amp;"")&lt;&gt;"Por confirmar",TRIM('DATOS'!F470&amp;"")&lt;&gt;"No consta",TRIM('DATOS'!F470&amp;"")&lt;&gt;"Desconocido",TRIM('DATOS'!F470&amp;"")&lt;&gt;"Sin confirmar",TRIM('DATOS'!F470&amp;"")&lt;&gt;"Por decidir",TRIM('DATOS'!F470&amp;"")&lt;&gt;"Por comprobar")),2,IF(COUNTIFS('REFERENCIAS'!$T$15:$T$34,"ID:"&amp;SUBSTITUTE(SUBSTITUTE(SUBSTITUTE(SUBSTITUTE(UPPER(TRIM('DATOS'!F470&amp;"")),"!","!E"),"*","!A"),"?","!B"),"~","!C"),'REFERENCIAS'!$H$15:$H$34,"&lt;&gt;")&gt;0,0,1))),2)</f>
      </c>
      <c r="U470" s="29" t="str">
        <f>'DATOS'!R470</f>
        <v>ID:</v>
      </c>
      <c r="V470" s="29" t="str">
        <f>'DATOS'!S470</f>
        <v>ID:</v>
      </c>
      <c r="W470" s="29" t="n">
        <f>IF(N470=0,0,COUNTIFS('REFERENCIAS'!$R$15:$R$64,U470))</f>
        <v>0</v>
      </c>
      <c r="X470" s="29" t="n">
        <f>IF(N470=0,0,COUNTIFS('DATOS'!$R$10:$R$509,U470,'DATOS'!$S$10:$S$509,V470))</f>
        <v>0</v>
      </c>
      <c r="Y470" s="29" t="n">
        <f>IF(AND(ISNUMBER('DATOS'!G470),ISNUMBER('DATOS'!H470),ISNUMBER('DATOS'!J470)),1,0)</f>
        <v>0</v>
      </c>
    </row>
    <row r="471" ht="64" customHeight="1">
      <c r="B471" s="26">
        <f>IF(N471=1,462,"")</f>
      </c>
      <c r="C471" s="26">
        <f>IF(AND(N471=1,LEN(TRIM('DATOS'!B471&amp;""))&gt;0),'DATOS'!B471,"")</f>
      </c>
      <c r="D471" s="26">
        <f>IF(AND(N471=1,LEN(TRIM('DATOS'!C471&amp;""))&gt;0),'DATOS'!C471,"")</f>
      </c>
      <c r="E471" s="26">
        <f>IF(NOT(ISNUMBER(P471)),"",IF(P471=2,"ROJO",IF(P471=1,"ÁMBAR","VERDE")))</f>
      </c>
      <c r="F471" s="26">
        <f>IF(NOT(ISNUMBER(Q471)),"",IF(Q471=2,"ROJO",IF(Q471=1,"ÁMBAR","VERDE")))</f>
      </c>
      <c r="G471" s="26">
        <f>IF(NOT(ISNUMBER(R471)),"",IF(R471=2,"ROJO",IF(R471=1,"ÁMBAR","VERDE")))</f>
      </c>
      <c r="H471" s="26">
        <f>IF(NOT(ISNUMBER(S471)),"",IF(S471=2,"ROJO",IF(S471=1,"ÁMBAR","VERDE")))</f>
      </c>
      <c r="I471" s="26">
        <f>IF(NOT(ISNUMBER(T471)),"",IF(T471=2,"ROJO",IF(T471=1,"ÁMBAR","VERDE")))</f>
      </c>
      <c r="J471" s="26">
        <f>IF(NOT(ISNUMBER(O471)),"",IF(O471=2,"ROJO",IF(O471=1,"ÁMBAR","VERDE")))</f>
      </c>
      <c r="K471" s="26">
        <f>IFERROR(IF(AND(N471=1,LEN(TRIM('DATOS'!N471&amp;""))&gt;0),'DATOS'!N471,""),"Hay una entrada con error. Corregimos el dato antes de cerrar la comprobación.")</f>
      </c>
      <c r="L471" s="26">
        <f>IFERROR(IF(N471=0,"",IF(O471&gt;0,"Completamos datos, claves o motivo. ","")&amp;IF(P471&gt;0,"Cotejamos precios e importe. ","")&amp;IF(Q471&gt;0,"Aclaramos el cero. ","")&amp;IF(R471&gt;0,"Comprobamos el texto. ","")&amp;IF(S471&gt;0,"Revisamos decimales visibles. ","")&amp;IF(T471&gt;0,"Confirmamos la unidad.","")),"Hay una entrada con error. Corregimos el dato antes de cerrar la comprobación.")</f>
      </c>
      <c r="N471" s="29" t="n">
        <f>IF(COUNTA('DATOS'!B471:O471)&gt;0,1,0)</f>
        <v>0</v>
      </c>
      <c r="O471" s="29">
        <f>IFERROR(IF(N471=0,"",IF(OR(NOT(AND(LEN(TRIM('DATOS'!B471&amp;""))&gt;0,TRIM('DATOS'!B471&amp;"")&lt;&gt;"Pendiente",TRIM('DATOS'!B471&amp;"")&lt;&gt;"Por confirmar",TRIM('DATOS'!B471&amp;"")&lt;&gt;"No consta",TRIM('DATOS'!B471&amp;"")&lt;&gt;"Desconocido",TRIM('DATOS'!B471&amp;"")&lt;&gt;"Sin confirmar",TRIM('DATOS'!B471&amp;"")&lt;&gt;"Por decidir",TRIM('DATOS'!B471&amp;"")&lt;&gt;"Por comprobar")),NOT(AND(LEN(TRIM('DATOS'!C471&amp;""))&gt;0,TRIM('DATOS'!C471&amp;"")&lt;&gt;"Pendiente",TRIM('DATOS'!C471&amp;"")&lt;&gt;"Por confirmar",TRIM('DATOS'!C471&amp;"")&lt;&gt;"No consta",TRIM('DATOS'!C471&amp;"")&lt;&gt;"Desconocido",TRIM('DATOS'!C471&amp;"")&lt;&gt;"Sin confirmar",TRIM('DATOS'!C471&amp;"")&lt;&gt;"Por decidir",TRIM('DATOS'!C471&amp;"")&lt;&gt;"Por comprobar")),NOT(AND(LEN(TRIM('DATOS'!D471&amp;""))&gt;0,TRIM('DATOS'!D471&amp;"")&lt;&gt;"Pendiente",TRIM('DATOS'!D471&amp;"")&lt;&gt;"Por confirmar",TRIM('DATOS'!D471&amp;"")&lt;&gt;"No consta",TRIM('DATOS'!D471&amp;"")&lt;&gt;"Desconocido",TRIM('DATOS'!D471&amp;"")&lt;&gt;"Sin confirmar",TRIM('DATOS'!D471&amp;"")&lt;&gt;"Por decidir",TRIM('DATOS'!D471&amp;"")&lt;&gt;"Por comprobar")),NOT(AND(LEN(TRIM('DATOS'!E471&amp;""))&gt;0,TRIM('DATOS'!E471&amp;"")&lt;&gt;"Pendiente",TRIM('DATOS'!E471&amp;"")&lt;&gt;"Por confirmar",TRIM('DATOS'!E471&amp;"")&lt;&gt;"No consta",TRIM('DATOS'!E471&amp;"")&lt;&gt;"Desconocido",TRIM('DATOS'!E471&amp;"")&lt;&gt;"Sin confirmar",TRIM('DATOS'!E471&amp;"")&lt;&gt;"Por decidir",TRIM('DATOS'!E471&amp;"")&lt;&gt;"Por comprobar")),NOT(AND(LEN(TRIM('DATOS'!F471&amp;""))&gt;0,TRIM('DATOS'!F471&amp;"")&lt;&gt;"Pendiente",TRIM('DATOS'!F471&amp;"")&lt;&gt;"Por confirmar",TRIM('DATOS'!F471&amp;"")&lt;&gt;"No consta",TRIM('DATOS'!F471&amp;"")&lt;&gt;"Desconocido",TRIM('DATOS'!F471&amp;"")&lt;&gt;"Sin confirmar",TRIM('DATOS'!F471&amp;"")&lt;&gt;"Por decidir",TRIM('DATOS'!F471&amp;"")&lt;&gt;"Por comprobar")),NOT(AND(LEN(TRIM('DATOS'!N471&amp;""))&gt;0,TRIM('DATOS'!N471&amp;"")&lt;&gt;"Pendiente",TRIM('DATOS'!N471&amp;"")&lt;&gt;"Por confirmar",TRIM('DATOS'!N471&amp;"")&lt;&gt;"No consta",TRIM('DATOS'!N471&amp;"")&lt;&gt;"Desconocido",TRIM('DATOS'!N471&amp;"")&lt;&gt;"Sin confirmar",TRIM('DATOS'!N471&amp;"")&lt;&gt;"Por decidir",TRIM('DATOS'!N471&amp;"")&lt;&gt;"Por comprobar")),NOT(Y471=1),W471&lt;&gt;1,X471&gt;1,NOT(OR(LEN(TRIM('DATOS'!K471&amp;""))=0,'DATOS'!K471="Sin valorar",'DATOS'!K471="Sin coste documentado",'DATOS'!K471="Incluido en otra partida",'DATOS'!K471="Por confirmar")),NOT(OR(LEN(TRIM('DATOS'!M471&amp;""))=0,'DATOS'!M471="Sí",'DATOS'!M471="No",'DATOS'!M471="Por confirmar")),NOT(OR(LEN(TRIM('DATOS'!O471&amp;""))=0,'DATOS'!O471="Comparamos",'DATOS'!O471="No existe",'DATOS'!O471="Por confirmar"))),2,IF(AND(OR('DATOS'!G471&lt;0,'DATOS'!H471&lt;0,'DATOS'!J471&lt;0),NOT(AND(LEN(TRIM('DATOS'!L471&amp;""))&gt;0,TRIM('DATOS'!L471&amp;"")&lt;&gt;"Pendiente",TRIM('DATOS'!L471&amp;"")&lt;&gt;"Por confirmar",TRIM('DATOS'!L471&amp;"")&lt;&gt;"No consta",TRIM('DATOS'!L471&amp;"")&lt;&gt;"Desconocido",TRIM('DATOS'!L471&amp;"")&lt;&gt;"Sin confirmar",TRIM('DATOS'!L471&amp;"")&lt;&gt;"Por decidir",TRIM('DATOS'!L471&amp;"")&lt;&gt;"Por comprobar"))),1,0))),2)</f>
      </c>
      <c r="P471" s="29">
        <f>IFERROR(IF(N471=0,"",IF(NOT(Y471=1),1,IF('REFERENCIAS'!$Q$8&lt;&gt;1,2,IF(ABS('DATOS'!J471-ROUND('DATOS'!G471*'DATOS'!H471,'REFERENCIAS'!$K$8))&gt;0.00000001,2,IF('DATOS'!O471="No existe",IF(LEN(TRIM('DATOS'!I471&amp;""))=0,0,2),IF('DATOS'!O471="Comparamos",IF(LEN(TRIM('DATOS'!I471&amp;""))=0,1,IF(ISNUMBER('DATOS'!I471),IF(ABS('DATOS'!H471-'DATOS'!I471)&gt;0.00000001,2,0),2)),1)))))),2)</f>
      </c>
      <c r="Q471" s="29">
        <f>IFERROR(IF(N471=0,"",IF(NOT(Y471=1),1,IF('DATOS'!K471="Sin valorar",2,IF('DATOS'!G471=0,1,IF(OR('DATOS'!H471=0,'DATOS'!J471=0),IF(AND(OR('DATOS'!K471="Sin coste documentado",'DATOS'!K471="Incluido en otra partida"),AND(LEN(TRIM('DATOS'!L471&amp;""))&gt;0,TRIM('DATOS'!L471&amp;"")&lt;&gt;"Pendiente",TRIM('DATOS'!L471&amp;"")&lt;&gt;"Por confirmar",TRIM('DATOS'!L471&amp;"")&lt;&gt;"No consta",TRIM('DATOS'!L471&amp;"")&lt;&gt;"Desconocido",TRIM('DATOS'!L471&amp;"")&lt;&gt;"Sin confirmar",TRIM('DATOS'!L471&amp;"")&lt;&gt;"Por decidir",TRIM('DATOS'!L471&amp;"")&lt;&gt;"Por comprobar")),0,1),0))))),2)</f>
      </c>
      <c r="R471" s="29">
        <f>IFERROR(IF(N471=0,"",IF(OR(NOT(AND(LEN(TRIM('DATOS'!D471&amp;""))&gt;0,TRIM('DATOS'!D471&amp;"")&lt;&gt;"Pendiente",TRIM('DATOS'!D471&amp;"")&lt;&gt;"Por confirmar",TRIM('DATOS'!D471&amp;"")&lt;&gt;"No consta",TRIM('DATOS'!D471&amp;"")&lt;&gt;"Desconocido",TRIM('DATOS'!D471&amp;"")&lt;&gt;"Sin confirmar",TRIM('DATOS'!D471&amp;"")&lt;&gt;"Por decidir",TRIM('DATOS'!D471&amp;"")&lt;&gt;"Por comprobar")),NOT(AND(LEN(TRIM('DATOS'!E471&amp;""))&gt;0,TRIM('DATOS'!E471&amp;"")&lt;&gt;"Pendiente",TRIM('DATOS'!E471&amp;"")&lt;&gt;"Por confirmar",TRIM('DATOS'!E471&amp;"")&lt;&gt;"No consta",TRIM('DATOS'!E471&amp;"")&lt;&gt;"Desconocido",TRIM('DATOS'!E471&amp;"")&lt;&gt;"Sin confirmar",TRIM('DATOS'!E471&amp;"")&lt;&gt;"Por decidir",TRIM('DATOS'!E471&amp;"")&lt;&gt;"Por comprobar"))),2,IF('DATOS'!M471="No",2,IF('DATOS'!M471="Sí",0,IF(OR('DATOS'!D471&lt;&gt;'DATOS'!E471,LEN('DATOS'!E471)&gt;300,RIGHT(TRIM('DATOS'!E471),3)="...",RIGHT(TRIM('DATOS'!E471),1)="…"),1,0))))),2)</f>
      </c>
      <c r="S471" s="29">
        <f>IFERROR(IF(N471=0,"",IF('REFERENCIAS'!$Q$8&lt;&gt;1,2,IF(NOT(Y471=1),1,IF(OR(ABS('DATOS'!G471-ROUND('DATOS'!G471,'REFERENCIAS'!$E$8))&gt;0.00000001,ABS('DATOS'!H471-ROUND('DATOS'!H471,'REFERENCIAS'!$H$8))&gt;0.00000001,ABS('DATOS'!J471-ROUND('DATOS'!J471,'REFERENCIAS'!$K$8))&gt;0.00000001,IF(ISNUMBER('DATOS'!I471),ABS('DATOS'!I471-ROUND('DATOS'!I471,'REFERENCIAS'!$H$8))&gt;0.00000001,FALSE)),1,0)))),2)</f>
      </c>
      <c r="T471" s="29">
        <f>IFERROR(IF(N471=0,"",IF(NOT(AND(LEN(TRIM('DATOS'!F471&amp;""))&gt;0,TRIM('DATOS'!F471&amp;"")&lt;&gt;"Pendiente",TRIM('DATOS'!F471&amp;"")&lt;&gt;"Por confirmar",TRIM('DATOS'!F471&amp;"")&lt;&gt;"No consta",TRIM('DATOS'!F471&amp;"")&lt;&gt;"Desconocido",TRIM('DATOS'!F471&amp;"")&lt;&gt;"Sin confirmar",TRIM('DATOS'!F471&amp;"")&lt;&gt;"Por decidir",TRIM('DATOS'!F471&amp;"")&lt;&gt;"Por comprobar")),2,IF(COUNTIFS('REFERENCIAS'!$T$15:$T$34,"ID:"&amp;SUBSTITUTE(SUBSTITUTE(SUBSTITUTE(SUBSTITUTE(UPPER(TRIM('DATOS'!F471&amp;"")),"!","!E"),"*","!A"),"?","!B"),"~","!C"),'REFERENCIAS'!$H$15:$H$34,"&lt;&gt;")&gt;0,0,1))),2)</f>
      </c>
      <c r="U471" s="29" t="str">
        <f>'DATOS'!R471</f>
        <v>ID:</v>
      </c>
      <c r="V471" s="29" t="str">
        <f>'DATOS'!S471</f>
        <v>ID:</v>
      </c>
      <c r="W471" s="29" t="n">
        <f>IF(N471=0,0,COUNTIFS('REFERENCIAS'!$R$15:$R$64,U471))</f>
        <v>0</v>
      </c>
      <c r="X471" s="29" t="n">
        <f>IF(N471=0,0,COUNTIFS('DATOS'!$R$10:$R$509,U471,'DATOS'!$S$10:$S$509,V471))</f>
        <v>0</v>
      </c>
      <c r="Y471" s="29" t="n">
        <f>IF(AND(ISNUMBER('DATOS'!G471),ISNUMBER('DATOS'!H471),ISNUMBER('DATOS'!J471)),1,0)</f>
        <v>0</v>
      </c>
    </row>
    <row r="472" ht="64" customHeight="1">
      <c r="B472" s="26">
        <f>IF(N472=1,463,"")</f>
      </c>
      <c r="C472" s="26">
        <f>IF(AND(N472=1,LEN(TRIM('DATOS'!B472&amp;""))&gt;0),'DATOS'!B472,"")</f>
      </c>
      <c r="D472" s="26">
        <f>IF(AND(N472=1,LEN(TRIM('DATOS'!C472&amp;""))&gt;0),'DATOS'!C472,"")</f>
      </c>
      <c r="E472" s="26">
        <f>IF(NOT(ISNUMBER(P472)),"",IF(P472=2,"ROJO",IF(P472=1,"ÁMBAR","VERDE")))</f>
      </c>
      <c r="F472" s="26">
        <f>IF(NOT(ISNUMBER(Q472)),"",IF(Q472=2,"ROJO",IF(Q472=1,"ÁMBAR","VERDE")))</f>
      </c>
      <c r="G472" s="26">
        <f>IF(NOT(ISNUMBER(R472)),"",IF(R472=2,"ROJO",IF(R472=1,"ÁMBAR","VERDE")))</f>
      </c>
      <c r="H472" s="26">
        <f>IF(NOT(ISNUMBER(S472)),"",IF(S472=2,"ROJO",IF(S472=1,"ÁMBAR","VERDE")))</f>
      </c>
      <c r="I472" s="26">
        <f>IF(NOT(ISNUMBER(T472)),"",IF(T472=2,"ROJO",IF(T472=1,"ÁMBAR","VERDE")))</f>
      </c>
      <c r="J472" s="26">
        <f>IF(NOT(ISNUMBER(O472)),"",IF(O472=2,"ROJO",IF(O472=1,"ÁMBAR","VERDE")))</f>
      </c>
      <c r="K472" s="26">
        <f>IFERROR(IF(AND(N472=1,LEN(TRIM('DATOS'!N472&amp;""))&gt;0),'DATOS'!N472,""),"Hay una entrada con error. Corregimos el dato antes de cerrar la comprobación.")</f>
      </c>
      <c r="L472" s="26">
        <f>IFERROR(IF(N472=0,"",IF(O472&gt;0,"Completamos datos, claves o motivo. ","")&amp;IF(P472&gt;0,"Cotejamos precios e importe. ","")&amp;IF(Q472&gt;0,"Aclaramos el cero. ","")&amp;IF(R472&gt;0,"Comprobamos el texto. ","")&amp;IF(S472&gt;0,"Revisamos decimales visibles. ","")&amp;IF(T472&gt;0,"Confirmamos la unidad.","")),"Hay una entrada con error. Corregimos el dato antes de cerrar la comprobación.")</f>
      </c>
      <c r="N472" s="29" t="n">
        <f>IF(COUNTA('DATOS'!B472:O472)&gt;0,1,0)</f>
        <v>0</v>
      </c>
      <c r="O472" s="29">
        <f>IFERROR(IF(N472=0,"",IF(OR(NOT(AND(LEN(TRIM('DATOS'!B472&amp;""))&gt;0,TRIM('DATOS'!B472&amp;"")&lt;&gt;"Pendiente",TRIM('DATOS'!B472&amp;"")&lt;&gt;"Por confirmar",TRIM('DATOS'!B472&amp;"")&lt;&gt;"No consta",TRIM('DATOS'!B472&amp;"")&lt;&gt;"Desconocido",TRIM('DATOS'!B472&amp;"")&lt;&gt;"Sin confirmar",TRIM('DATOS'!B472&amp;"")&lt;&gt;"Por decidir",TRIM('DATOS'!B472&amp;"")&lt;&gt;"Por comprobar")),NOT(AND(LEN(TRIM('DATOS'!C472&amp;""))&gt;0,TRIM('DATOS'!C472&amp;"")&lt;&gt;"Pendiente",TRIM('DATOS'!C472&amp;"")&lt;&gt;"Por confirmar",TRIM('DATOS'!C472&amp;"")&lt;&gt;"No consta",TRIM('DATOS'!C472&amp;"")&lt;&gt;"Desconocido",TRIM('DATOS'!C472&amp;"")&lt;&gt;"Sin confirmar",TRIM('DATOS'!C472&amp;"")&lt;&gt;"Por decidir",TRIM('DATOS'!C472&amp;"")&lt;&gt;"Por comprobar")),NOT(AND(LEN(TRIM('DATOS'!D472&amp;""))&gt;0,TRIM('DATOS'!D472&amp;"")&lt;&gt;"Pendiente",TRIM('DATOS'!D472&amp;"")&lt;&gt;"Por confirmar",TRIM('DATOS'!D472&amp;"")&lt;&gt;"No consta",TRIM('DATOS'!D472&amp;"")&lt;&gt;"Desconocido",TRIM('DATOS'!D472&amp;"")&lt;&gt;"Sin confirmar",TRIM('DATOS'!D472&amp;"")&lt;&gt;"Por decidir",TRIM('DATOS'!D472&amp;"")&lt;&gt;"Por comprobar")),NOT(AND(LEN(TRIM('DATOS'!E472&amp;""))&gt;0,TRIM('DATOS'!E472&amp;"")&lt;&gt;"Pendiente",TRIM('DATOS'!E472&amp;"")&lt;&gt;"Por confirmar",TRIM('DATOS'!E472&amp;"")&lt;&gt;"No consta",TRIM('DATOS'!E472&amp;"")&lt;&gt;"Desconocido",TRIM('DATOS'!E472&amp;"")&lt;&gt;"Sin confirmar",TRIM('DATOS'!E472&amp;"")&lt;&gt;"Por decidir",TRIM('DATOS'!E472&amp;"")&lt;&gt;"Por comprobar")),NOT(AND(LEN(TRIM('DATOS'!F472&amp;""))&gt;0,TRIM('DATOS'!F472&amp;"")&lt;&gt;"Pendiente",TRIM('DATOS'!F472&amp;"")&lt;&gt;"Por confirmar",TRIM('DATOS'!F472&amp;"")&lt;&gt;"No consta",TRIM('DATOS'!F472&amp;"")&lt;&gt;"Desconocido",TRIM('DATOS'!F472&amp;"")&lt;&gt;"Sin confirmar",TRIM('DATOS'!F472&amp;"")&lt;&gt;"Por decidir",TRIM('DATOS'!F472&amp;"")&lt;&gt;"Por comprobar")),NOT(AND(LEN(TRIM('DATOS'!N472&amp;""))&gt;0,TRIM('DATOS'!N472&amp;"")&lt;&gt;"Pendiente",TRIM('DATOS'!N472&amp;"")&lt;&gt;"Por confirmar",TRIM('DATOS'!N472&amp;"")&lt;&gt;"No consta",TRIM('DATOS'!N472&amp;"")&lt;&gt;"Desconocido",TRIM('DATOS'!N472&amp;"")&lt;&gt;"Sin confirmar",TRIM('DATOS'!N472&amp;"")&lt;&gt;"Por decidir",TRIM('DATOS'!N472&amp;"")&lt;&gt;"Por comprobar")),NOT(Y472=1),W472&lt;&gt;1,X472&gt;1,NOT(OR(LEN(TRIM('DATOS'!K472&amp;""))=0,'DATOS'!K472="Sin valorar",'DATOS'!K472="Sin coste documentado",'DATOS'!K472="Incluido en otra partida",'DATOS'!K472="Por confirmar")),NOT(OR(LEN(TRIM('DATOS'!M472&amp;""))=0,'DATOS'!M472="Sí",'DATOS'!M472="No",'DATOS'!M472="Por confirmar")),NOT(OR(LEN(TRIM('DATOS'!O472&amp;""))=0,'DATOS'!O472="Comparamos",'DATOS'!O472="No existe",'DATOS'!O472="Por confirmar"))),2,IF(AND(OR('DATOS'!G472&lt;0,'DATOS'!H472&lt;0,'DATOS'!J472&lt;0),NOT(AND(LEN(TRIM('DATOS'!L472&amp;""))&gt;0,TRIM('DATOS'!L472&amp;"")&lt;&gt;"Pendiente",TRIM('DATOS'!L472&amp;"")&lt;&gt;"Por confirmar",TRIM('DATOS'!L472&amp;"")&lt;&gt;"No consta",TRIM('DATOS'!L472&amp;"")&lt;&gt;"Desconocido",TRIM('DATOS'!L472&amp;"")&lt;&gt;"Sin confirmar",TRIM('DATOS'!L472&amp;"")&lt;&gt;"Por decidir",TRIM('DATOS'!L472&amp;"")&lt;&gt;"Por comprobar"))),1,0))),2)</f>
      </c>
      <c r="P472" s="29">
        <f>IFERROR(IF(N472=0,"",IF(NOT(Y472=1),1,IF('REFERENCIAS'!$Q$8&lt;&gt;1,2,IF(ABS('DATOS'!J472-ROUND('DATOS'!G472*'DATOS'!H472,'REFERENCIAS'!$K$8))&gt;0.00000001,2,IF('DATOS'!O472="No existe",IF(LEN(TRIM('DATOS'!I472&amp;""))=0,0,2),IF('DATOS'!O472="Comparamos",IF(LEN(TRIM('DATOS'!I472&amp;""))=0,1,IF(ISNUMBER('DATOS'!I472),IF(ABS('DATOS'!H472-'DATOS'!I472)&gt;0.00000001,2,0),2)),1)))))),2)</f>
      </c>
      <c r="Q472" s="29">
        <f>IFERROR(IF(N472=0,"",IF(NOT(Y472=1),1,IF('DATOS'!K472="Sin valorar",2,IF('DATOS'!G472=0,1,IF(OR('DATOS'!H472=0,'DATOS'!J472=0),IF(AND(OR('DATOS'!K472="Sin coste documentado",'DATOS'!K472="Incluido en otra partida"),AND(LEN(TRIM('DATOS'!L472&amp;""))&gt;0,TRIM('DATOS'!L472&amp;"")&lt;&gt;"Pendiente",TRIM('DATOS'!L472&amp;"")&lt;&gt;"Por confirmar",TRIM('DATOS'!L472&amp;"")&lt;&gt;"No consta",TRIM('DATOS'!L472&amp;"")&lt;&gt;"Desconocido",TRIM('DATOS'!L472&amp;"")&lt;&gt;"Sin confirmar",TRIM('DATOS'!L472&amp;"")&lt;&gt;"Por decidir",TRIM('DATOS'!L472&amp;"")&lt;&gt;"Por comprobar")),0,1),0))))),2)</f>
      </c>
      <c r="R472" s="29">
        <f>IFERROR(IF(N472=0,"",IF(OR(NOT(AND(LEN(TRIM('DATOS'!D472&amp;""))&gt;0,TRIM('DATOS'!D472&amp;"")&lt;&gt;"Pendiente",TRIM('DATOS'!D472&amp;"")&lt;&gt;"Por confirmar",TRIM('DATOS'!D472&amp;"")&lt;&gt;"No consta",TRIM('DATOS'!D472&amp;"")&lt;&gt;"Desconocido",TRIM('DATOS'!D472&amp;"")&lt;&gt;"Sin confirmar",TRIM('DATOS'!D472&amp;"")&lt;&gt;"Por decidir",TRIM('DATOS'!D472&amp;"")&lt;&gt;"Por comprobar")),NOT(AND(LEN(TRIM('DATOS'!E472&amp;""))&gt;0,TRIM('DATOS'!E472&amp;"")&lt;&gt;"Pendiente",TRIM('DATOS'!E472&amp;"")&lt;&gt;"Por confirmar",TRIM('DATOS'!E472&amp;"")&lt;&gt;"No consta",TRIM('DATOS'!E472&amp;"")&lt;&gt;"Desconocido",TRIM('DATOS'!E472&amp;"")&lt;&gt;"Sin confirmar",TRIM('DATOS'!E472&amp;"")&lt;&gt;"Por decidir",TRIM('DATOS'!E472&amp;"")&lt;&gt;"Por comprobar"))),2,IF('DATOS'!M472="No",2,IF('DATOS'!M472="Sí",0,IF(OR('DATOS'!D472&lt;&gt;'DATOS'!E472,LEN('DATOS'!E472)&gt;300,RIGHT(TRIM('DATOS'!E472),3)="...",RIGHT(TRIM('DATOS'!E472),1)="…"),1,0))))),2)</f>
      </c>
      <c r="S472" s="29">
        <f>IFERROR(IF(N472=0,"",IF('REFERENCIAS'!$Q$8&lt;&gt;1,2,IF(NOT(Y472=1),1,IF(OR(ABS('DATOS'!G472-ROUND('DATOS'!G472,'REFERENCIAS'!$E$8))&gt;0.00000001,ABS('DATOS'!H472-ROUND('DATOS'!H472,'REFERENCIAS'!$H$8))&gt;0.00000001,ABS('DATOS'!J472-ROUND('DATOS'!J472,'REFERENCIAS'!$K$8))&gt;0.00000001,IF(ISNUMBER('DATOS'!I472),ABS('DATOS'!I472-ROUND('DATOS'!I472,'REFERENCIAS'!$H$8))&gt;0.00000001,FALSE)),1,0)))),2)</f>
      </c>
      <c r="T472" s="29">
        <f>IFERROR(IF(N472=0,"",IF(NOT(AND(LEN(TRIM('DATOS'!F472&amp;""))&gt;0,TRIM('DATOS'!F472&amp;"")&lt;&gt;"Pendiente",TRIM('DATOS'!F472&amp;"")&lt;&gt;"Por confirmar",TRIM('DATOS'!F472&amp;"")&lt;&gt;"No consta",TRIM('DATOS'!F472&amp;"")&lt;&gt;"Desconocido",TRIM('DATOS'!F472&amp;"")&lt;&gt;"Sin confirmar",TRIM('DATOS'!F472&amp;"")&lt;&gt;"Por decidir",TRIM('DATOS'!F472&amp;"")&lt;&gt;"Por comprobar")),2,IF(COUNTIFS('REFERENCIAS'!$T$15:$T$34,"ID:"&amp;SUBSTITUTE(SUBSTITUTE(SUBSTITUTE(SUBSTITUTE(UPPER(TRIM('DATOS'!F472&amp;"")),"!","!E"),"*","!A"),"?","!B"),"~","!C"),'REFERENCIAS'!$H$15:$H$34,"&lt;&gt;")&gt;0,0,1))),2)</f>
      </c>
      <c r="U472" s="29" t="str">
        <f>'DATOS'!R472</f>
        <v>ID:</v>
      </c>
      <c r="V472" s="29" t="str">
        <f>'DATOS'!S472</f>
        <v>ID:</v>
      </c>
      <c r="W472" s="29" t="n">
        <f>IF(N472=0,0,COUNTIFS('REFERENCIAS'!$R$15:$R$64,U472))</f>
        <v>0</v>
      </c>
      <c r="X472" s="29" t="n">
        <f>IF(N472=0,0,COUNTIFS('DATOS'!$R$10:$R$509,U472,'DATOS'!$S$10:$S$509,V472))</f>
        <v>0</v>
      </c>
      <c r="Y472" s="29" t="n">
        <f>IF(AND(ISNUMBER('DATOS'!G472),ISNUMBER('DATOS'!H472),ISNUMBER('DATOS'!J472)),1,0)</f>
        <v>0</v>
      </c>
    </row>
    <row r="473" ht="64" customHeight="1">
      <c r="B473" s="26">
        <f>IF(N473=1,464,"")</f>
      </c>
      <c r="C473" s="26">
        <f>IF(AND(N473=1,LEN(TRIM('DATOS'!B473&amp;""))&gt;0),'DATOS'!B473,"")</f>
      </c>
      <c r="D473" s="26">
        <f>IF(AND(N473=1,LEN(TRIM('DATOS'!C473&amp;""))&gt;0),'DATOS'!C473,"")</f>
      </c>
      <c r="E473" s="26">
        <f>IF(NOT(ISNUMBER(P473)),"",IF(P473=2,"ROJO",IF(P473=1,"ÁMBAR","VERDE")))</f>
      </c>
      <c r="F473" s="26">
        <f>IF(NOT(ISNUMBER(Q473)),"",IF(Q473=2,"ROJO",IF(Q473=1,"ÁMBAR","VERDE")))</f>
      </c>
      <c r="G473" s="26">
        <f>IF(NOT(ISNUMBER(R473)),"",IF(R473=2,"ROJO",IF(R473=1,"ÁMBAR","VERDE")))</f>
      </c>
      <c r="H473" s="26">
        <f>IF(NOT(ISNUMBER(S473)),"",IF(S473=2,"ROJO",IF(S473=1,"ÁMBAR","VERDE")))</f>
      </c>
      <c r="I473" s="26">
        <f>IF(NOT(ISNUMBER(T473)),"",IF(T473=2,"ROJO",IF(T473=1,"ÁMBAR","VERDE")))</f>
      </c>
      <c r="J473" s="26">
        <f>IF(NOT(ISNUMBER(O473)),"",IF(O473=2,"ROJO",IF(O473=1,"ÁMBAR","VERDE")))</f>
      </c>
      <c r="K473" s="26">
        <f>IFERROR(IF(AND(N473=1,LEN(TRIM('DATOS'!N473&amp;""))&gt;0),'DATOS'!N473,""),"Hay una entrada con error. Corregimos el dato antes de cerrar la comprobación.")</f>
      </c>
      <c r="L473" s="26">
        <f>IFERROR(IF(N473=0,"",IF(O473&gt;0,"Completamos datos, claves o motivo. ","")&amp;IF(P473&gt;0,"Cotejamos precios e importe. ","")&amp;IF(Q473&gt;0,"Aclaramos el cero. ","")&amp;IF(R473&gt;0,"Comprobamos el texto. ","")&amp;IF(S473&gt;0,"Revisamos decimales visibles. ","")&amp;IF(T473&gt;0,"Confirmamos la unidad.","")),"Hay una entrada con error. Corregimos el dato antes de cerrar la comprobación.")</f>
      </c>
      <c r="N473" s="29" t="n">
        <f>IF(COUNTA('DATOS'!B473:O473)&gt;0,1,0)</f>
        <v>0</v>
      </c>
      <c r="O473" s="29">
        <f>IFERROR(IF(N473=0,"",IF(OR(NOT(AND(LEN(TRIM('DATOS'!B473&amp;""))&gt;0,TRIM('DATOS'!B473&amp;"")&lt;&gt;"Pendiente",TRIM('DATOS'!B473&amp;"")&lt;&gt;"Por confirmar",TRIM('DATOS'!B473&amp;"")&lt;&gt;"No consta",TRIM('DATOS'!B473&amp;"")&lt;&gt;"Desconocido",TRIM('DATOS'!B473&amp;"")&lt;&gt;"Sin confirmar",TRIM('DATOS'!B473&amp;"")&lt;&gt;"Por decidir",TRIM('DATOS'!B473&amp;"")&lt;&gt;"Por comprobar")),NOT(AND(LEN(TRIM('DATOS'!C473&amp;""))&gt;0,TRIM('DATOS'!C473&amp;"")&lt;&gt;"Pendiente",TRIM('DATOS'!C473&amp;"")&lt;&gt;"Por confirmar",TRIM('DATOS'!C473&amp;"")&lt;&gt;"No consta",TRIM('DATOS'!C473&amp;"")&lt;&gt;"Desconocido",TRIM('DATOS'!C473&amp;"")&lt;&gt;"Sin confirmar",TRIM('DATOS'!C473&amp;"")&lt;&gt;"Por decidir",TRIM('DATOS'!C473&amp;"")&lt;&gt;"Por comprobar")),NOT(AND(LEN(TRIM('DATOS'!D473&amp;""))&gt;0,TRIM('DATOS'!D473&amp;"")&lt;&gt;"Pendiente",TRIM('DATOS'!D473&amp;"")&lt;&gt;"Por confirmar",TRIM('DATOS'!D473&amp;"")&lt;&gt;"No consta",TRIM('DATOS'!D473&amp;"")&lt;&gt;"Desconocido",TRIM('DATOS'!D473&amp;"")&lt;&gt;"Sin confirmar",TRIM('DATOS'!D473&amp;"")&lt;&gt;"Por decidir",TRIM('DATOS'!D473&amp;"")&lt;&gt;"Por comprobar")),NOT(AND(LEN(TRIM('DATOS'!E473&amp;""))&gt;0,TRIM('DATOS'!E473&amp;"")&lt;&gt;"Pendiente",TRIM('DATOS'!E473&amp;"")&lt;&gt;"Por confirmar",TRIM('DATOS'!E473&amp;"")&lt;&gt;"No consta",TRIM('DATOS'!E473&amp;"")&lt;&gt;"Desconocido",TRIM('DATOS'!E473&amp;"")&lt;&gt;"Sin confirmar",TRIM('DATOS'!E473&amp;"")&lt;&gt;"Por decidir",TRIM('DATOS'!E473&amp;"")&lt;&gt;"Por comprobar")),NOT(AND(LEN(TRIM('DATOS'!F473&amp;""))&gt;0,TRIM('DATOS'!F473&amp;"")&lt;&gt;"Pendiente",TRIM('DATOS'!F473&amp;"")&lt;&gt;"Por confirmar",TRIM('DATOS'!F473&amp;"")&lt;&gt;"No consta",TRIM('DATOS'!F473&amp;"")&lt;&gt;"Desconocido",TRIM('DATOS'!F473&amp;"")&lt;&gt;"Sin confirmar",TRIM('DATOS'!F473&amp;"")&lt;&gt;"Por decidir",TRIM('DATOS'!F473&amp;"")&lt;&gt;"Por comprobar")),NOT(AND(LEN(TRIM('DATOS'!N473&amp;""))&gt;0,TRIM('DATOS'!N473&amp;"")&lt;&gt;"Pendiente",TRIM('DATOS'!N473&amp;"")&lt;&gt;"Por confirmar",TRIM('DATOS'!N473&amp;"")&lt;&gt;"No consta",TRIM('DATOS'!N473&amp;"")&lt;&gt;"Desconocido",TRIM('DATOS'!N473&amp;"")&lt;&gt;"Sin confirmar",TRIM('DATOS'!N473&amp;"")&lt;&gt;"Por decidir",TRIM('DATOS'!N473&amp;"")&lt;&gt;"Por comprobar")),NOT(Y473=1),W473&lt;&gt;1,X473&gt;1,NOT(OR(LEN(TRIM('DATOS'!K473&amp;""))=0,'DATOS'!K473="Sin valorar",'DATOS'!K473="Sin coste documentado",'DATOS'!K473="Incluido en otra partida",'DATOS'!K473="Por confirmar")),NOT(OR(LEN(TRIM('DATOS'!M473&amp;""))=0,'DATOS'!M473="Sí",'DATOS'!M473="No",'DATOS'!M473="Por confirmar")),NOT(OR(LEN(TRIM('DATOS'!O473&amp;""))=0,'DATOS'!O473="Comparamos",'DATOS'!O473="No existe",'DATOS'!O473="Por confirmar"))),2,IF(AND(OR('DATOS'!G473&lt;0,'DATOS'!H473&lt;0,'DATOS'!J473&lt;0),NOT(AND(LEN(TRIM('DATOS'!L473&amp;""))&gt;0,TRIM('DATOS'!L473&amp;"")&lt;&gt;"Pendiente",TRIM('DATOS'!L473&amp;"")&lt;&gt;"Por confirmar",TRIM('DATOS'!L473&amp;"")&lt;&gt;"No consta",TRIM('DATOS'!L473&amp;"")&lt;&gt;"Desconocido",TRIM('DATOS'!L473&amp;"")&lt;&gt;"Sin confirmar",TRIM('DATOS'!L473&amp;"")&lt;&gt;"Por decidir",TRIM('DATOS'!L473&amp;"")&lt;&gt;"Por comprobar"))),1,0))),2)</f>
      </c>
      <c r="P473" s="29">
        <f>IFERROR(IF(N473=0,"",IF(NOT(Y473=1),1,IF('REFERENCIAS'!$Q$8&lt;&gt;1,2,IF(ABS('DATOS'!J473-ROUND('DATOS'!G473*'DATOS'!H473,'REFERENCIAS'!$K$8))&gt;0.00000001,2,IF('DATOS'!O473="No existe",IF(LEN(TRIM('DATOS'!I473&amp;""))=0,0,2),IF('DATOS'!O473="Comparamos",IF(LEN(TRIM('DATOS'!I473&amp;""))=0,1,IF(ISNUMBER('DATOS'!I473),IF(ABS('DATOS'!H473-'DATOS'!I473)&gt;0.00000001,2,0),2)),1)))))),2)</f>
      </c>
      <c r="Q473" s="29">
        <f>IFERROR(IF(N473=0,"",IF(NOT(Y473=1),1,IF('DATOS'!K473="Sin valorar",2,IF('DATOS'!G473=0,1,IF(OR('DATOS'!H473=0,'DATOS'!J473=0),IF(AND(OR('DATOS'!K473="Sin coste documentado",'DATOS'!K473="Incluido en otra partida"),AND(LEN(TRIM('DATOS'!L473&amp;""))&gt;0,TRIM('DATOS'!L473&amp;"")&lt;&gt;"Pendiente",TRIM('DATOS'!L473&amp;"")&lt;&gt;"Por confirmar",TRIM('DATOS'!L473&amp;"")&lt;&gt;"No consta",TRIM('DATOS'!L473&amp;"")&lt;&gt;"Desconocido",TRIM('DATOS'!L473&amp;"")&lt;&gt;"Sin confirmar",TRIM('DATOS'!L473&amp;"")&lt;&gt;"Por decidir",TRIM('DATOS'!L473&amp;"")&lt;&gt;"Por comprobar")),0,1),0))))),2)</f>
      </c>
      <c r="R473" s="29">
        <f>IFERROR(IF(N473=0,"",IF(OR(NOT(AND(LEN(TRIM('DATOS'!D473&amp;""))&gt;0,TRIM('DATOS'!D473&amp;"")&lt;&gt;"Pendiente",TRIM('DATOS'!D473&amp;"")&lt;&gt;"Por confirmar",TRIM('DATOS'!D473&amp;"")&lt;&gt;"No consta",TRIM('DATOS'!D473&amp;"")&lt;&gt;"Desconocido",TRIM('DATOS'!D473&amp;"")&lt;&gt;"Sin confirmar",TRIM('DATOS'!D473&amp;"")&lt;&gt;"Por decidir",TRIM('DATOS'!D473&amp;"")&lt;&gt;"Por comprobar")),NOT(AND(LEN(TRIM('DATOS'!E473&amp;""))&gt;0,TRIM('DATOS'!E473&amp;"")&lt;&gt;"Pendiente",TRIM('DATOS'!E473&amp;"")&lt;&gt;"Por confirmar",TRIM('DATOS'!E473&amp;"")&lt;&gt;"No consta",TRIM('DATOS'!E473&amp;"")&lt;&gt;"Desconocido",TRIM('DATOS'!E473&amp;"")&lt;&gt;"Sin confirmar",TRIM('DATOS'!E473&amp;"")&lt;&gt;"Por decidir",TRIM('DATOS'!E473&amp;"")&lt;&gt;"Por comprobar"))),2,IF('DATOS'!M473="No",2,IF('DATOS'!M473="Sí",0,IF(OR('DATOS'!D473&lt;&gt;'DATOS'!E473,LEN('DATOS'!E473)&gt;300,RIGHT(TRIM('DATOS'!E473),3)="...",RIGHT(TRIM('DATOS'!E473),1)="…"),1,0))))),2)</f>
      </c>
      <c r="S473" s="29">
        <f>IFERROR(IF(N473=0,"",IF('REFERENCIAS'!$Q$8&lt;&gt;1,2,IF(NOT(Y473=1),1,IF(OR(ABS('DATOS'!G473-ROUND('DATOS'!G473,'REFERENCIAS'!$E$8))&gt;0.00000001,ABS('DATOS'!H473-ROUND('DATOS'!H473,'REFERENCIAS'!$H$8))&gt;0.00000001,ABS('DATOS'!J473-ROUND('DATOS'!J473,'REFERENCIAS'!$K$8))&gt;0.00000001,IF(ISNUMBER('DATOS'!I473),ABS('DATOS'!I473-ROUND('DATOS'!I473,'REFERENCIAS'!$H$8))&gt;0.00000001,FALSE)),1,0)))),2)</f>
      </c>
      <c r="T473" s="29">
        <f>IFERROR(IF(N473=0,"",IF(NOT(AND(LEN(TRIM('DATOS'!F473&amp;""))&gt;0,TRIM('DATOS'!F473&amp;"")&lt;&gt;"Pendiente",TRIM('DATOS'!F473&amp;"")&lt;&gt;"Por confirmar",TRIM('DATOS'!F473&amp;"")&lt;&gt;"No consta",TRIM('DATOS'!F473&amp;"")&lt;&gt;"Desconocido",TRIM('DATOS'!F473&amp;"")&lt;&gt;"Sin confirmar",TRIM('DATOS'!F473&amp;"")&lt;&gt;"Por decidir",TRIM('DATOS'!F473&amp;"")&lt;&gt;"Por comprobar")),2,IF(COUNTIFS('REFERENCIAS'!$T$15:$T$34,"ID:"&amp;SUBSTITUTE(SUBSTITUTE(SUBSTITUTE(SUBSTITUTE(UPPER(TRIM('DATOS'!F473&amp;"")),"!","!E"),"*","!A"),"?","!B"),"~","!C"),'REFERENCIAS'!$H$15:$H$34,"&lt;&gt;")&gt;0,0,1))),2)</f>
      </c>
      <c r="U473" s="29" t="str">
        <f>'DATOS'!R473</f>
        <v>ID:</v>
      </c>
      <c r="V473" s="29" t="str">
        <f>'DATOS'!S473</f>
        <v>ID:</v>
      </c>
      <c r="W473" s="29" t="n">
        <f>IF(N473=0,0,COUNTIFS('REFERENCIAS'!$R$15:$R$64,U473))</f>
        <v>0</v>
      </c>
      <c r="X473" s="29" t="n">
        <f>IF(N473=0,0,COUNTIFS('DATOS'!$R$10:$R$509,U473,'DATOS'!$S$10:$S$509,V473))</f>
        <v>0</v>
      </c>
      <c r="Y473" s="29" t="n">
        <f>IF(AND(ISNUMBER('DATOS'!G473),ISNUMBER('DATOS'!H473),ISNUMBER('DATOS'!J473)),1,0)</f>
        <v>0</v>
      </c>
    </row>
    <row r="474" ht="64" customHeight="1">
      <c r="B474" s="26">
        <f>IF(N474=1,465,"")</f>
      </c>
      <c r="C474" s="26">
        <f>IF(AND(N474=1,LEN(TRIM('DATOS'!B474&amp;""))&gt;0),'DATOS'!B474,"")</f>
      </c>
      <c r="D474" s="26">
        <f>IF(AND(N474=1,LEN(TRIM('DATOS'!C474&amp;""))&gt;0),'DATOS'!C474,"")</f>
      </c>
      <c r="E474" s="26">
        <f>IF(NOT(ISNUMBER(P474)),"",IF(P474=2,"ROJO",IF(P474=1,"ÁMBAR","VERDE")))</f>
      </c>
      <c r="F474" s="26">
        <f>IF(NOT(ISNUMBER(Q474)),"",IF(Q474=2,"ROJO",IF(Q474=1,"ÁMBAR","VERDE")))</f>
      </c>
      <c r="G474" s="26">
        <f>IF(NOT(ISNUMBER(R474)),"",IF(R474=2,"ROJO",IF(R474=1,"ÁMBAR","VERDE")))</f>
      </c>
      <c r="H474" s="26">
        <f>IF(NOT(ISNUMBER(S474)),"",IF(S474=2,"ROJO",IF(S474=1,"ÁMBAR","VERDE")))</f>
      </c>
      <c r="I474" s="26">
        <f>IF(NOT(ISNUMBER(T474)),"",IF(T474=2,"ROJO",IF(T474=1,"ÁMBAR","VERDE")))</f>
      </c>
      <c r="J474" s="26">
        <f>IF(NOT(ISNUMBER(O474)),"",IF(O474=2,"ROJO",IF(O474=1,"ÁMBAR","VERDE")))</f>
      </c>
      <c r="K474" s="26">
        <f>IFERROR(IF(AND(N474=1,LEN(TRIM('DATOS'!N474&amp;""))&gt;0),'DATOS'!N474,""),"Hay una entrada con error. Corregimos el dato antes de cerrar la comprobación.")</f>
      </c>
      <c r="L474" s="26">
        <f>IFERROR(IF(N474=0,"",IF(O474&gt;0,"Completamos datos, claves o motivo. ","")&amp;IF(P474&gt;0,"Cotejamos precios e importe. ","")&amp;IF(Q474&gt;0,"Aclaramos el cero. ","")&amp;IF(R474&gt;0,"Comprobamos el texto. ","")&amp;IF(S474&gt;0,"Revisamos decimales visibles. ","")&amp;IF(T474&gt;0,"Confirmamos la unidad.","")),"Hay una entrada con error. Corregimos el dato antes de cerrar la comprobación.")</f>
      </c>
      <c r="N474" s="29" t="n">
        <f>IF(COUNTA('DATOS'!B474:O474)&gt;0,1,0)</f>
        <v>0</v>
      </c>
      <c r="O474" s="29">
        <f>IFERROR(IF(N474=0,"",IF(OR(NOT(AND(LEN(TRIM('DATOS'!B474&amp;""))&gt;0,TRIM('DATOS'!B474&amp;"")&lt;&gt;"Pendiente",TRIM('DATOS'!B474&amp;"")&lt;&gt;"Por confirmar",TRIM('DATOS'!B474&amp;"")&lt;&gt;"No consta",TRIM('DATOS'!B474&amp;"")&lt;&gt;"Desconocido",TRIM('DATOS'!B474&amp;"")&lt;&gt;"Sin confirmar",TRIM('DATOS'!B474&amp;"")&lt;&gt;"Por decidir",TRIM('DATOS'!B474&amp;"")&lt;&gt;"Por comprobar")),NOT(AND(LEN(TRIM('DATOS'!C474&amp;""))&gt;0,TRIM('DATOS'!C474&amp;"")&lt;&gt;"Pendiente",TRIM('DATOS'!C474&amp;"")&lt;&gt;"Por confirmar",TRIM('DATOS'!C474&amp;"")&lt;&gt;"No consta",TRIM('DATOS'!C474&amp;"")&lt;&gt;"Desconocido",TRIM('DATOS'!C474&amp;"")&lt;&gt;"Sin confirmar",TRIM('DATOS'!C474&amp;"")&lt;&gt;"Por decidir",TRIM('DATOS'!C474&amp;"")&lt;&gt;"Por comprobar")),NOT(AND(LEN(TRIM('DATOS'!D474&amp;""))&gt;0,TRIM('DATOS'!D474&amp;"")&lt;&gt;"Pendiente",TRIM('DATOS'!D474&amp;"")&lt;&gt;"Por confirmar",TRIM('DATOS'!D474&amp;"")&lt;&gt;"No consta",TRIM('DATOS'!D474&amp;"")&lt;&gt;"Desconocido",TRIM('DATOS'!D474&amp;"")&lt;&gt;"Sin confirmar",TRIM('DATOS'!D474&amp;"")&lt;&gt;"Por decidir",TRIM('DATOS'!D474&amp;"")&lt;&gt;"Por comprobar")),NOT(AND(LEN(TRIM('DATOS'!E474&amp;""))&gt;0,TRIM('DATOS'!E474&amp;"")&lt;&gt;"Pendiente",TRIM('DATOS'!E474&amp;"")&lt;&gt;"Por confirmar",TRIM('DATOS'!E474&amp;"")&lt;&gt;"No consta",TRIM('DATOS'!E474&amp;"")&lt;&gt;"Desconocido",TRIM('DATOS'!E474&amp;"")&lt;&gt;"Sin confirmar",TRIM('DATOS'!E474&amp;"")&lt;&gt;"Por decidir",TRIM('DATOS'!E474&amp;"")&lt;&gt;"Por comprobar")),NOT(AND(LEN(TRIM('DATOS'!F474&amp;""))&gt;0,TRIM('DATOS'!F474&amp;"")&lt;&gt;"Pendiente",TRIM('DATOS'!F474&amp;"")&lt;&gt;"Por confirmar",TRIM('DATOS'!F474&amp;"")&lt;&gt;"No consta",TRIM('DATOS'!F474&amp;"")&lt;&gt;"Desconocido",TRIM('DATOS'!F474&amp;"")&lt;&gt;"Sin confirmar",TRIM('DATOS'!F474&amp;"")&lt;&gt;"Por decidir",TRIM('DATOS'!F474&amp;"")&lt;&gt;"Por comprobar")),NOT(AND(LEN(TRIM('DATOS'!N474&amp;""))&gt;0,TRIM('DATOS'!N474&amp;"")&lt;&gt;"Pendiente",TRIM('DATOS'!N474&amp;"")&lt;&gt;"Por confirmar",TRIM('DATOS'!N474&amp;"")&lt;&gt;"No consta",TRIM('DATOS'!N474&amp;"")&lt;&gt;"Desconocido",TRIM('DATOS'!N474&amp;"")&lt;&gt;"Sin confirmar",TRIM('DATOS'!N474&amp;"")&lt;&gt;"Por decidir",TRIM('DATOS'!N474&amp;"")&lt;&gt;"Por comprobar")),NOT(Y474=1),W474&lt;&gt;1,X474&gt;1,NOT(OR(LEN(TRIM('DATOS'!K474&amp;""))=0,'DATOS'!K474="Sin valorar",'DATOS'!K474="Sin coste documentado",'DATOS'!K474="Incluido en otra partida",'DATOS'!K474="Por confirmar")),NOT(OR(LEN(TRIM('DATOS'!M474&amp;""))=0,'DATOS'!M474="Sí",'DATOS'!M474="No",'DATOS'!M474="Por confirmar")),NOT(OR(LEN(TRIM('DATOS'!O474&amp;""))=0,'DATOS'!O474="Comparamos",'DATOS'!O474="No existe",'DATOS'!O474="Por confirmar"))),2,IF(AND(OR('DATOS'!G474&lt;0,'DATOS'!H474&lt;0,'DATOS'!J474&lt;0),NOT(AND(LEN(TRIM('DATOS'!L474&amp;""))&gt;0,TRIM('DATOS'!L474&amp;"")&lt;&gt;"Pendiente",TRIM('DATOS'!L474&amp;"")&lt;&gt;"Por confirmar",TRIM('DATOS'!L474&amp;"")&lt;&gt;"No consta",TRIM('DATOS'!L474&amp;"")&lt;&gt;"Desconocido",TRIM('DATOS'!L474&amp;"")&lt;&gt;"Sin confirmar",TRIM('DATOS'!L474&amp;"")&lt;&gt;"Por decidir",TRIM('DATOS'!L474&amp;"")&lt;&gt;"Por comprobar"))),1,0))),2)</f>
      </c>
      <c r="P474" s="29">
        <f>IFERROR(IF(N474=0,"",IF(NOT(Y474=1),1,IF('REFERENCIAS'!$Q$8&lt;&gt;1,2,IF(ABS('DATOS'!J474-ROUND('DATOS'!G474*'DATOS'!H474,'REFERENCIAS'!$K$8))&gt;0.00000001,2,IF('DATOS'!O474="No existe",IF(LEN(TRIM('DATOS'!I474&amp;""))=0,0,2),IF('DATOS'!O474="Comparamos",IF(LEN(TRIM('DATOS'!I474&amp;""))=0,1,IF(ISNUMBER('DATOS'!I474),IF(ABS('DATOS'!H474-'DATOS'!I474)&gt;0.00000001,2,0),2)),1)))))),2)</f>
      </c>
      <c r="Q474" s="29">
        <f>IFERROR(IF(N474=0,"",IF(NOT(Y474=1),1,IF('DATOS'!K474="Sin valorar",2,IF('DATOS'!G474=0,1,IF(OR('DATOS'!H474=0,'DATOS'!J474=0),IF(AND(OR('DATOS'!K474="Sin coste documentado",'DATOS'!K474="Incluido en otra partida"),AND(LEN(TRIM('DATOS'!L474&amp;""))&gt;0,TRIM('DATOS'!L474&amp;"")&lt;&gt;"Pendiente",TRIM('DATOS'!L474&amp;"")&lt;&gt;"Por confirmar",TRIM('DATOS'!L474&amp;"")&lt;&gt;"No consta",TRIM('DATOS'!L474&amp;"")&lt;&gt;"Desconocido",TRIM('DATOS'!L474&amp;"")&lt;&gt;"Sin confirmar",TRIM('DATOS'!L474&amp;"")&lt;&gt;"Por decidir",TRIM('DATOS'!L474&amp;"")&lt;&gt;"Por comprobar")),0,1),0))))),2)</f>
      </c>
      <c r="R474" s="29">
        <f>IFERROR(IF(N474=0,"",IF(OR(NOT(AND(LEN(TRIM('DATOS'!D474&amp;""))&gt;0,TRIM('DATOS'!D474&amp;"")&lt;&gt;"Pendiente",TRIM('DATOS'!D474&amp;"")&lt;&gt;"Por confirmar",TRIM('DATOS'!D474&amp;"")&lt;&gt;"No consta",TRIM('DATOS'!D474&amp;"")&lt;&gt;"Desconocido",TRIM('DATOS'!D474&amp;"")&lt;&gt;"Sin confirmar",TRIM('DATOS'!D474&amp;"")&lt;&gt;"Por decidir",TRIM('DATOS'!D474&amp;"")&lt;&gt;"Por comprobar")),NOT(AND(LEN(TRIM('DATOS'!E474&amp;""))&gt;0,TRIM('DATOS'!E474&amp;"")&lt;&gt;"Pendiente",TRIM('DATOS'!E474&amp;"")&lt;&gt;"Por confirmar",TRIM('DATOS'!E474&amp;"")&lt;&gt;"No consta",TRIM('DATOS'!E474&amp;"")&lt;&gt;"Desconocido",TRIM('DATOS'!E474&amp;"")&lt;&gt;"Sin confirmar",TRIM('DATOS'!E474&amp;"")&lt;&gt;"Por decidir",TRIM('DATOS'!E474&amp;"")&lt;&gt;"Por comprobar"))),2,IF('DATOS'!M474="No",2,IF('DATOS'!M474="Sí",0,IF(OR('DATOS'!D474&lt;&gt;'DATOS'!E474,LEN('DATOS'!E474)&gt;300,RIGHT(TRIM('DATOS'!E474),3)="...",RIGHT(TRIM('DATOS'!E474),1)="…"),1,0))))),2)</f>
      </c>
      <c r="S474" s="29">
        <f>IFERROR(IF(N474=0,"",IF('REFERENCIAS'!$Q$8&lt;&gt;1,2,IF(NOT(Y474=1),1,IF(OR(ABS('DATOS'!G474-ROUND('DATOS'!G474,'REFERENCIAS'!$E$8))&gt;0.00000001,ABS('DATOS'!H474-ROUND('DATOS'!H474,'REFERENCIAS'!$H$8))&gt;0.00000001,ABS('DATOS'!J474-ROUND('DATOS'!J474,'REFERENCIAS'!$K$8))&gt;0.00000001,IF(ISNUMBER('DATOS'!I474),ABS('DATOS'!I474-ROUND('DATOS'!I474,'REFERENCIAS'!$H$8))&gt;0.00000001,FALSE)),1,0)))),2)</f>
      </c>
      <c r="T474" s="29">
        <f>IFERROR(IF(N474=0,"",IF(NOT(AND(LEN(TRIM('DATOS'!F474&amp;""))&gt;0,TRIM('DATOS'!F474&amp;"")&lt;&gt;"Pendiente",TRIM('DATOS'!F474&amp;"")&lt;&gt;"Por confirmar",TRIM('DATOS'!F474&amp;"")&lt;&gt;"No consta",TRIM('DATOS'!F474&amp;"")&lt;&gt;"Desconocido",TRIM('DATOS'!F474&amp;"")&lt;&gt;"Sin confirmar",TRIM('DATOS'!F474&amp;"")&lt;&gt;"Por decidir",TRIM('DATOS'!F474&amp;"")&lt;&gt;"Por comprobar")),2,IF(COUNTIFS('REFERENCIAS'!$T$15:$T$34,"ID:"&amp;SUBSTITUTE(SUBSTITUTE(SUBSTITUTE(SUBSTITUTE(UPPER(TRIM('DATOS'!F474&amp;"")),"!","!E"),"*","!A"),"?","!B"),"~","!C"),'REFERENCIAS'!$H$15:$H$34,"&lt;&gt;")&gt;0,0,1))),2)</f>
      </c>
      <c r="U474" s="29" t="str">
        <f>'DATOS'!R474</f>
        <v>ID:</v>
      </c>
      <c r="V474" s="29" t="str">
        <f>'DATOS'!S474</f>
        <v>ID:</v>
      </c>
      <c r="W474" s="29" t="n">
        <f>IF(N474=0,0,COUNTIFS('REFERENCIAS'!$R$15:$R$64,U474))</f>
        <v>0</v>
      </c>
      <c r="X474" s="29" t="n">
        <f>IF(N474=0,0,COUNTIFS('DATOS'!$R$10:$R$509,U474,'DATOS'!$S$10:$S$509,V474))</f>
        <v>0</v>
      </c>
      <c r="Y474" s="29" t="n">
        <f>IF(AND(ISNUMBER('DATOS'!G474),ISNUMBER('DATOS'!H474),ISNUMBER('DATOS'!J474)),1,0)</f>
        <v>0</v>
      </c>
    </row>
    <row r="475" ht="64" customHeight="1">
      <c r="B475" s="26">
        <f>IF(N475=1,466,"")</f>
      </c>
      <c r="C475" s="26">
        <f>IF(AND(N475=1,LEN(TRIM('DATOS'!B475&amp;""))&gt;0),'DATOS'!B475,"")</f>
      </c>
      <c r="D475" s="26">
        <f>IF(AND(N475=1,LEN(TRIM('DATOS'!C475&amp;""))&gt;0),'DATOS'!C475,"")</f>
      </c>
      <c r="E475" s="26">
        <f>IF(NOT(ISNUMBER(P475)),"",IF(P475=2,"ROJO",IF(P475=1,"ÁMBAR","VERDE")))</f>
      </c>
      <c r="F475" s="26">
        <f>IF(NOT(ISNUMBER(Q475)),"",IF(Q475=2,"ROJO",IF(Q475=1,"ÁMBAR","VERDE")))</f>
      </c>
      <c r="G475" s="26">
        <f>IF(NOT(ISNUMBER(R475)),"",IF(R475=2,"ROJO",IF(R475=1,"ÁMBAR","VERDE")))</f>
      </c>
      <c r="H475" s="26">
        <f>IF(NOT(ISNUMBER(S475)),"",IF(S475=2,"ROJO",IF(S475=1,"ÁMBAR","VERDE")))</f>
      </c>
      <c r="I475" s="26">
        <f>IF(NOT(ISNUMBER(T475)),"",IF(T475=2,"ROJO",IF(T475=1,"ÁMBAR","VERDE")))</f>
      </c>
      <c r="J475" s="26">
        <f>IF(NOT(ISNUMBER(O475)),"",IF(O475=2,"ROJO",IF(O475=1,"ÁMBAR","VERDE")))</f>
      </c>
      <c r="K475" s="26">
        <f>IFERROR(IF(AND(N475=1,LEN(TRIM('DATOS'!N475&amp;""))&gt;0),'DATOS'!N475,""),"Hay una entrada con error. Corregimos el dato antes de cerrar la comprobación.")</f>
      </c>
      <c r="L475" s="26">
        <f>IFERROR(IF(N475=0,"",IF(O475&gt;0,"Completamos datos, claves o motivo. ","")&amp;IF(P475&gt;0,"Cotejamos precios e importe. ","")&amp;IF(Q475&gt;0,"Aclaramos el cero. ","")&amp;IF(R475&gt;0,"Comprobamos el texto. ","")&amp;IF(S475&gt;0,"Revisamos decimales visibles. ","")&amp;IF(T475&gt;0,"Confirmamos la unidad.","")),"Hay una entrada con error. Corregimos el dato antes de cerrar la comprobación.")</f>
      </c>
      <c r="N475" s="29" t="n">
        <f>IF(COUNTA('DATOS'!B475:O475)&gt;0,1,0)</f>
        <v>0</v>
      </c>
      <c r="O475" s="29">
        <f>IFERROR(IF(N475=0,"",IF(OR(NOT(AND(LEN(TRIM('DATOS'!B475&amp;""))&gt;0,TRIM('DATOS'!B475&amp;"")&lt;&gt;"Pendiente",TRIM('DATOS'!B475&amp;"")&lt;&gt;"Por confirmar",TRIM('DATOS'!B475&amp;"")&lt;&gt;"No consta",TRIM('DATOS'!B475&amp;"")&lt;&gt;"Desconocido",TRIM('DATOS'!B475&amp;"")&lt;&gt;"Sin confirmar",TRIM('DATOS'!B475&amp;"")&lt;&gt;"Por decidir",TRIM('DATOS'!B475&amp;"")&lt;&gt;"Por comprobar")),NOT(AND(LEN(TRIM('DATOS'!C475&amp;""))&gt;0,TRIM('DATOS'!C475&amp;"")&lt;&gt;"Pendiente",TRIM('DATOS'!C475&amp;"")&lt;&gt;"Por confirmar",TRIM('DATOS'!C475&amp;"")&lt;&gt;"No consta",TRIM('DATOS'!C475&amp;"")&lt;&gt;"Desconocido",TRIM('DATOS'!C475&amp;"")&lt;&gt;"Sin confirmar",TRIM('DATOS'!C475&amp;"")&lt;&gt;"Por decidir",TRIM('DATOS'!C475&amp;"")&lt;&gt;"Por comprobar")),NOT(AND(LEN(TRIM('DATOS'!D475&amp;""))&gt;0,TRIM('DATOS'!D475&amp;"")&lt;&gt;"Pendiente",TRIM('DATOS'!D475&amp;"")&lt;&gt;"Por confirmar",TRIM('DATOS'!D475&amp;"")&lt;&gt;"No consta",TRIM('DATOS'!D475&amp;"")&lt;&gt;"Desconocido",TRIM('DATOS'!D475&amp;"")&lt;&gt;"Sin confirmar",TRIM('DATOS'!D475&amp;"")&lt;&gt;"Por decidir",TRIM('DATOS'!D475&amp;"")&lt;&gt;"Por comprobar")),NOT(AND(LEN(TRIM('DATOS'!E475&amp;""))&gt;0,TRIM('DATOS'!E475&amp;"")&lt;&gt;"Pendiente",TRIM('DATOS'!E475&amp;"")&lt;&gt;"Por confirmar",TRIM('DATOS'!E475&amp;"")&lt;&gt;"No consta",TRIM('DATOS'!E475&amp;"")&lt;&gt;"Desconocido",TRIM('DATOS'!E475&amp;"")&lt;&gt;"Sin confirmar",TRIM('DATOS'!E475&amp;"")&lt;&gt;"Por decidir",TRIM('DATOS'!E475&amp;"")&lt;&gt;"Por comprobar")),NOT(AND(LEN(TRIM('DATOS'!F475&amp;""))&gt;0,TRIM('DATOS'!F475&amp;"")&lt;&gt;"Pendiente",TRIM('DATOS'!F475&amp;"")&lt;&gt;"Por confirmar",TRIM('DATOS'!F475&amp;"")&lt;&gt;"No consta",TRIM('DATOS'!F475&amp;"")&lt;&gt;"Desconocido",TRIM('DATOS'!F475&amp;"")&lt;&gt;"Sin confirmar",TRIM('DATOS'!F475&amp;"")&lt;&gt;"Por decidir",TRIM('DATOS'!F475&amp;"")&lt;&gt;"Por comprobar")),NOT(AND(LEN(TRIM('DATOS'!N475&amp;""))&gt;0,TRIM('DATOS'!N475&amp;"")&lt;&gt;"Pendiente",TRIM('DATOS'!N475&amp;"")&lt;&gt;"Por confirmar",TRIM('DATOS'!N475&amp;"")&lt;&gt;"No consta",TRIM('DATOS'!N475&amp;"")&lt;&gt;"Desconocido",TRIM('DATOS'!N475&amp;"")&lt;&gt;"Sin confirmar",TRIM('DATOS'!N475&amp;"")&lt;&gt;"Por decidir",TRIM('DATOS'!N475&amp;"")&lt;&gt;"Por comprobar")),NOT(Y475=1),W475&lt;&gt;1,X475&gt;1,NOT(OR(LEN(TRIM('DATOS'!K475&amp;""))=0,'DATOS'!K475="Sin valorar",'DATOS'!K475="Sin coste documentado",'DATOS'!K475="Incluido en otra partida",'DATOS'!K475="Por confirmar")),NOT(OR(LEN(TRIM('DATOS'!M475&amp;""))=0,'DATOS'!M475="Sí",'DATOS'!M475="No",'DATOS'!M475="Por confirmar")),NOT(OR(LEN(TRIM('DATOS'!O475&amp;""))=0,'DATOS'!O475="Comparamos",'DATOS'!O475="No existe",'DATOS'!O475="Por confirmar"))),2,IF(AND(OR('DATOS'!G475&lt;0,'DATOS'!H475&lt;0,'DATOS'!J475&lt;0),NOT(AND(LEN(TRIM('DATOS'!L475&amp;""))&gt;0,TRIM('DATOS'!L475&amp;"")&lt;&gt;"Pendiente",TRIM('DATOS'!L475&amp;"")&lt;&gt;"Por confirmar",TRIM('DATOS'!L475&amp;"")&lt;&gt;"No consta",TRIM('DATOS'!L475&amp;"")&lt;&gt;"Desconocido",TRIM('DATOS'!L475&amp;"")&lt;&gt;"Sin confirmar",TRIM('DATOS'!L475&amp;"")&lt;&gt;"Por decidir",TRIM('DATOS'!L475&amp;"")&lt;&gt;"Por comprobar"))),1,0))),2)</f>
      </c>
      <c r="P475" s="29">
        <f>IFERROR(IF(N475=0,"",IF(NOT(Y475=1),1,IF('REFERENCIAS'!$Q$8&lt;&gt;1,2,IF(ABS('DATOS'!J475-ROUND('DATOS'!G475*'DATOS'!H475,'REFERENCIAS'!$K$8))&gt;0.00000001,2,IF('DATOS'!O475="No existe",IF(LEN(TRIM('DATOS'!I475&amp;""))=0,0,2),IF('DATOS'!O475="Comparamos",IF(LEN(TRIM('DATOS'!I475&amp;""))=0,1,IF(ISNUMBER('DATOS'!I475),IF(ABS('DATOS'!H475-'DATOS'!I475)&gt;0.00000001,2,0),2)),1)))))),2)</f>
      </c>
      <c r="Q475" s="29">
        <f>IFERROR(IF(N475=0,"",IF(NOT(Y475=1),1,IF('DATOS'!K475="Sin valorar",2,IF('DATOS'!G475=0,1,IF(OR('DATOS'!H475=0,'DATOS'!J475=0),IF(AND(OR('DATOS'!K475="Sin coste documentado",'DATOS'!K475="Incluido en otra partida"),AND(LEN(TRIM('DATOS'!L475&amp;""))&gt;0,TRIM('DATOS'!L475&amp;"")&lt;&gt;"Pendiente",TRIM('DATOS'!L475&amp;"")&lt;&gt;"Por confirmar",TRIM('DATOS'!L475&amp;"")&lt;&gt;"No consta",TRIM('DATOS'!L475&amp;"")&lt;&gt;"Desconocido",TRIM('DATOS'!L475&amp;"")&lt;&gt;"Sin confirmar",TRIM('DATOS'!L475&amp;"")&lt;&gt;"Por decidir",TRIM('DATOS'!L475&amp;"")&lt;&gt;"Por comprobar")),0,1),0))))),2)</f>
      </c>
      <c r="R475" s="29">
        <f>IFERROR(IF(N475=0,"",IF(OR(NOT(AND(LEN(TRIM('DATOS'!D475&amp;""))&gt;0,TRIM('DATOS'!D475&amp;"")&lt;&gt;"Pendiente",TRIM('DATOS'!D475&amp;"")&lt;&gt;"Por confirmar",TRIM('DATOS'!D475&amp;"")&lt;&gt;"No consta",TRIM('DATOS'!D475&amp;"")&lt;&gt;"Desconocido",TRIM('DATOS'!D475&amp;"")&lt;&gt;"Sin confirmar",TRIM('DATOS'!D475&amp;"")&lt;&gt;"Por decidir",TRIM('DATOS'!D475&amp;"")&lt;&gt;"Por comprobar")),NOT(AND(LEN(TRIM('DATOS'!E475&amp;""))&gt;0,TRIM('DATOS'!E475&amp;"")&lt;&gt;"Pendiente",TRIM('DATOS'!E475&amp;"")&lt;&gt;"Por confirmar",TRIM('DATOS'!E475&amp;"")&lt;&gt;"No consta",TRIM('DATOS'!E475&amp;"")&lt;&gt;"Desconocido",TRIM('DATOS'!E475&amp;"")&lt;&gt;"Sin confirmar",TRIM('DATOS'!E475&amp;"")&lt;&gt;"Por decidir",TRIM('DATOS'!E475&amp;"")&lt;&gt;"Por comprobar"))),2,IF('DATOS'!M475="No",2,IF('DATOS'!M475="Sí",0,IF(OR('DATOS'!D475&lt;&gt;'DATOS'!E475,LEN('DATOS'!E475)&gt;300,RIGHT(TRIM('DATOS'!E475),3)="...",RIGHT(TRIM('DATOS'!E475),1)="…"),1,0))))),2)</f>
      </c>
      <c r="S475" s="29">
        <f>IFERROR(IF(N475=0,"",IF('REFERENCIAS'!$Q$8&lt;&gt;1,2,IF(NOT(Y475=1),1,IF(OR(ABS('DATOS'!G475-ROUND('DATOS'!G475,'REFERENCIAS'!$E$8))&gt;0.00000001,ABS('DATOS'!H475-ROUND('DATOS'!H475,'REFERENCIAS'!$H$8))&gt;0.00000001,ABS('DATOS'!J475-ROUND('DATOS'!J475,'REFERENCIAS'!$K$8))&gt;0.00000001,IF(ISNUMBER('DATOS'!I475),ABS('DATOS'!I475-ROUND('DATOS'!I475,'REFERENCIAS'!$H$8))&gt;0.00000001,FALSE)),1,0)))),2)</f>
      </c>
      <c r="T475" s="29">
        <f>IFERROR(IF(N475=0,"",IF(NOT(AND(LEN(TRIM('DATOS'!F475&amp;""))&gt;0,TRIM('DATOS'!F475&amp;"")&lt;&gt;"Pendiente",TRIM('DATOS'!F475&amp;"")&lt;&gt;"Por confirmar",TRIM('DATOS'!F475&amp;"")&lt;&gt;"No consta",TRIM('DATOS'!F475&amp;"")&lt;&gt;"Desconocido",TRIM('DATOS'!F475&amp;"")&lt;&gt;"Sin confirmar",TRIM('DATOS'!F475&amp;"")&lt;&gt;"Por decidir",TRIM('DATOS'!F475&amp;"")&lt;&gt;"Por comprobar")),2,IF(COUNTIFS('REFERENCIAS'!$T$15:$T$34,"ID:"&amp;SUBSTITUTE(SUBSTITUTE(SUBSTITUTE(SUBSTITUTE(UPPER(TRIM('DATOS'!F475&amp;"")),"!","!E"),"*","!A"),"?","!B"),"~","!C"),'REFERENCIAS'!$H$15:$H$34,"&lt;&gt;")&gt;0,0,1))),2)</f>
      </c>
      <c r="U475" s="29" t="str">
        <f>'DATOS'!R475</f>
        <v>ID:</v>
      </c>
      <c r="V475" s="29" t="str">
        <f>'DATOS'!S475</f>
        <v>ID:</v>
      </c>
      <c r="W475" s="29" t="n">
        <f>IF(N475=0,0,COUNTIFS('REFERENCIAS'!$R$15:$R$64,U475))</f>
        <v>0</v>
      </c>
      <c r="X475" s="29" t="n">
        <f>IF(N475=0,0,COUNTIFS('DATOS'!$R$10:$R$509,U475,'DATOS'!$S$10:$S$509,V475))</f>
        <v>0</v>
      </c>
      <c r="Y475" s="29" t="n">
        <f>IF(AND(ISNUMBER('DATOS'!G475),ISNUMBER('DATOS'!H475),ISNUMBER('DATOS'!J475)),1,0)</f>
        <v>0</v>
      </c>
    </row>
    <row r="476" ht="64" customHeight="1">
      <c r="B476" s="26">
        <f>IF(N476=1,467,"")</f>
      </c>
      <c r="C476" s="26">
        <f>IF(AND(N476=1,LEN(TRIM('DATOS'!B476&amp;""))&gt;0),'DATOS'!B476,"")</f>
      </c>
      <c r="D476" s="26">
        <f>IF(AND(N476=1,LEN(TRIM('DATOS'!C476&amp;""))&gt;0),'DATOS'!C476,"")</f>
      </c>
      <c r="E476" s="26">
        <f>IF(NOT(ISNUMBER(P476)),"",IF(P476=2,"ROJO",IF(P476=1,"ÁMBAR","VERDE")))</f>
      </c>
      <c r="F476" s="26">
        <f>IF(NOT(ISNUMBER(Q476)),"",IF(Q476=2,"ROJO",IF(Q476=1,"ÁMBAR","VERDE")))</f>
      </c>
      <c r="G476" s="26">
        <f>IF(NOT(ISNUMBER(R476)),"",IF(R476=2,"ROJO",IF(R476=1,"ÁMBAR","VERDE")))</f>
      </c>
      <c r="H476" s="26">
        <f>IF(NOT(ISNUMBER(S476)),"",IF(S476=2,"ROJO",IF(S476=1,"ÁMBAR","VERDE")))</f>
      </c>
      <c r="I476" s="26">
        <f>IF(NOT(ISNUMBER(T476)),"",IF(T476=2,"ROJO",IF(T476=1,"ÁMBAR","VERDE")))</f>
      </c>
      <c r="J476" s="26">
        <f>IF(NOT(ISNUMBER(O476)),"",IF(O476=2,"ROJO",IF(O476=1,"ÁMBAR","VERDE")))</f>
      </c>
      <c r="K476" s="26">
        <f>IFERROR(IF(AND(N476=1,LEN(TRIM('DATOS'!N476&amp;""))&gt;0),'DATOS'!N476,""),"Hay una entrada con error. Corregimos el dato antes de cerrar la comprobación.")</f>
      </c>
      <c r="L476" s="26">
        <f>IFERROR(IF(N476=0,"",IF(O476&gt;0,"Completamos datos, claves o motivo. ","")&amp;IF(P476&gt;0,"Cotejamos precios e importe. ","")&amp;IF(Q476&gt;0,"Aclaramos el cero. ","")&amp;IF(R476&gt;0,"Comprobamos el texto. ","")&amp;IF(S476&gt;0,"Revisamos decimales visibles. ","")&amp;IF(T476&gt;0,"Confirmamos la unidad.","")),"Hay una entrada con error. Corregimos el dato antes de cerrar la comprobación.")</f>
      </c>
      <c r="N476" s="29" t="n">
        <f>IF(COUNTA('DATOS'!B476:O476)&gt;0,1,0)</f>
        <v>0</v>
      </c>
      <c r="O476" s="29">
        <f>IFERROR(IF(N476=0,"",IF(OR(NOT(AND(LEN(TRIM('DATOS'!B476&amp;""))&gt;0,TRIM('DATOS'!B476&amp;"")&lt;&gt;"Pendiente",TRIM('DATOS'!B476&amp;"")&lt;&gt;"Por confirmar",TRIM('DATOS'!B476&amp;"")&lt;&gt;"No consta",TRIM('DATOS'!B476&amp;"")&lt;&gt;"Desconocido",TRIM('DATOS'!B476&amp;"")&lt;&gt;"Sin confirmar",TRIM('DATOS'!B476&amp;"")&lt;&gt;"Por decidir",TRIM('DATOS'!B476&amp;"")&lt;&gt;"Por comprobar")),NOT(AND(LEN(TRIM('DATOS'!C476&amp;""))&gt;0,TRIM('DATOS'!C476&amp;"")&lt;&gt;"Pendiente",TRIM('DATOS'!C476&amp;"")&lt;&gt;"Por confirmar",TRIM('DATOS'!C476&amp;"")&lt;&gt;"No consta",TRIM('DATOS'!C476&amp;"")&lt;&gt;"Desconocido",TRIM('DATOS'!C476&amp;"")&lt;&gt;"Sin confirmar",TRIM('DATOS'!C476&amp;"")&lt;&gt;"Por decidir",TRIM('DATOS'!C476&amp;"")&lt;&gt;"Por comprobar")),NOT(AND(LEN(TRIM('DATOS'!D476&amp;""))&gt;0,TRIM('DATOS'!D476&amp;"")&lt;&gt;"Pendiente",TRIM('DATOS'!D476&amp;"")&lt;&gt;"Por confirmar",TRIM('DATOS'!D476&amp;"")&lt;&gt;"No consta",TRIM('DATOS'!D476&amp;"")&lt;&gt;"Desconocido",TRIM('DATOS'!D476&amp;"")&lt;&gt;"Sin confirmar",TRIM('DATOS'!D476&amp;"")&lt;&gt;"Por decidir",TRIM('DATOS'!D476&amp;"")&lt;&gt;"Por comprobar")),NOT(AND(LEN(TRIM('DATOS'!E476&amp;""))&gt;0,TRIM('DATOS'!E476&amp;"")&lt;&gt;"Pendiente",TRIM('DATOS'!E476&amp;"")&lt;&gt;"Por confirmar",TRIM('DATOS'!E476&amp;"")&lt;&gt;"No consta",TRIM('DATOS'!E476&amp;"")&lt;&gt;"Desconocido",TRIM('DATOS'!E476&amp;"")&lt;&gt;"Sin confirmar",TRIM('DATOS'!E476&amp;"")&lt;&gt;"Por decidir",TRIM('DATOS'!E476&amp;"")&lt;&gt;"Por comprobar")),NOT(AND(LEN(TRIM('DATOS'!F476&amp;""))&gt;0,TRIM('DATOS'!F476&amp;"")&lt;&gt;"Pendiente",TRIM('DATOS'!F476&amp;"")&lt;&gt;"Por confirmar",TRIM('DATOS'!F476&amp;"")&lt;&gt;"No consta",TRIM('DATOS'!F476&amp;"")&lt;&gt;"Desconocido",TRIM('DATOS'!F476&amp;"")&lt;&gt;"Sin confirmar",TRIM('DATOS'!F476&amp;"")&lt;&gt;"Por decidir",TRIM('DATOS'!F476&amp;"")&lt;&gt;"Por comprobar")),NOT(AND(LEN(TRIM('DATOS'!N476&amp;""))&gt;0,TRIM('DATOS'!N476&amp;"")&lt;&gt;"Pendiente",TRIM('DATOS'!N476&amp;"")&lt;&gt;"Por confirmar",TRIM('DATOS'!N476&amp;"")&lt;&gt;"No consta",TRIM('DATOS'!N476&amp;"")&lt;&gt;"Desconocido",TRIM('DATOS'!N476&amp;"")&lt;&gt;"Sin confirmar",TRIM('DATOS'!N476&amp;"")&lt;&gt;"Por decidir",TRIM('DATOS'!N476&amp;"")&lt;&gt;"Por comprobar")),NOT(Y476=1),W476&lt;&gt;1,X476&gt;1,NOT(OR(LEN(TRIM('DATOS'!K476&amp;""))=0,'DATOS'!K476="Sin valorar",'DATOS'!K476="Sin coste documentado",'DATOS'!K476="Incluido en otra partida",'DATOS'!K476="Por confirmar")),NOT(OR(LEN(TRIM('DATOS'!M476&amp;""))=0,'DATOS'!M476="Sí",'DATOS'!M476="No",'DATOS'!M476="Por confirmar")),NOT(OR(LEN(TRIM('DATOS'!O476&amp;""))=0,'DATOS'!O476="Comparamos",'DATOS'!O476="No existe",'DATOS'!O476="Por confirmar"))),2,IF(AND(OR('DATOS'!G476&lt;0,'DATOS'!H476&lt;0,'DATOS'!J476&lt;0),NOT(AND(LEN(TRIM('DATOS'!L476&amp;""))&gt;0,TRIM('DATOS'!L476&amp;"")&lt;&gt;"Pendiente",TRIM('DATOS'!L476&amp;"")&lt;&gt;"Por confirmar",TRIM('DATOS'!L476&amp;"")&lt;&gt;"No consta",TRIM('DATOS'!L476&amp;"")&lt;&gt;"Desconocido",TRIM('DATOS'!L476&amp;"")&lt;&gt;"Sin confirmar",TRIM('DATOS'!L476&amp;"")&lt;&gt;"Por decidir",TRIM('DATOS'!L476&amp;"")&lt;&gt;"Por comprobar"))),1,0))),2)</f>
      </c>
      <c r="P476" s="29">
        <f>IFERROR(IF(N476=0,"",IF(NOT(Y476=1),1,IF('REFERENCIAS'!$Q$8&lt;&gt;1,2,IF(ABS('DATOS'!J476-ROUND('DATOS'!G476*'DATOS'!H476,'REFERENCIAS'!$K$8))&gt;0.00000001,2,IF('DATOS'!O476="No existe",IF(LEN(TRIM('DATOS'!I476&amp;""))=0,0,2),IF('DATOS'!O476="Comparamos",IF(LEN(TRIM('DATOS'!I476&amp;""))=0,1,IF(ISNUMBER('DATOS'!I476),IF(ABS('DATOS'!H476-'DATOS'!I476)&gt;0.00000001,2,0),2)),1)))))),2)</f>
      </c>
      <c r="Q476" s="29">
        <f>IFERROR(IF(N476=0,"",IF(NOT(Y476=1),1,IF('DATOS'!K476="Sin valorar",2,IF('DATOS'!G476=0,1,IF(OR('DATOS'!H476=0,'DATOS'!J476=0),IF(AND(OR('DATOS'!K476="Sin coste documentado",'DATOS'!K476="Incluido en otra partida"),AND(LEN(TRIM('DATOS'!L476&amp;""))&gt;0,TRIM('DATOS'!L476&amp;"")&lt;&gt;"Pendiente",TRIM('DATOS'!L476&amp;"")&lt;&gt;"Por confirmar",TRIM('DATOS'!L476&amp;"")&lt;&gt;"No consta",TRIM('DATOS'!L476&amp;"")&lt;&gt;"Desconocido",TRIM('DATOS'!L476&amp;"")&lt;&gt;"Sin confirmar",TRIM('DATOS'!L476&amp;"")&lt;&gt;"Por decidir",TRIM('DATOS'!L476&amp;"")&lt;&gt;"Por comprobar")),0,1),0))))),2)</f>
      </c>
      <c r="R476" s="29">
        <f>IFERROR(IF(N476=0,"",IF(OR(NOT(AND(LEN(TRIM('DATOS'!D476&amp;""))&gt;0,TRIM('DATOS'!D476&amp;"")&lt;&gt;"Pendiente",TRIM('DATOS'!D476&amp;"")&lt;&gt;"Por confirmar",TRIM('DATOS'!D476&amp;"")&lt;&gt;"No consta",TRIM('DATOS'!D476&amp;"")&lt;&gt;"Desconocido",TRIM('DATOS'!D476&amp;"")&lt;&gt;"Sin confirmar",TRIM('DATOS'!D476&amp;"")&lt;&gt;"Por decidir",TRIM('DATOS'!D476&amp;"")&lt;&gt;"Por comprobar")),NOT(AND(LEN(TRIM('DATOS'!E476&amp;""))&gt;0,TRIM('DATOS'!E476&amp;"")&lt;&gt;"Pendiente",TRIM('DATOS'!E476&amp;"")&lt;&gt;"Por confirmar",TRIM('DATOS'!E476&amp;"")&lt;&gt;"No consta",TRIM('DATOS'!E476&amp;"")&lt;&gt;"Desconocido",TRIM('DATOS'!E476&amp;"")&lt;&gt;"Sin confirmar",TRIM('DATOS'!E476&amp;"")&lt;&gt;"Por decidir",TRIM('DATOS'!E476&amp;"")&lt;&gt;"Por comprobar"))),2,IF('DATOS'!M476="No",2,IF('DATOS'!M476="Sí",0,IF(OR('DATOS'!D476&lt;&gt;'DATOS'!E476,LEN('DATOS'!E476)&gt;300,RIGHT(TRIM('DATOS'!E476),3)="...",RIGHT(TRIM('DATOS'!E476),1)="…"),1,0))))),2)</f>
      </c>
      <c r="S476" s="29">
        <f>IFERROR(IF(N476=0,"",IF('REFERENCIAS'!$Q$8&lt;&gt;1,2,IF(NOT(Y476=1),1,IF(OR(ABS('DATOS'!G476-ROUND('DATOS'!G476,'REFERENCIAS'!$E$8))&gt;0.00000001,ABS('DATOS'!H476-ROUND('DATOS'!H476,'REFERENCIAS'!$H$8))&gt;0.00000001,ABS('DATOS'!J476-ROUND('DATOS'!J476,'REFERENCIAS'!$K$8))&gt;0.00000001,IF(ISNUMBER('DATOS'!I476),ABS('DATOS'!I476-ROUND('DATOS'!I476,'REFERENCIAS'!$H$8))&gt;0.00000001,FALSE)),1,0)))),2)</f>
      </c>
      <c r="T476" s="29">
        <f>IFERROR(IF(N476=0,"",IF(NOT(AND(LEN(TRIM('DATOS'!F476&amp;""))&gt;0,TRIM('DATOS'!F476&amp;"")&lt;&gt;"Pendiente",TRIM('DATOS'!F476&amp;"")&lt;&gt;"Por confirmar",TRIM('DATOS'!F476&amp;"")&lt;&gt;"No consta",TRIM('DATOS'!F476&amp;"")&lt;&gt;"Desconocido",TRIM('DATOS'!F476&amp;"")&lt;&gt;"Sin confirmar",TRIM('DATOS'!F476&amp;"")&lt;&gt;"Por decidir",TRIM('DATOS'!F476&amp;"")&lt;&gt;"Por comprobar")),2,IF(COUNTIFS('REFERENCIAS'!$T$15:$T$34,"ID:"&amp;SUBSTITUTE(SUBSTITUTE(SUBSTITUTE(SUBSTITUTE(UPPER(TRIM('DATOS'!F476&amp;"")),"!","!E"),"*","!A"),"?","!B"),"~","!C"),'REFERENCIAS'!$H$15:$H$34,"&lt;&gt;")&gt;0,0,1))),2)</f>
      </c>
      <c r="U476" s="29" t="str">
        <f>'DATOS'!R476</f>
        <v>ID:</v>
      </c>
      <c r="V476" s="29" t="str">
        <f>'DATOS'!S476</f>
        <v>ID:</v>
      </c>
      <c r="W476" s="29" t="n">
        <f>IF(N476=0,0,COUNTIFS('REFERENCIAS'!$R$15:$R$64,U476))</f>
        <v>0</v>
      </c>
      <c r="X476" s="29" t="n">
        <f>IF(N476=0,0,COUNTIFS('DATOS'!$R$10:$R$509,U476,'DATOS'!$S$10:$S$509,V476))</f>
        <v>0</v>
      </c>
      <c r="Y476" s="29" t="n">
        <f>IF(AND(ISNUMBER('DATOS'!G476),ISNUMBER('DATOS'!H476),ISNUMBER('DATOS'!J476)),1,0)</f>
        <v>0</v>
      </c>
    </row>
    <row r="477" ht="64" customHeight="1">
      <c r="B477" s="26">
        <f>IF(N477=1,468,"")</f>
      </c>
      <c r="C477" s="26">
        <f>IF(AND(N477=1,LEN(TRIM('DATOS'!B477&amp;""))&gt;0),'DATOS'!B477,"")</f>
      </c>
      <c r="D477" s="26">
        <f>IF(AND(N477=1,LEN(TRIM('DATOS'!C477&amp;""))&gt;0),'DATOS'!C477,"")</f>
      </c>
      <c r="E477" s="26">
        <f>IF(NOT(ISNUMBER(P477)),"",IF(P477=2,"ROJO",IF(P477=1,"ÁMBAR","VERDE")))</f>
      </c>
      <c r="F477" s="26">
        <f>IF(NOT(ISNUMBER(Q477)),"",IF(Q477=2,"ROJO",IF(Q477=1,"ÁMBAR","VERDE")))</f>
      </c>
      <c r="G477" s="26">
        <f>IF(NOT(ISNUMBER(R477)),"",IF(R477=2,"ROJO",IF(R477=1,"ÁMBAR","VERDE")))</f>
      </c>
      <c r="H477" s="26">
        <f>IF(NOT(ISNUMBER(S477)),"",IF(S477=2,"ROJO",IF(S477=1,"ÁMBAR","VERDE")))</f>
      </c>
      <c r="I477" s="26">
        <f>IF(NOT(ISNUMBER(T477)),"",IF(T477=2,"ROJO",IF(T477=1,"ÁMBAR","VERDE")))</f>
      </c>
      <c r="J477" s="26">
        <f>IF(NOT(ISNUMBER(O477)),"",IF(O477=2,"ROJO",IF(O477=1,"ÁMBAR","VERDE")))</f>
      </c>
      <c r="K477" s="26">
        <f>IFERROR(IF(AND(N477=1,LEN(TRIM('DATOS'!N477&amp;""))&gt;0),'DATOS'!N477,""),"Hay una entrada con error. Corregimos el dato antes de cerrar la comprobación.")</f>
      </c>
      <c r="L477" s="26">
        <f>IFERROR(IF(N477=0,"",IF(O477&gt;0,"Completamos datos, claves o motivo. ","")&amp;IF(P477&gt;0,"Cotejamos precios e importe. ","")&amp;IF(Q477&gt;0,"Aclaramos el cero. ","")&amp;IF(R477&gt;0,"Comprobamos el texto. ","")&amp;IF(S477&gt;0,"Revisamos decimales visibles. ","")&amp;IF(T477&gt;0,"Confirmamos la unidad.","")),"Hay una entrada con error. Corregimos el dato antes de cerrar la comprobación.")</f>
      </c>
      <c r="N477" s="29" t="n">
        <f>IF(COUNTA('DATOS'!B477:O477)&gt;0,1,0)</f>
        <v>0</v>
      </c>
      <c r="O477" s="29">
        <f>IFERROR(IF(N477=0,"",IF(OR(NOT(AND(LEN(TRIM('DATOS'!B477&amp;""))&gt;0,TRIM('DATOS'!B477&amp;"")&lt;&gt;"Pendiente",TRIM('DATOS'!B477&amp;"")&lt;&gt;"Por confirmar",TRIM('DATOS'!B477&amp;"")&lt;&gt;"No consta",TRIM('DATOS'!B477&amp;"")&lt;&gt;"Desconocido",TRIM('DATOS'!B477&amp;"")&lt;&gt;"Sin confirmar",TRIM('DATOS'!B477&amp;"")&lt;&gt;"Por decidir",TRIM('DATOS'!B477&amp;"")&lt;&gt;"Por comprobar")),NOT(AND(LEN(TRIM('DATOS'!C477&amp;""))&gt;0,TRIM('DATOS'!C477&amp;"")&lt;&gt;"Pendiente",TRIM('DATOS'!C477&amp;"")&lt;&gt;"Por confirmar",TRIM('DATOS'!C477&amp;"")&lt;&gt;"No consta",TRIM('DATOS'!C477&amp;"")&lt;&gt;"Desconocido",TRIM('DATOS'!C477&amp;"")&lt;&gt;"Sin confirmar",TRIM('DATOS'!C477&amp;"")&lt;&gt;"Por decidir",TRIM('DATOS'!C477&amp;"")&lt;&gt;"Por comprobar")),NOT(AND(LEN(TRIM('DATOS'!D477&amp;""))&gt;0,TRIM('DATOS'!D477&amp;"")&lt;&gt;"Pendiente",TRIM('DATOS'!D477&amp;"")&lt;&gt;"Por confirmar",TRIM('DATOS'!D477&amp;"")&lt;&gt;"No consta",TRIM('DATOS'!D477&amp;"")&lt;&gt;"Desconocido",TRIM('DATOS'!D477&amp;"")&lt;&gt;"Sin confirmar",TRIM('DATOS'!D477&amp;"")&lt;&gt;"Por decidir",TRIM('DATOS'!D477&amp;"")&lt;&gt;"Por comprobar")),NOT(AND(LEN(TRIM('DATOS'!E477&amp;""))&gt;0,TRIM('DATOS'!E477&amp;"")&lt;&gt;"Pendiente",TRIM('DATOS'!E477&amp;"")&lt;&gt;"Por confirmar",TRIM('DATOS'!E477&amp;"")&lt;&gt;"No consta",TRIM('DATOS'!E477&amp;"")&lt;&gt;"Desconocido",TRIM('DATOS'!E477&amp;"")&lt;&gt;"Sin confirmar",TRIM('DATOS'!E477&amp;"")&lt;&gt;"Por decidir",TRIM('DATOS'!E477&amp;"")&lt;&gt;"Por comprobar")),NOT(AND(LEN(TRIM('DATOS'!F477&amp;""))&gt;0,TRIM('DATOS'!F477&amp;"")&lt;&gt;"Pendiente",TRIM('DATOS'!F477&amp;"")&lt;&gt;"Por confirmar",TRIM('DATOS'!F477&amp;"")&lt;&gt;"No consta",TRIM('DATOS'!F477&amp;"")&lt;&gt;"Desconocido",TRIM('DATOS'!F477&amp;"")&lt;&gt;"Sin confirmar",TRIM('DATOS'!F477&amp;"")&lt;&gt;"Por decidir",TRIM('DATOS'!F477&amp;"")&lt;&gt;"Por comprobar")),NOT(AND(LEN(TRIM('DATOS'!N477&amp;""))&gt;0,TRIM('DATOS'!N477&amp;"")&lt;&gt;"Pendiente",TRIM('DATOS'!N477&amp;"")&lt;&gt;"Por confirmar",TRIM('DATOS'!N477&amp;"")&lt;&gt;"No consta",TRIM('DATOS'!N477&amp;"")&lt;&gt;"Desconocido",TRIM('DATOS'!N477&amp;"")&lt;&gt;"Sin confirmar",TRIM('DATOS'!N477&amp;"")&lt;&gt;"Por decidir",TRIM('DATOS'!N477&amp;"")&lt;&gt;"Por comprobar")),NOT(Y477=1),W477&lt;&gt;1,X477&gt;1,NOT(OR(LEN(TRIM('DATOS'!K477&amp;""))=0,'DATOS'!K477="Sin valorar",'DATOS'!K477="Sin coste documentado",'DATOS'!K477="Incluido en otra partida",'DATOS'!K477="Por confirmar")),NOT(OR(LEN(TRIM('DATOS'!M477&amp;""))=0,'DATOS'!M477="Sí",'DATOS'!M477="No",'DATOS'!M477="Por confirmar")),NOT(OR(LEN(TRIM('DATOS'!O477&amp;""))=0,'DATOS'!O477="Comparamos",'DATOS'!O477="No existe",'DATOS'!O477="Por confirmar"))),2,IF(AND(OR('DATOS'!G477&lt;0,'DATOS'!H477&lt;0,'DATOS'!J477&lt;0),NOT(AND(LEN(TRIM('DATOS'!L477&amp;""))&gt;0,TRIM('DATOS'!L477&amp;"")&lt;&gt;"Pendiente",TRIM('DATOS'!L477&amp;"")&lt;&gt;"Por confirmar",TRIM('DATOS'!L477&amp;"")&lt;&gt;"No consta",TRIM('DATOS'!L477&amp;"")&lt;&gt;"Desconocido",TRIM('DATOS'!L477&amp;"")&lt;&gt;"Sin confirmar",TRIM('DATOS'!L477&amp;"")&lt;&gt;"Por decidir",TRIM('DATOS'!L477&amp;"")&lt;&gt;"Por comprobar"))),1,0))),2)</f>
      </c>
      <c r="P477" s="29">
        <f>IFERROR(IF(N477=0,"",IF(NOT(Y477=1),1,IF('REFERENCIAS'!$Q$8&lt;&gt;1,2,IF(ABS('DATOS'!J477-ROUND('DATOS'!G477*'DATOS'!H477,'REFERENCIAS'!$K$8))&gt;0.00000001,2,IF('DATOS'!O477="No existe",IF(LEN(TRIM('DATOS'!I477&amp;""))=0,0,2),IF('DATOS'!O477="Comparamos",IF(LEN(TRIM('DATOS'!I477&amp;""))=0,1,IF(ISNUMBER('DATOS'!I477),IF(ABS('DATOS'!H477-'DATOS'!I477)&gt;0.00000001,2,0),2)),1)))))),2)</f>
      </c>
      <c r="Q477" s="29">
        <f>IFERROR(IF(N477=0,"",IF(NOT(Y477=1),1,IF('DATOS'!K477="Sin valorar",2,IF('DATOS'!G477=0,1,IF(OR('DATOS'!H477=0,'DATOS'!J477=0),IF(AND(OR('DATOS'!K477="Sin coste documentado",'DATOS'!K477="Incluido en otra partida"),AND(LEN(TRIM('DATOS'!L477&amp;""))&gt;0,TRIM('DATOS'!L477&amp;"")&lt;&gt;"Pendiente",TRIM('DATOS'!L477&amp;"")&lt;&gt;"Por confirmar",TRIM('DATOS'!L477&amp;"")&lt;&gt;"No consta",TRIM('DATOS'!L477&amp;"")&lt;&gt;"Desconocido",TRIM('DATOS'!L477&amp;"")&lt;&gt;"Sin confirmar",TRIM('DATOS'!L477&amp;"")&lt;&gt;"Por decidir",TRIM('DATOS'!L477&amp;"")&lt;&gt;"Por comprobar")),0,1),0))))),2)</f>
      </c>
      <c r="R477" s="29">
        <f>IFERROR(IF(N477=0,"",IF(OR(NOT(AND(LEN(TRIM('DATOS'!D477&amp;""))&gt;0,TRIM('DATOS'!D477&amp;"")&lt;&gt;"Pendiente",TRIM('DATOS'!D477&amp;"")&lt;&gt;"Por confirmar",TRIM('DATOS'!D477&amp;"")&lt;&gt;"No consta",TRIM('DATOS'!D477&amp;"")&lt;&gt;"Desconocido",TRIM('DATOS'!D477&amp;"")&lt;&gt;"Sin confirmar",TRIM('DATOS'!D477&amp;"")&lt;&gt;"Por decidir",TRIM('DATOS'!D477&amp;"")&lt;&gt;"Por comprobar")),NOT(AND(LEN(TRIM('DATOS'!E477&amp;""))&gt;0,TRIM('DATOS'!E477&amp;"")&lt;&gt;"Pendiente",TRIM('DATOS'!E477&amp;"")&lt;&gt;"Por confirmar",TRIM('DATOS'!E477&amp;"")&lt;&gt;"No consta",TRIM('DATOS'!E477&amp;"")&lt;&gt;"Desconocido",TRIM('DATOS'!E477&amp;"")&lt;&gt;"Sin confirmar",TRIM('DATOS'!E477&amp;"")&lt;&gt;"Por decidir",TRIM('DATOS'!E477&amp;"")&lt;&gt;"Por comprobar"))),2,IF('DATOS'!M477="No",2,IF('DATOS'!M477="Sí",0,IF(OR('DATOS'!D477&lt;&gt;'DATOS'!E477,LEN('DATOS'!E477)&gt;300,RIGHT(TRIM('DATOS'!E477),3)="...",RIGHT(TRIM('DATOS'!E477),1)="…"),1,0))))),2)</f>
      </c>
      <c r="S477" s="29">
        <f>IFERROR(IF(N477=0,"",IF('REFERENCIAS'!$Q$8&lt;&gt;1,2,IF(NOT(Y477=1),1,IF(OR(ABS('DATOS'!G477-ROUND('DATOS'!G477,'REFERENCIAS'!$E$8))&gt;0.00000001,ABS('DATOS'!H477-ROUND('DATOS'!H477,'REFERENCIAS'!$H$8))&gt;0.00000001,ABS('DATOS'!J477-ROUND('DATOS'!J477,'REFERENCIAS'!$K$8))&gt;0.00000001,IF(ISNUMBER('DATOS'!I477),ABS('DATOS'!I477-ROUND('DATOS'!I477,'REFERENCIAS'!$H$8))&gt;0.00000001,FALSE)),1,0)))),2)</f>
      </c>
      <c r="T477" s="29">
        <f>IFERROR(IF(N477=0,"",IF(NOT(AND(LEN(TRIM('DATOS'!F477&amp;""))&gt;0,TRIM('DATOS'!F477&amp;"")&lt;&gt;"Pendiente",TRIM('DATOS'!F477&amp;"")&lt;&gt;"Por confirmar",TRIM('DATOS'!F477&amp;"")&lt;&gt;"No consta",TRIM('DATOS'!F477&amp;"")&lt;&gt;"Desconocido",TRIM('DATOS'!F477&amp;"")&lt;&gt;"Sin confirmar",TRIM('DATOS'!F477&amp;"")&lt;&gt;"Por decidir",TRIM('DATOS'!F477&amp;"")&lt;&gt;"Por comprobar")),2,IF(COUNTIFS('REFERENCIAS'!$T$15:$T$34,"ID:"&amp;SUBSTITUTE(SUBSTITUTE(SUBSTITUTE(SUBSTITUTE(UPPER(TRIM('DATOS'!F477&amp;"")),"!","!E"),"*","!A"),"?","!B"),"~","!C"),'REFERENCIAS'!$H$15:$H$34,"&lt;&gt;")&gt;0,0,1))),2)</f>
      </c>
      <c r="U477" s="29" t="str">
        <f>'DATOS'!R477</f>
        <v>ID:</v>
      </c>
      <c r="V477" s="29" t="str">
        <f>'DATOS'!S477</f>
        <v>ID:</v>
      </c>
      <c r="W477" s="29" t="n">
        <f>IF(N477=0,0,COUNTIFS('REFERENCIAS'!$R$15:$R$64,U477))</f>
        <v>0</v>
      </c>
      <c r="X477" s="29" t="n">
        <f>IF(N477=0,0,COUNTIFS('DATOS'!$R$10:$R$509,U477,'DATOS'!$S$10:$S$509,V477))</f>
        <v>0</v>
      </c>
      <c r="Y477" s="29" t="n">
        <f>IF(AND(ISNUMBER('DATOS'!G477),ISNUMBER('DATOS'!H477),ISNUMBER('DATOS'!J477)),1,0)</f>
        <v>0</v>
      </c>
    </row>
    <row r="478" ht="64" customHeight="1">
      <c r="B478" s="26">
        <f>IF(N478=1,469,"")</f>
      </c>
      <c r="C478" s="26">
        <f>IF(AND(N478=1,LEN(TRIM('DATOS'!B478&amp;""))&gt;0),'DATOS'!B478,"")</f>
      </c>
      <c r="D478" s="26">
        <f>IF(AND(N478=1,LEN(TRIM('DATOS'!C478&amp;""))&gt;0),'DATOS'!C478,"")</f>
      </c>
      <c r="E478" s="26">
        <f>IF(NOT(ISNUMBER(P478)),"",IF(P478=2,"ROJO",IF(P478=1,"ÁMBAR","VERDE")))</f>
      </c>
      <c r="F478" s="26">
        <f>IF(NOT(ISNUMBER(Q478)),"",IF(Q478=2,"ROJO",IF(Q478=1,"ÁMBAR","VERDE")))</f>
      </c>
      <c r="G478" s="26">
        <f>IF(NOT(ISNUMBER(R478)),"",IF(R478=2,"ROJO",IF(R478=1,"ÁMBAR","VERDE")))</f>
      </c>
      <c r="H478" s="26">
        <f>IF(NOT(ISNUMBER(S478)),"",IF(S478=2,"ROJO",IF(S478=1,"ÁMBAR","VERDE")))</f>
      </c>
      <c r="I478" s="26">
        <f>IF(NOT(ISNUMBER(T478)),"",IF(T478=2,"ROJO",IF(T478=1,"ÁMBAR","VERDE")))</f>
      </c>
      <c r="J478" s="26">
        <f>IF(NOT(ISNUMBER(O478)),"",IF(O478=2,"ROJO",IF(O478=1,"ÁMBAR","VERDE")))</f>
      </c>
      <c r="K478" s="26">
        <f>IFERROR(IF(AND(N478=1,LEN(TRIM('DATOS'!N478&amp;""))&gt;0),'DATOS'!N478,""),"Hay una entrada con error. Corregimos el dato antes de cerrar la comprobación.")</f>
      </c>
      <c r="L478" s="26">
        <f>IFERROR(IF(N478=0,"",IF(O478&gt;0,"Completamos datos, claves o motivo. ","")&amp;IF(P478&gt;0,"Cotejamos precios e importe. ","")&amp;IF(Q478&gt;0,"Aclaramos el cero. ","")&amp;IF(R478&gt;0,"Comprobamos el texto. ","")&amp;IF(S478&gt;0,"Revisamos decimales visibles. ","")&amp;IF(T478&gt;0,"Confirmamos la unidad.","")),"Hay una entrada con error. Corregimos el dato antes de cerrar la comprobación.")</f>
      </c>
      <c r="N478" s="29" t="n">
        <f>IF(COUNTA('DATOS'!B478:O478)&gt;0,1,0)</f>
        <v>0</v>
      </c>
      <c r="O478" s="29">
        <f>IFERROR(IF(N478=0,"",IF(OR(NOT(AND(LEN(TRIM('DATOS'!B478&amp;""))&gt;0,TRIM('DATOS'!B478&amp;"")&lt;&gt;"Pendiente",TRIM('DATOS'!B478&amp;"")&lt;&gt;"Por confirmar",TRIM('DATOS'!B478&amp;"")&lt;&gt;"No consta",TRIM('DATOS'!B478&amp;"")&lt;&gt;"Desconocido",TRIM('DATOS'!B478&amp;"")&lt;&gt;"Sin confirmar",TRIM('DATOS'!B478&amp;"")&lt;&gt;"Por decidir",TRIM('DATOS'!B478&amp;"")&lt;&gt;"Por comprobar")),NOT(AND(LEN(TRIM('DATOS'!C478&amp;""))&gt;0,TRIM('DATOS'!C478&amp;"")&lt;&gt;"Pendiente",TRIM('DATOS'!C478&amp;"")&lt;&gt;"Por confirmar",TRIM('DATOS'!C478&amp;"")&lt;&gt;"No consta",TRIM('DATOS'!C478&amp;"")&lt;&gt;"Desconocido",TRIM('DATOS'!C478&amp;"")&lt;&gt;"Sin confirmar",TRIM('DATOS'!C478&amp;"")&lt;&gt;"Por decidir",TRIM('DATOS'!C478&amp;"")&lt;&gt;"Por comprobar")),NOT(AND(LEN(TRIM('DATOS'!D478&amp;""))&gt;0,TRIM('DATOS'!D478&amp;"")&lt;&gt;"Pendiente",TRIM('DATOS'!D478&amp;"")&lt;&gt;"Por confirmar",TRIM('DATOS'!D478&amp;"")&lt;&gt;"No consta",TRIM('DATOS'!D478&amp;"")&lt;&gt;"Desconocido",TRIM('DATOS'!D478&amp;"")&lt;&gt;"Sin confirmar",TRIM('DATOS'!D478&amp;"")&lt;&gt;"Por decidir",TRIM('DATOS'!D478&amp;"")&lt;&gt;"Por comprobar")),NOT(AND(LEN(TRIM('DATOS'!E478&amp;""))&gt;0,TRIM('DATOS'!E478&amp;"")&lt;&gt;"Pendiente",TRIM('DATOS'!E478&amp;"")&lt;&gt;"Por confirmar",TRIM('DATOS'!E478&amp;"")&lt;&gt;"No consta",TRIM('DATOS'!E478&amp;"")&lt;&gt;"Desconocido",TRIM('DATOS'!E478&amp;"")&lt;&gt;"Sin confirmar",TRIM('DATOS'!E478&amp;"")&lt;&gt;"Por decidir",TRIM('DATOS'!E478&amp;"")&lt;&gt;"Por comprobar")),NOT(AND(LEN(TRIM('DATOS'!F478&amp;""))&gt;0,TRIM('DATOS'!F478&amp;"")&lt;&gt;"Pendiente",TRIM('DATOS'!F478&amp;"")&lt;&gt;"Por confirmar",TRIM('DATOS'!F478&amp;"")&lt;&gt;"No consta",TRIM('DATOS'!F478&amp;"")&lt;&gt;"Desconocido",TRIM('DATOS'!F478&amp;"")&lt;&gt;"Sin confirmar",TRIM('DATOS'!F478&amp;"")&lt;&gt;"Por decidir",TRIM('DATOS'!F478&amp;"")&lt;&gt;"Por comprobar")),NOT(AND(LEN(TRIM('DATOS'!N478&amp;""))&gt;0,TRIM('DATOS'!N478&amp;"")&lt;&gt;"Pendiente",TRIM('DATOS'!N478&amp;"")&lt;&gt;"Por confirmar",TRIM('DATOS'!N478&amp;"")&lt;&gt;"No consta",TRIM('DATOS'!N478&amp;"")&lt;&gt;"Desconocido",TRIM('DATOS'!N478&amp;"")&lt;&gt;"Sin confirmar",TRIM('DATOS'!N478&amp;"")&lt;&gt;"Por decidir",TRIM('DATOS'!N478&amp;"")&lt;&gt;"Por comprobar")),NOT(Y478=1),W478&lt;&gt;1,X478&gt;1,NOT(OR(LEN(TRIM('DATOS'!K478&amp;""))=0,'DATOS'!K478="Sin valorar",'DATOS'!K478="Sin coste documentado",'DATOS'!K478="Incluido en otra partida",'DATOS'!K478="Por confirmar")),NOT(OR(LEN(TRIM('DATOS'!M478&amp;""))=0,'DATOS'!M478="Sí",'DATOS'!M478="No",'DATOS'!M478="Por confirmar")),NOT(OR(LEN(TRIM('DATOS'!O478&amp;""))=0,'DATOS'!O478="Comparamos",'DATOS'!O478="No existe",'DATOS'!O478="Por confirmar"))),2,IF(AND(OR('DATOS'!G478&lt;0,'DATOS'!H478&lt;0,'DATOS'!J478&lt;0),NOT(AND(LEN(TRIM('DATOS'!L478&amp;""))&gt;0,TRIM('DATOS'!L478&amp;"")&lt;&gt;"Pendiente",TRIM('DATOS'!L478&amp;"")&lt;&gt;"Por confirmar",TRIM('DATOS'!L478&amp;"")&lt;&gt;"No consta",TRIM('DATOS'!L478&amp;"")&lt;&gt;"Desconocido",TRIM('DATOS'!L478&amp;"")&lt;&gt;"Sin confirmar",TRIM('DATOS'!L478&amp;"")&lt;&gt;"Por decidir",TRIM('DATOS'!L478&amp;"")&lt;&gt;"Por comprobar"))),1,0))),2)</f>
      </c>
      <c r="P478" s="29">
        <f>IFERROR(IF(N478=0,"",IF(NOT(Y478=1),1,IF('REFERENCIAS'!$Q$8&lt;&gt;1,2,IF(ABS('DATOS'!J478-ROUND('DATOS'!G478*'DATOS'!H478,'REFERENCIAS'!$K$8))&gt;0.00000001,2,IF('DATOS'!O478="No existe",IF(LEN(TRIM('DATOS'!I478&amp;""))=0,0,2),IF('DATOS'!O478="Comparamos",IF(LEN(TRIM('DATOS'!I478&amp;""))=0,1,IF(ISNUMBER('DATOS'!I478),IF(ABS('DATOS'!H478-'DATOS'!I478)&gt;0.00000001,2,0),2)),1)))))),2)</f>
      </c>
      <c r="Q478" s="29">
        <f>IFERROR(IF(N478=0,"",IF(NOT(Y478=1),1,IF('DATOS'!K478="Sin valorar",2,IF('DATOS'!G478=0,1,IF(OR('DATOS'!H478=0,'DATOS'!J478=0),IF(AND(OR('DATOS'!K478="Sin coste documentado",'DATOS'!K478="Incluido en otra partida"),AND(LEN(TRIM('DATOS'!L478&amp;""))&gt;0,TRIM('DATOS'!L478&amp;"")&lt;&gt;"Pendiente",TRIM('DATOS'!L478&amp;"")&lt;&gt;"Por confirmar",TRIM('DATOS'!L478&amp;"")&lt;&gt;"No consta",TRIM('DATOS'!L478&amp;"")&lt;&gt;"Desconocido",TRIM('DATOS'!L478&amp;"")&lt;&gt;"Sin confirmar",TRIM('DATOS'!L478&amp;"")&lt;&gt;"Por decidir",TRIM('DATOS'!L478&amp;"")&lt;&gt;"Por comprobar")),0,1),0))))),2)</f>
      </c>
      <c r="R478" s="29">
        <f>IFERROR(IF(N478=0,"",IF(OR(NOT(AND(LEN(TRIM('DATOS'!D478&amp;""))&gt;0,TRIM('DATOS'!D478&amp;"")&lt;&gt;"Pendiente",TRIM('DATOS'!D478&amp;"")&lt;&gt;"Por confirmar",TRIM('DATOS'!D478&amp;"")&lt;&gt;"No consta",TRIM('DATOS'!D478&amp;"")&lt;&gt;"Desconocido",TRIM('DATOS'!D478&amp;"")&lt;&gt;"Sin confirmar",TRIM('DATOS'!D478&amp;"")&lt;&gt;"Por decidir",TRIM('DATOS'!D478&amp;"")&lt;&gt;"Por comprobar")),NOT(AND(LEN(TRIM('DATOS'!E478&amp;""))&gt;0,TRIM('DATOS'!E478&amp;"")&lt;&gt;"Pendiente",TRIM('DATOS'!E478&amp;"")&lt;&gt;"Por confirmar",TRIM('DATOS'!E478&amp;"")&lt;&gt;"No consta",TRIM('DATOS'!E478&amp;"")&lt;&gt;"Desconocido",TRIM('DATOS'!E478&amp;"")&lt;&gt;"Sin confirmar",TRIM('DATOS'!E478&amp;"")&lt;&gt;"Por decidir",TRIM('DATOS'!E478&amp;"")&lt;&gt;"Por comprobar"))),2,IF('DATOS'!M478="No",2,IF('DATOS'!M478="Sí",0,IF(OR('DATOS'!D478&lt;&gt;'DATOS'!E478,LEN('DATOS'!E478)&gt;300,RIGHT(TRIM('DATOS'!E478),3)="...",RIGHT(TRIM('DATOS'!E478),1)="…"),1,0))))),2)</f>
      </c>
      <c r="S478" s="29">
        <f>IFERROR(IF(N478=0,"",IF('REFERENCIAS'!$Q$8&lt;&gt;1,2,IF(NOT(Y478=1),1,IF(OR(ABS('DATOS'!G478-ROUND('DATOS'!G478,'REFERENCIAS'!$E$8))&gt;0.00000001,ABS('DATOS'!H478-ROUND('DATOS'!H478,'REFERENCIAS'!$H$8))&gt;0.00000001,ABS('DATOS'!J478-ROUND('DATOS'!J478,'REFERENCIAS'!$K$8))&gt;0.00000001,IF(ISNUMBER('DATOS'!I478),ABS('DATOS'!I478-ROUND('DATOS'!I478,'REFERENCIAS'!$H$8))&gt;0.00000001,FALSE)),1,0)))),2)</f>
      </c>
      <c r="T478" s="29">
        <f>IFERROR(IF(N478=0,"",IF(NOT(AND(LEN(TRIM('DATOS'!F478&amp;""))&gt;0,TRIM('DATOS'!F478&amp;"")&lt;&gt;"Pendiente",TRIM('DATOS'!F478&amp;"")&lt;&gt;"Por confirmar",TRIM('DATOS'!F478&amp;"")&lt;&gt;"No consta",TRIM('DATOS'!F478&amp;"")&lt;&gt;"Desconocido",TRIM('DATOS'!F478&amp;"")&lt;&gt;"Sin confirmar",TRIM('DATOS'!F478&amp;"")&lt;&gt;"Por decidir",TRIM('DATOS'!F478&amp;"")&lt;&gt;"Por comprobar")),2,IF(COUNTIFS('REFERENCIAS'!$T$15:$T$34,"ID:"&amp;SUBSTITUTE(SUBSTITUTE(SUBSTITUTE(SUBSTITUTE(UPPER(TRIM('DATOS'!F478&amp;"")),"!","!E"),"*","!A"),"?","!B"),"~","!C"),'REFERENCIAS'!$H$15:$H$34,"&lt;&gt;")&gt;0,0,1))),2)</f>
      </c>
      <c r="U478" s="29" t="str">
        <f>'DATOS'!R478</f>
        <v>ID:</v>
      </c>
      <c r="V478" s="29" t="str">
        <f>'DATOS'!S478</f>
        <v>ID:</v>
      </c>
      <c r="W478" s="29" t="n">
        <f>IF(N478=0,0,COUNTIFS('REFERENCIAS'!$R$15:$R$64,U478))</f>
        <v>0</v>
      </c>
      <c r="X478" s="29" t="n">
        <f>IF(N478=0,0,COUNTIFS('DATOS'!$R$10:$R$509,U478,'DATOS'!$S$10:$S$509,V478))</f>
        <v>0</v>
      </c>
      <c r="Y478" s="29" t="n">
        <f>IF(AND(ISNUMBER('DATOS'!G478),ISNUMBER('DATOS'!H478),ISNUMBER('DATOS'!J478)),1,0)</f>
        <v>0</v>
      </c>
    </row>
    <row r="479" ht="64" customHeight="1">
      <c r="B479" s="26">
        <f>IF(N479=1,470,"")</f>
      </c>
      <c r="C479" s="26">
        <f>IF(AND(N479=1,LEN(TRIM('DATOS'!B479&amp;""))&gt;0),'DATOS'!B479,"")</f>
      </c>
      <c r="D479" s="26">
        <f>IF(AND(N479=1,LEN(TRIM('DATOS'!C479&amp;""))&gt;0),'DATOS'!C479,"")</f>
      </c>
      <c r="E479" s="26">
        <f>IF(NOT(ISNUMBER(P479)),"",IF(P479=2,"ROJO",IF(P479=1,"ÁMBAR","VERDE")))</f>
      </c>
      <c r="F479" s="26">
        <f>IF(NOT(ISNUMBER(Q479)),"",IF(Q479=2,"ROJO",IF(Q479=1,"ÁMBAR","VERDE")))</f>
      </c>
      <c r="G479" s="26">
        <f>IF(NOT(ISNUMBER(R479)),"",IF(R479=2,"ROJO",IF(R479=1,"ÁMBAR","VERDE")))</f>
      </c>
      <c r="H479" s="26">
        <f>IF(NOT(ISNUMBER(S479)),"",IF(S479=2,"ROJO",IF(S479=1,"ÁMBAR","VERDE")))</f>
      </c>
      <c r="I479" s="26">
        <f>IF(NOT(ISNUMBER(T479)),"",IF(T479=2,"ROJO",IF(T479=1,"ÁMBAR","VERDE")))</f>
      </c>
      <c r="J479" s="26">
        <f>IF(NOT(ISNUMBER(O479)),"",IF(O479=2,"ROJO",IF(O479=1,"ÁMBAR","VERDE")))</f>
      </c>
      <c r="K479" s="26">
        <f>IFERROR(IF(AND(N479=1,LEN(TRIM('DATOS'!N479&amp;""))&gt;0),'DATOS'!N479,""),"Hay una entrada con error. Corregimos el dato antes de cerrar la comprobación.")</f>
      </c>
      <c r="L479" s="26">
        <f>IFERROR(IF(N479=0,"",IF(O479&gt;0,"Completamos datos, claves o motivo. ","")&amp;IF(P479&gt;0,"Cotejamos precios e importe. ","")&amp;IF(Q479&gt;0,"Aclaramos el cero. ","")&amp;IF(R479&gt;0,"Comprobamos el texto. ","")&amp;IF(S479&gt;0,"Revisamos decimales visibles. ","")&amp;IF(T479&gt;0,"Confirmamos la unidad.","")),"Hay una entrada con error. Corregimos el dato antes de cerrar la comprobación.")</f>
      </c>
      <c r="N479" s="29" t="n">
        <f>IF(COUNTA('DATOS'!B479:O479)&gt;0,1,0)</f>
        <v>0</v>
      </c>
      <c r="O479" s="29">
        <f>IFERROR(IF(N479=0,"",IF(OR(NOT(AND(LEN(TRIM('DATOS'!B479&amp;""))&gt;0,TRIM('DATOS'!B479&amp;"")&lt;&gt;"Pendiente",TRIM('DATOS'!B479&amp;"")&lt;&gt;"Por confirmar",TRIM('DATOS'!B479&amp;"")&lt;&gt;"No consta",TRIM('DATOS'!B479&amp;"")&lt;&gt;"Desconocido",TRIM('DATOS'!B479&amp;"")&lt;&gt;"Sin confirmar",TRIM('DATOS'!B479&amp;"")&lt;&gt;"Por decidir",TRIM('DATOS'!B479&amp;"")&lt;&gt;"Por comprobar")),NOT(AND(LEN(TRIM('DATOS'!C479&amp;""))&gt;0,TRIM('DATOS'!C479&amp;"")&lt;&gt;"Pendiente",TRIM('DATOS'!C479&amp;"")&lt;&gt;"Por confirmar",TRIM('DATOS'!C479&amp;"")&lt;&gt;"No consta",TRIM('DATOS'!C479&amp;"")&lt;&gt;"Desconocido",TRIM('DATOS'!C479&amp;"")&lt;&gt;"Sin confirmar",TRIM('DATOS'!C479&amp;"")&lt;&gt;"Por decidir",TRIM('DATOS'!C479&amp;"")&lt;&gt;"Por comprobar")),NOT(AND(LEN(TRIM('DATOS'!D479&amp;""))&gt;0,TRIM('DATOS'!D479&amp;"")&lt;&gt;"Pendiente",TRIM('DATOS'!D479&amp;"")&lt;&gt;"Por confirmar",TRIM('DATOS'!D479&amp;"")&lt;&gt;"No consta",TRIM('DATOS'!D479&amp;"")&lt;&gt;"Desconocido",TRIM('DATOS'!D479&amp;"")&lt;&gt;"Sin confirmar",TRIM('DATOS'!D479&amp;"")&lt;&gt;"Por decidir",TRIM('DATOS'!D479&amp;"")&lt;&gt;"Por comprobar")),NOT(AND(LEN(TRIM('DATOS'!E479&amp;""))&gt;0,TRIM('DATOS'!E479&amp;"")&lt;&gt;"Pendiente",TRIM('DATOS'!E479&amp;"")&lt;&gt;"Por confirmar",TRIM('DATOS'!E479&amp;"")&lt;&gt;"No consta",TRIM('DATOS'!E479&amp;"")&lt;&gt;"Desconocido",TRIM('DATOS'!E479&amp;"")&lt;&gt;"Sin confirmar",TRIM('DATOS'!E479&amp;"")&lt;&gt;"Por decidir",TRIM('DATOS'!E479&amp;"")&lt;&gt;"Por comprobar")),NOT(AND(LEN(TRIM('DATOS'!F479&amp;""))&gt;0,TRIM('DATOS'!F479&amp;"")&lt;&gt;"Pendiente",TRIM('DATOS'!F479&amp;"")&lt;&gt;"Por confirmar",TRIM('DATOS'!F479&amp;"")&lt;&gt;"No consta",TRIM('DATOS'!F479&amp;"")&lt;&gt;"Desconocido",TRIM('DATOS'!F479&amp;"")&lt;&gt;"Sin confirmar",TRIM('DATOS'!F479&amp;"")&lt;&gt;"Por decidir",TRIM('DATOS'!F479&amp;"")&lt;&gt;"Por comprobar")),NOT(AND(LEN(TRIM('DATOS'!N479&amp;""))&gt;0,TRIM('DATOS'!N479&amp;"")&lt;&gt;"Pendiente",TRIM('DATOS'!N479&amp;"")&lt;&gt;"Por confirmar",TRIM('DATOS'!N479&amp;"")&lt;&gt;"No consta",TRIM('DATOS'!N479&amp;"")&lt;&gt;"Desconocido",TRIM('DATOS'!N479&amp;"")&lt;&gt;"Sin confirmar",TRIM('DATOS'!N479&amp;"")&lt;&gt;"Por decidir",TRIM('DATOS'!N479&amp;"")&lt;&gt;"Por comprobar")),NOT(Y479=1),W479&lt;&gt;1,X479&gt;1,NOT(OR(LEN(TRIM('DATOS'!K479&amp;""))=0,'DATOS'!K479="Sin valorar",'DATOS'!K479="Sin coste documentado",'DATOS'!K479="Incluido en otra partida",'DATOS'!K479="Por confirmar")),NOT(OR(LEN(TRIM('DATOS'!M479&amp;""))=0,'DATOS'!M479="Sí",'DATOS'!M479="No",'DATOS'!M479="Por confirmar")),NOT(OR(LEN(TRIM('DATOS'!O479&amp;""))=0,'DATOS'!O479="Comparamos",'DATOS'!O479="No existe",'DATOS'!O479="Por confirmar"))),2,IF(AND(OR('DATOS'!G479&lt;0,'DATOS'!H479&lt;0,'DATOS'!J479&lt;0),NOT(AND(LEN(TRIM('DATOS'!L479&amp;""))&gt;0,TRIM('DATOS'!L479&amp;"")&lt;&gt;"Pendiente",TRIM('DATOS'!L479&amp;"")&lt;&gt;"Por confirmar",TRIM('DATOS'!L479&amp;"")&lt;&gt;"No consta",TRIM('DATOS'!L479&amp;"")&lt;&gt;"Desconocido",TRIM('DATOS'!L479&amp;"")&lt;&gt;"Sin confirmar",TRIM('DATOS'!L479&amp;"")&lt;&gt;"Por decidir",TRIM('DATOS'!L479&amp;"")&lt;&gt;"Por comprobar"))),1,0))),2)</f>
      </c>
      <c r="P479" s="29">
        <f>IFERROR(IF(N479=0,"",IF(NOT(Y479=1),1,IF('REFERENCIAS'!$Q$8&lt;&gt;1,2,IF(ABS('DATOS'!J479-ROUND('DATOS'!G479*'DATOS'!H479,'REFERENCIAS'!$K$8))&gt;0.00000001,2,IF('DATOS'!O479="No existe",IF(LEN(TRIM('DATOS'!I479&amp;""))=0,0,2),IF('DATOS'!O479="Comparamos",IF(LEN(TRIM('DATOS'!I479&amp;""))=0,1,IF(ISNUMBER('DATOS'!I479),IF(ABS('DATOS'!H479-'DATOS'!I479)&gt;0.00000001,2,0),2)),1)))))),2)</f>
      </c>
      <c r="Q479" s="29">
        <f>IFERROR(IF(N479=0,"",IF(NOT(Y479=1),1,IF('DATOS'!K479="Sin valorar",2,IF('DATOS'!G479=0,1,IF(OR('DATOS'!H479=0,'DATOS'!J479=0),IF(AND(OR('DATOS'!K479="Sin coste documentado",'DATOS'!K479="Incluido en otra partida"),AND(LEN(TRIM('DATOS'!L479&amp;""))&gt;0,TRIM('DATOS'!L479&amp;"")&lt;&gt;"Pendiente",TRIM('DATOS'!L479&amp;"")&lt;&gt;"Por confirmar",TRIM('DATOS'!L479&amp;"")&lt;&gt;"No consta",TRIM('DATOS'!L479&amp;"")&lt;&gt;"Desconocido",TRIM('DATOS'!L479&amp;"")&lt;&gt;"Sin confirmar",TRIM('DATOS'!L479&amp;"")&lt;&gt;"Por decidir",TRIM('DATOS'!L479&amp;"")&lt;&gt;"Por comprobar")),0,1),0))))),2)</f>
      </c>
      <c r="R479" s="29">
        <f>IFERROR(IF(N479=0,"",IF(OR(NOT(AND(LEN(TRIM('DATOS'!D479&amp;""))&gt;0,TRIM('DATOS'!D479&amp;"")&lt;&gt;"Pendiente",TRIM('DATOS'!D479&amp;"")&lt;&gt;"Por confirmar",TRIM('DATOS'!D479&amp;"")&lt;&gt;"No consta",TRIM('DATOS'!D479&amp;"")&lt;&gt;"Desconocido",TRIM('DATOS'!D479&amp;"")&lt;&gt;"Sin confirmar",TRIM('DATOS'!D479&amp;"")&lt;&gt;"Por decidir",TRIM('DATOS'!D479&amp;"")&lt;&gt;"Por comprobar")),NOT(AND(LEN(TRIM('DATOS'!E479&amp;""))&gt;0,TRIM('DATOS'!E479&amp;"")&lt;&gt;"Pendiente",TRIM('DATOS'!E479&amp;"")&lt;&gt;"Por confirmar",TRIM('DATOS'!E479&amp;"")&lt;&gt;"No consta",TRIM('DATOS'!E479&amp;"")&lt;&gt;"Desconocido",TRIM('DATOS'!E479&amp;"")&lt;&gt;"Sin confirmar",TRIM('DATOS'!E479&amp;"")&lt;&gt;"Por decidir",TRIM('DATOS'!E479&amp;"")&lt;&gt;"Por comprobar"))),2,IF('DATOS'!M479="No",2,IF('DATOS'!M479="Sí",0,IF(OR('DATOS'!D479&lt;&gt;'DATOS'!E479,LEN('DATOS'!E479)&gt;300,RIGHT(TRIM('DATOS'!E479),3)="...",RIGHT(TRIM('DATOS'!E479),1)="…"),1,0))))),2)</f>
      </c>
      <c r="S479" s="29">
        <f>IFERROR(IF(N479=0,"",IF('REFERENCIAS'!$Q$8&lt;&gt;1,2,IF(NOT(Y479=1),1,IF(OR(ABS('DATOS'!G479-ROUND('DATOS'!G479,'REFERENCIAS'!$E$8))&gt;0.00000001,ABS('DATOS'!H479-ROUND('DATOS'!H479,'REFERENCIAS'!$H$8))&gt;0.00000001,ABS('DATOS'!J479-ROUND('DATOS'!J479,'REFERENCIAS'!$K$8))&gt;0.00000001,IF(ISNUMBER('DATOS'!I479),ABS('DATOS'!I479-ROUND('DATOS'!I479,'REFERENCIAS'!$H$8))&gt;0.00000001,FALSE)),1,0)))),2)</f>
      </c>
      <c r="T479" s="29">
        <f>IFERROR(IF(N479=0,"",IF(NOT(AND(LEN(TRIM('DATOS'!F479&amp;""))&gt;0,TRIM('DATOS'!F479&amp;"")&lt;&gt;"Pendiente",TRIM('DATOS'!F479&amp;"")&lt;&gt;"Por confirmar",TRIM('DATOS'!F479&amp;"")&lt;&gt;"No consta",TRIM('DATOS'!F479&amp;"")&lt;&gt;"Desconocido",TRIM('DATOS'!F479&amp;"")&lt;&gt;"Sin confirmar",TRIM('DATOS'!F479&amp;"")&lt;&gt;"Por decidir",TRIM('DATOS'!F479&amp;"")&lt;&gt;"Por comprobar")),2,IF(COUNTIFS('REFERENCIAS'!$T$15:$T$34,"ID:"&amp;SUBSTITUTE(SUBSTITUTE(SUBSTITUTE(SUBSTITUTE(UPPER(TRIM('DATOS'!F479&amp;"")),"!","!E"),"*","!A"),"?","!B"),"~","!C"),'REFERENCIAS'!$H$15:$H$34,"&lt;&gt;")&gt;0,0,1))),2)</f>
      </c>
      <c r="U479" s="29" t="str">
        <f>'DATOS'!R479</f>
        <v>ID:</v>
      </c>
      <c r="V479" s="29" t="str">
        <f>'DATOS'!S479</f>
        <v>ID:</v>
      </c>
      <c r="W479" s="29" t="n">
        <f>IF(N479=0,0,COUNTIFS('REFERENCIAS'!$R$15:$R$64,U479))</f>
        <v>0</v>
      </c>
      <c r="X479" s="29" t="n">
        <f>IF(N479=0,0,COUNTIFS('DATOS'!$R$10:$R$509,U479,'DATOS'!$S$10:$S$509,V479))</f>
        <v>0</v>
      </c>
      <c r="Y479" s="29" t="n">
        <f>IF(AND(ISNUMBER('DATOS'!G479),ISNUMBER('DATOS'!H479),ISNUMBER('DATOS'!J479)),1,0)</f>
        <v>0</v>
      </c>
    </row>
    <row r="480" ht="64" customHeight="1">
      <c r="B480" s="26">
        <f>IF(N480=1,471,"")</f>
      </c>
      <c r="C480" s="26">
        <f>IF(AND(N480=1,LEN(TRIM('DATOS'!B480&amp;""))&gt;0),'DATOS'!B480,"")</f>
      </c>
      <c r="D480" s="26">
        <f>IF(AND(N480=1,LEN(TRIM('DATOS'!C480&amp;""))&gt;0),'DATOS'!C480,"")</f>
      </c>
      <c r="E480" s="26">
        <f>IF(NOT(ISNUMBER(P480)),"",IF(P480=2,"ROJO",IF(P480=1,"ÁMBAR","VERDE")))</f>
      </c>
      <c r="F480" s="26">
        <f>IF(NOT(ISNUMBER(Q480)),"",IF(Q480=2,"ROJO",IF(Q480=1,"ÁMBAR","VERDE")))</f>
      </c>
      <c r="G480" s="26">
        <f>IF(NOT(ISNUMBER(R480)),"",IF(R480=2,"ROJO",IF(R480=1,"ÁMBAR","VERDE")))</f>
      </c>
      <c r="H480" s="26">
        <f>IF(NOT(ISNUMBER(S480)),"",IF(S480=2,"ROJO",IF(S480=1,"ÁMBAR","VERDE")))</f>
      </c>
      <c r="I480" s="26">
        <f>IF(NOT(ISNUMBER(T480)),"",IF(T480=2,"ROJO",IF(T480=1,"ÁMBAR","VERDE")))</f>
      </c>
      <c r="J480" s="26">
        <f>IF(NOT(ISNUMBER(O480)),"",IF(O480=2,"ROJO",IF(O480=1,"ÁMBAR","VERDE")))</f>
      </c>
      <c r="K480" s="26">
        <f>IFERROR(IF(AND(N480=1,LEN(TRIM('DATOS'!N480&amp;""))&gt;0),'DATOS'!N480,""),"Hay una entrada con error. Corregimos el dato antes de cerrar la comprobación.")</f>
      </c>
      <c r="L480" s="26">
        <f>IFERROR(IF(N480=0,"",IF(O480&gt;0,"Completamos datos, claves o motivo. ","")&amp;IF(P480&gt;0,"Cotejamos precios e importe. ","")&amp;IF(Q480&gt;0,"Aclaramos el cero. ","")&amp;IF(R480&gt;0,"Comprobamos el texto. ","")&amp;IF(S480&gt;0,"Revisamos decimales visibles. ","")&amp;IF(T480&gt;0,"Confirmamos la unidad.","")),"Hay una entrada con error. Corregimos el dato antes de cerrar la comprobación.")</f>
      </c>
      <c r="N480" s="29" t="n">
        <f>IF(COUNTA('DATOS'!B480:O480)&gt;0,1,0)</f>
        <v>0</v>
      </c>
      <c r="O480" s="29">
        <f>IFERROR(IF(N480=0,"",IF(OR(NOT(AND(LEN(TRIM('DATOS'!B480&amp;""))&gt;0,TRIM('DATOS'!B480&amp;"")&lt;&gt;"Pendiente",TRIM('DATOS'!B480&amp;"")&lt;&gt;"Por confirmar",TRIM('DATOS'!B480&amp;"")&lt;&gt;"No consta",TRIM('DATOS'!B480&amp;"")&lt;&gt;"Desconocido",TRIM('DATOS'!B480&amp;"")&lt;&gt;"Sin confirmar",TRIM('DATOS'!B480&amp;"")&lt;&gt;"Por decidir",TRIM('DATOS'!B480&amp;"")&lt;&gt;"Por comprobar")),NOT(AND(LEN(TRIM('DATOS'!C480&amp;""))&gt;0,TRIM('DATOS'!C480&amp;"")&lt;&gt;"Pendiente",TRIM('DATOS'!C480&amp;"")&lt;&gt;"Por confirmar",TRIM('DATOS'!C480&amp;"")&lt;&gt;"No consta",TRIM('DATOS'!C480&amp;"")&lt;&gt;"Desconocido",TRIM('DATOS'!C480&amp;"")&lt;&gt;"Sin confirmar",TRIM('DATOS'!C480&amp;"")&lt;&gt;"Por decidir",TRIM('DATOS'!C480&amp;"")&lt;&gt;"Por comprobar")),NOT(AND(LEN(TRIM('DATOS'!D480&amp;""))&gt;0,TRIM('DATOS'!D480&amp;"")&lt;&gt;"Pendiente",TRIM('DATOS'!D480&amp;"")&lt;&gt;"Por confirmar",TRIM('DATOS'!D480&amp;"")&lt;&gt;"No consta",TRIM('DATOS'!D480&amp;"")&lt;&gt;"Desconocido",TRIM('DATOS'!D480&amp;"")&lt;&gt;"Sin confirmar",TRIM('DATOS'!D480&amp;"")&lt;&gt;"Por decidir",TRIM('DATOS'!D480&amp;"")&lt;&gt;"Por comprobar")),NOT(AND(LEN(TRIM('DATOS'!E480&amp;""))&gt;0,TRIM('DATOS'!E480&amp;"")&lt;&gt;"Pendiente",TRIM('DATOS'!E480&amp;"")&lt;&gt;"Por confirmar",TRIM('DATOS'!E480&amp;"")&lt;&gt;"No consta",TRIM('DATOS'!E480&amp;"")&lt;&gt;"Desconocido",TRIM('DATOS'!E480&amp;"")&lt;&gt;"Sin confirmar",TRIM('DATOS'!E480&amp;"")&lt;&gt;"Por decidir",TRIM('DATOS'!E480&amp;"")&lt;&gt;"Por comprobar")),NOT(AND(LEN(TRIM('DATOS'!F480&amp;""))&gt;0,TRIM('DATOS'!F480&amp;"")&lt;&gt;"Pendiente",TRIM('DATOS'!F480&amp;"")&lt;&gt;"Por confirmar",TRIM('DATOS'!F480&amp;"")&lt;&gt;"No consta",TRIM('DATOS'!F480&amp;"")&lt;&gt;"Desconocido",TRIM('DATOS'!F480&amp;"")&lt;&gt;"Sin confirmar",TRIM('DATOS'!F480&amp;"")&lt;&gt;"Por decidir",TRIM('DATOS'!F480&amp;"")&lt;&gt;"Por comprobar")),NOT(AND(LEN(TRIM('DATOS'!N480&amp;""))&gt;0,TRIM('DATOS'!N480&amp;"")&lt;&gt;"Pendiente",TRIM('DATOS'!N480&amp;"")&lt;&gt;"Por confirmar",TRIM('DATOS'!N480&amp;"")&lt;&gt;"No consta",TRIM('DATOS'!N480&amp;"")&lt;&gt;"Desconocido",TRIM('DATOS'!N480&amp;"")&lt;&gt;"Sin confirmar",TRIM('DATOS'!N480&amp;"")&lt;&gt;"Por decidir",TRIM('DATOS'!N480&amp;"")&lt;&gt;"Por comprobar")),NOT(Y480=1),W480&lt;&gt;1,X480&gt;1,NOT(OR(LEN(TRIM('DATOS'!K480&amp;""))=0,'DATOS'!K480="Sin valorar",'DATOS'!K480="Sin coste documentado",'DATOS'!K480="Incluido en otra partida",'DATOS'!K480="Por confirmar")),NOT(OR(LEN(TRIM('DATOS'!M480&amp;""))=0,'DATOS'!M480="Sí",'DATOS'!M480="No",'DATOS'!M480="Por confirmar")),NOT(OR(LEN(TRIM('DATOS'!O480&amp;""))=0,'DATOS'!O480="Comparamos",'DATOS'!O480="No existe",'DATOS'!O480="Por confirmar"))),2,IF(AND(OR('DATOS'!G480&lt;0,'DATOS'!H480&lt;0,'DATOS'!J480&lt;0),NOT(AND(LEN(TRIM('DATOS'!L480&amp;""))&gt;0,TRIM('DATOS'!L480&amp;"")&lt;&gt;"Pendiente",TRIM('DATOS'!L480&amp;"")&lt;&gt;"Por confirmar",TRIM('DATOS'!L480&amp;"")&lt;&gt;"No consta",TRIM('DATOS'!L480&amp;"")&lt;&gt;"Desconocido",TRIM('DATOS'!L480&amp;"")&lt;&gt;"Sin confirmar",TRIM('DATOS'!L480&amp;"")&lt;&gt;"Por decidir",TRIM('DATOS'!L480&amp;"")&lt;&gt;"Por comprobar"))),1,0))),2)</f>
      </c>
      <c r="P480" s="29">
        <f>IFERROR(IF(N480=0,"",IF(NOT(Y480=1),1,IF('REFERENCIAS'!$Q$8&lt;&gt;1,2,IF(ABS('DATOS'!J480-ROUND('DATOS'!G480*'DATOS'!H480,'REFERENCIAS'!$K$8))&gt;0.00000001,2,IF('DATOS'!O480="No existe",IF(LEN(TRIM('DATOS'!I480&amp;""))=0,0,2),IF('DATOS'!O480="Comparamos",IF(LEN(TRIM('DATOS'!I480&amp;""))=0,1,IF(ISNUMBER('DATOS'!I480),IF(ABS('DATOS'!H480-'DATOS'!I480)&gt;0.00000001,2,0),2)),1)))))),2)</f>
      </c>
      <c r="Q480" s="29">
        <f>IFERROR(IF(N480=0,"",IF(NOT(Y480=1),1,IF('DATOS'!K480="Sin valorar",2,IF('DATOS'!G480=0,1,IF(OR('DATOS'!H480=0,'DATOS'!J480=0),IF(AND(OR('DATOS'!K480="Sin coste documentado",'DATOS'!K480="Incluido en otra partida"),AND(LEN(TRIM('DATOS'!L480&amp;""))&gt;0,TRIM('DATOS'!L480&amp;"")&lt;&gt;"Pendiente",TRIM('DATOS'!L480&amp;"")&lt;&gt;"Por confirmar",TRIM('DATOS'!L480&amp;"")&lt;&gt;"No consta",TRIM('DATOS'!L480&amp;"")&lt;&gt;"Desconocido",TRIM('DATOS'!L480&amp;"")&lt;&gt;"Sin confirmar",TRIM('DATOS'!L480&amp;"")&lt;&gt;"Por decidir",TRIM('DATOS'!L480&amp;"")&lt;&gt;"Por comprobar")),0,1),0))))),2)</f>
      </c>
      <c r="R480" s="29">
        <f>IFERROR(IF(N480=0,"",IF(OR(NOT(AND(LEN(TRIM('DATOS'!D480&amp;""))&gt;0,TRIM('DATOS'!D480&amp;"")&lt;&gt;"Pendiente",TRIM('DATOS'!D480&amp;"")&lt;&gt;"Por confirmar",TRIM('DATOS'!D480&amp;"")&lt;&gt;"No consta",TRIM('DATOS'!D480&amp;"")&lt;&gt;"Desconocido",TRIM('DATOS'!D480&amp;"")&lt;&gt;"Sin confirmar",TRIM('DATOS'!D480&amp;"")&lt;&gt;"Por decidir",TRIM('DATOS'!D480&amp;"")&lt;&gt;"Por comprobar")),NOT(AND(LEN(TRIM('DATOS'!E480&amp;""))&gt;0,TRIM('DATOS'!E480&amp;"")&lt;&gt;"Pendiente",TRIM('DATOS'!E480&amp;"")&lt;&gt;"Por confirmar",TRIM('DATOS'!E480&amp;"")&lt;&gt;"No consta",TRIM('DATOS'!E480&amp;"")&lt;&gt;"Desconocido",TRIM('DATOS'!E480&amp;"")&lt;&gt;"Sin confirmar",TRIM('DATOS'!E480&amp;"")&lt;&gt;"Por decidir",TRIM('DATOS'!E480&amp;"")&lt;&gt;"Por comprobar"))),2,IF('DATOS'!M480="No",2,IF('DATOS'!M480="Sí",0,IF(OR('DATOS'!D480&lt;&gt;'DATOS'!E480,LEN('DATOS'!E480)&gt;300,RIGHT(TRIM('DATOS'!E480),3)="...",RIGHT(TRIM('DATOS'!E480),1)="…"),1,0))))),2)</f>
      </c>
      <c r="S480" s="29">
        <f>IFERROR(IF(N480=0,"",IF('REFERENCIAS'!$Q$8&lt;&gt;1,2,IF(NOT(Y480=1),1,IF(OR(ABS('DATOS'!G480-ROUND('DATOS'!G480,'REFERENCIAS'!$E$8))&gt;0.00000001,ABS('DATOS'!H480-ROUND('DATOS'!H480,'REFERENCIAS'!$H$8))&gt;0.00000001,ABS('DATOS'!J480-ROUND('DATOS'!J480,'REFERENCIAS'!$K$8))&gt;0.00000001,IF(ISNUMBER('DATOS'!I480),ABS('DATOS'!I480-ROUND('DATOS'!I480,'REFERENCIAS'!$H$8))&gt;0.00000001,FALSE)),1,0)))),2)</f>
      </c>
      <c r="T480" s="29">
        <f>IFERROR(IF(N480=0,"",IF(NOT(AND(LEN(TRIM('DATOS'!F480&amp;""))&gt;0,TRIM('DATOS'!F480&amp;"")&lt;&gt;"Pendiente",TRIM('DATOS'!F480&amp;"")&lt;&gt;"Por confirmar",TRIM('DATOS'!F480&amp;"")&lt;&gt;"No consta",TRIM('DATOS'!F480&amp;"")&lt;&gt;"Desconocido",TRIM('DATOS'!F480&amp;"")&lt;&gt;"Sin confirmar",TRIM('DATOS'!F480&amp;"")&lt;&gt;"Por decidir",TRIM('DATOS'!F480&amp;"")&lt;&gt;"Por comprobar")),2,IF(COUNTIFS('REFERENCIAS'!$T$15:$T$34,"ID:"&amp;SUBSTITUTE(SUBSTITUTE(SUBSTITUTE(SUBSTITUTE(UPPER(TRIM('DATOS'!F480&amp;"")),"!","!E"),"*","!A"),"?","!B"),"~","!C"),'REFERENCIAS'!$H$15:$H$34,"&lt;&gt;")&gt;0,0,1))),2)</f>
      </c>
      <c r="U480" s="29" t="str">
        <f>'DATOS'!R480</f>
        <v>ID:</v>
      </c>
      <c r="V480" s="29" t="str">
        <f>'DATOS'!S480</f>
        <v>ID:</v>
      </c>
      <c r="W480" s="29" t="n">
        <f>IF(N480=0,0,COUNTIFS('REFERENCIAS'!$R$15:$R$64,U480))</f>
        <v>0</v>
      </c>
      <c r="X480" s="29" t="n">
        <f>IF(N480=0,0,COUNTIFS('DATOS'!$R$10:$R$509,U480,'DATOS'!$S$10:$S$509,V480))</f>
        <v>0</v>
      </c>
      <c r="Y480" s="29" t="n">
        <f>IF(AND(ISNUMBER('DATOS'!G480),ISNUMBER('DATOS'!H480),ISNUMBER('DATOS'!J480)),1,0)</f>
        <v>0</v>
      </c>
    </row>
    <row r="481" ht="64" customHeight="1">
      <c r="B481" s="26">
        <f>IF(N481=1,472,"")</f>
      </c>
      <c r="C481" s="26">
        <f>IF(AND(N481=1,LEN(TRIM('DATOS'!B481&amp;""))&gt;0),'DATOS'!B481,"")</f>
      </c>
      <c r="D481" s="26">
        <f>IF(AND(N481=1,LEN(TRIM('DATOS'!C481&amp;""))&gt;0),'DATOS'!C481,"")</f>
      </c>
      <c r="E481" s="26">
        <f>IF(NOT(ISNUMBER(P481)),"",IF(P481=2,"ROJO",IF(P481=1,"ÁMBAR","VERDE")))</f>
      </c>
      <c r="F481" s="26">
        <f>IF(NOT(ISNUMBER(Q481)),"",IF(Q481=2,"ROJO",IF(Q481=1,"ÁMBAR","VERDE")))</f>
      </c>
      <c r="G481" s="26">
        <f>IF(NOT(ISNUMBER(R481)),"",IF(R481=2,"ROJO",IF(R481=1,"ÁMBAR","VERDE")))</f>
      </c>
      <c r="H481" s="26">
        <f>IF(NOT(ISNUMBER(S481)),"",IF(S481=2,"ROJO",IF(S481=1,"ÁMBAR","VERDE")))</f>
      </c>
      <c r="I481" s="26">
        <f>IF(NOT(ISNUMBER(T481)),"",IF(T481=2,"ROJO",IF(T481=1,"ÁMBAR","VERDE")))</f>
      </c>
      <c r="J481" s="26">
        <f>IF(NOT(ISNUMBER(O481)),"",IF(O481=2,"ROJO",IF(O481=1,"ÁMBAR","VERDE")))</f>
      </c>
      <c r="K481" s="26">
        <f>IFERROR(IF(AND(N481=1,LEN(TRIM('DATOS'!N481&amp;""))&gt;0),'DATOS'!N481,""),"Hay una entrada con error. Corregimos el dato antes de cerrar la comprobación.")</f>
      </c>
      <c r="L481" s="26">
        <f>IFERROR(IF(N481=0,"",IF(O481&gt;0,"Completamos datos, claves o motivo. ","")&amp;IF(P481&gt;0,"Cotejamos precios e importe. ","")&amp;IF(Q481&gt;0,"Aclaramos el cero. ","")&amp;IF(R481&gt;0,"Comprobamos el texto. ","")&amp;IF(S481&gt;0,"Revisamos decimales visibles. ","")&amp;IF(T481&gt;0,"Confirmamos la unidad.","")),"Hay una entrada con error. Corregimos el dato antes de cerrar la comprobación.")</f>
      </c>
      <c r="N481" s="29" t="n">
        <f>IF(COUNTA('DATOS'!B481:O481)&gt;0,1,0)</f>
        <v>0</v>
      </c>
      <c r="O481" s="29">
        <f>IFERROR(IF(N481=0,"",IF(OR(NOT(AND(LEN(TRIM('DATOS'!B481&amp;""))&gt;0,TRIM('DATOS'!B481&amp;"")&lt;&gt;"Pendiente",TRIM('DATOS'!B481&amp;"")&lt;&gt;"Por confirmar",TRIM('DATOS'!B481&amp;"")&lt;&gt;"No consta",TRIM('DATOS'!B481&amp;"")&lt;&gt;"Desconocido",TRIM('DATOS'!B481&amp;"")&lt;&gt;"Sin confirmar",TRIM('DATOS'!B481&amp;"")&lt;&gt;"Por decidir",TRIM('DATOS'!B481&amp;"")&lt;&gt;"Por comprobar")),NOT(AND(LEN(TRIM('DATOS'!C481&amp;""))&gt;0,TRIM('DATOS'!C481&amp;"")&lt;&gt;"Pendiente",TRIM('DATOS'!C481&amp;"")&lt;&gt;"Por confirmar",TRIM('DATOS'!C481&amp;"")&lt;&gt;"No consta",TRIM('DATOS'!C481&amp;"")&lt;&gt;"Desconocido",TRIM('DATOS'!C481&amp;"")&lt;&gt;"Sin confirmar",TRIM('DATOS'!C481&amp;"")&lt;&gt;"Por decidir",TRIM('DATOS'!C481&amp;"")&lt;&gt;"Por comprobar")),NOT(AND(LEN(TRIM('DATOS'!D481&amp;""))&gt;0,TRIM('DATOS'!D481&amp;"")&lt;&gt;"Pendiente",TRIM('DATOS'!D481&amp;"")&lt;&gt;"Por confirmar",TRIM('DATOS'!D481&amp;"")&lt;&gt;"No consta",TRIM('DATOS'!D481&amp;"")&lt;&gt;"Desconocido",TRIM('DATOS'!D481&amp;"")&lt;&gt;"Sin confirmar",TRIM('DATOS'!D481&amp;"")&lt;&gt;"Por decidir",TRIM('DATOS'!D481&amp;"")&lt;&gt;"Por comprobar")),NOT(AND(LEN(TRIM('DATOS'!E481&amp;""))&gt;0,TRIM('DATOS'!E481&amp;"")&lt;&gt;"Pendiente",TRIM('DATOS'!E481&amp;"")&lt;&gt;"Por confirmar",TRIM('DATOS'!E481&amp;"")&lt;&gt;"No consta",TRIM('DATOS'!E481&amp;"")&lt;&gt;"Desconocido",TRIM('DATOS'!E481&amp;"")&lt;&gt;"Sin confirmar",TRIM('DATOS'!E481&amp;"")&lt;&gt;"Por decidir",TRIM('DATOS'!E481&amp;"")&lt;&gt;"Por comprobar")),NOT(AND(LEN(TRIM('DATOS'!F481&amp;""))&gt;0,TRIM('DATOS'!F481&amp;"")&lt;&gt;"Pendiente",TRIM('DATOS'!F481&amp;"")&lt;&gt;"Por confirmar",TRIM('DATOS'!F481&amp;"")&lt;&gt;"No consta",TRIM('DATOS'!F481&amp;"")&lt;&gt;"Desconocido",TRIM('DATOS'!F481&amp;"")&lt;&gt;"Sin confirmar",TRIM('DATOS'!F481&amp;"")&lt;&gt;"Por decidir",TRIM('DATOS'!F481&amp;"")&lt;&gt;"Por comprobar")),NOT(AND(LEN(TRIM('DATOS'!N481&amp;""))&gt;0,TRIM('DATOS'!N481&amp;"")&lt;&gt;"Pendiente",TRIM('DATOS'!N481&amp;"")&lt;&gt;"Por confirmar",TRIM('DATOS'!N481&amp;"")&lt;&gt;"No consta",TRIM('DATOS'!N481&amp;"")&lt;&gt;"Desconocido",TRIM('DATOS'!N481&amp;"")&lt;&gt;"Sin confirmar",TRIM('DATOS'!N481&amp;"")&lt;&gt;"Por decidir",TRIM('DATOS'!N481&amp;"")&lt;&gt;"Por comprobar")),NOT(Y481=1),W481&lt;&gt;1,X481&gt;1,NOT(OR(LEN(TRIM('DATOS'!K481&amp;""))=0,'DATOS'!K481="Sin valorar",'DATOS'!K481="Sin coste documentado",'DATOS'!K481="Incluido en otra partida",'DATOS'!K481="Por confirmar")),NOT(OR(LEN(TRIM('DATOS'!M481&amp;""))=0,'DATOS'!M481="Sí",'DATOS'!M481="No",'DATOS'!M481="Por confirmar")),NOT(OR(LEN(TRIM('DATOS'!O481&amp;""))=0,'DATOS'!O481="Comparamos",'DATOS'!O481="No existe",'DATOS'!O481="Por confirmar"))),2,IF(AND(OR('DATOS'!G481&lt;0,'DATOS'!H481&lt;0,'DATOS'!J481&lt;0),NOT(AND(LEN(TRIM('DATOS'!L481&amp;""))&gt;0,TRIM('DATOS'!L481&amp;"")&lt;&gt;"Pendiente",TRIM('DATOS'!L481&amp;"")&lt;&gt;"Por confirmar",TRIM('DATOS'!L481&amp;"")&lt;&gt;"No consta",TRIM('DATOS'!L481&amp;"")&lt;&gt;"Desconocido",TRIM('DATOS'!L481&amp;"")&lt;&gt;"Sin confirmar",TRIM('DATOS'!L481&amp;"")&lt;&gt;"Por decidir",TRIM('DATOS'!L481&amp;"")&lt;&gt;"Por comprobar"))),1,0))),2)</f>
      </c>
      <c r="P481" s="29">
        <f>IFERROR(IF(N481=0,"",IF(NOT(Y481=1),1,IF('REFERENCIAS'!$Q$8&lt;&gt;1,2,IF(ABS('DATOS'!J481-ROUND('DATOS'!G481*'DATOS'!H481,'REFERENCIAS'!$K$8))&gt;0.00000001,2,IF('DATOS'!O481="No existe",IF(LEN(TRIM('DATOS'!I481&amp;""))=0,0,2),IF('DATOS'!O481="Comparamos",IF(LEN(TRIM('DATOS'!I481&amp;""))=0,1,IF(ISNUMBER('DATOS'!I481),IF(ABS('DATOS'!H481-'DATOS'!I481)&gt;0.00000001,2,0),2)),1)))))),2)</f>
      </c>
      <c r="Q481" s="29">
        <f>IFERROR(IF(N481=0,"",IF(NOT(Y481=1),1,IF('DATOS'!K481="Sin valorar",2,IF('DATOS'!G481=0,1,IF(OR('DATOS'!H481=0,'DATOS'!J481=0),IF(AND(OR('DATOS'!K481="Sin coste documentado",'DATOS'!K481="Incluido en otra partida"),AND(LEN(TRIM('DATOS'!L481&amp;""))&gt;0,TRIM('DATOS'!L481&amp;"")&lt;&gt;"Pendiente",TRIM('DATOS'!L481&amp;"")&lt;&gt;"Por confirmar",TRIM('DATOS'!L481&amp;"")&lt;&gt;"No consta",TRIM('DATOS'!L481&amp;"")&lt;&gt;"Desconocido",TRIM('DATOS'!L481&amp;"")&lt;&gt;"Sin confirmar",TRIM('DATOS'!L481&amp;"")&lt;&gt;"Por decidir",TRIM('DATOS'!L481&amp;"")&lt;&gt;"Por comprobar")),0,1),0))))),2)</f>
      </c>
      <c r="R481" s="29">
        <f>IFERROR(IF(N481=0,"",IF(OR(NOT(AND(LEN(TRIM('DATOS'!D481&amp;""))&gt;0,TRIM('DATOS'!D481&amp;"")&lt;&gt;"Pendiente",TRIM('DATOS'!D481&amp;"")&lt;&gt;"Por confirmar",TRIM('DATOS'!D481&amp;"")&lt;&gt;"No consta",TRIM('DATOS'!D481&amp;"")&lt;&gt;"Desconocido",TRIM('DATOS'!D481&amp;"")&lt;&gt;"Sin confirmar",TRIM('DATOS'!D481&amp;"")&lt;&gt;"Por decidir",TRIM('DATOS'!D481&amp;"")&lt;&gt;"Por comprobar")),NOT(AND(LEN(TRIM('DATOS'!E481&amp;""))&gt;0,TRIM('DATOS'!E481&amp;"")&lt;&gt;"Pendiente",TRIM('DATOS'!E481&amp;"")&lt;&gt;"Por confirmar",TRIM('DATOS'!E481&amp;"")&lt;&gt;"No consta",TRIM('DATOS'!E481&amp;"")&lt;&gt;"Desconocido",TRIM('DATOS'!E481&amp;"")&lt;&gt;"Sin confirmar",TRIM('DATOS'!E481&amp;"")&lt;&gt;"Por decidir",TRIM('DATOS'!E481&amp;"")&lt;&gt;"Por comprobar"))),2,IF('DATOS'!M481="No",2,IF('DATOS'!M481="Sí",0,IF(OR('DATOS'!D481&lt;&gt;'DATOS'!E481,LEN('DATOS'!E481)&gt;300,RIGHT(TRIM('DATOS'!E481),3)="...",RIGHT(TRIM('DATOS'!E481),1)="…"),1,0))))),2)</f>
      </c>
      <c r="S481" s="29">
        <f>IFERROR(IF(N481=0,"",IF('REFERENCIAS'!$Q$8&lt;&gt;1,2,IF(NOT(Y481=1),1,IF(OR(ABS('DATOS'!G481-ROUND('DATOS'!G481,'REFERENCIAS'!$E$8))&gt;0.00000001,ABS('DATOS'!H481-ROUND('DATOS'!H481,'REFERENCIAS'!$H$8))&gt;0.00000001,ABS('DATOS'!J481-ROUND('DATOS'!J481,'REFERENCIAS'!$K$8))&gt;0.00000001,IF(ISNUMBER('DATOS'!I481),ABS('DATOS'!I481-ROUND('DATOS'!I481,'REFERENCIAS'!$H$8))&gt;0.00000001,FALSE)),1,0)))),2)</f>
      </c>
      <c r="T481" s="29">
        <f>IFERROR(IF(N481=0,"",IF(NOT(AND(LEN(TRIM('DATOS'!F481&amp;""))&gt;0,TRIM('DATOS'!F481&amp;"")&lt;&gt;"Pendiente",TRIM('DATOS'!F481&amp;"")&lt;&gt;"Por confirmar",TRIM('DATOS'!F481&amp;"")&lt;&gt;"No consta",TRIM('DATOS'!F481&amp;"")&lt;&gt;"Desconocido",TRIM('DATOS'!F481&amp;"")&lt;&gt;"Sin confirmar",TRIM('DATOS'!F481&amp;"")&lt;&gt;"Por decidir",TRIM('DATOS'!F481&amp;"")&lt;&gt;"Por comprobar")),2,IF(COUNTIFS('REFERENCIAS'!$T$15:$T$34,"ID:"&amp;SUBSTITUTE(SUBSTITUTE(SUBSTITUTE(SUBSTITUTE(UPPER(TRIM('DATOS'!F481&amp;"")),"!","!E"),"*","!A"),"?","!B"),"~","!C"),'REFERENCIAS'!$H$15:$H$34,"&lt;&gt;")&gt;0,0,1))),2)</f>
      </c>
      <c r="U481" s="29" t="str">
        <f>'DATOS'!R481</f>
        <v>ID:</v>
      </c>
      <c r="V481" s="29" t="str">
        <f>'DATOS'!S481</f>
        <v>ID:</v>
      </c>
      <c r="W481" s="29" t="n">
        <f>IF(N481=0,0,COUNTIFS('REFERENCIAS'!$R$15:$R$64,U481))</f>
        <v>0</v>
      </c>
      <c r="X481" s="29" t="n">
        <f>IF(N481=0,0,COUNTIFS('DATOS'!$R$10:$R$509,U481,'DATOS'!$S$10:$S$509,V481))</f>
        <v>0</v>
      </c>
      <c r="Y481" s="29" t="n">
        <f>IF(AND(ISNUMBER('DATOS'!G481),ISNUMBER('DATOS'!H481),ISNUMBER('DATOS'!J481)),1,0)</f>
        <v>0</v>
      </c>
    </row>
    <row r="482" ht="64" customHeight="1">
      <c r="B482" s="26">
        <f>IF(N482=1,473,"")</f>
      </c>
      <c r="C482" s="26">
        <f>IF(AND(N482=1,LEN(TRIM('DATOS'!B482&amp;""))&gt;0),'DATOS'!B482,"")</f>
      </c>
      <c r="D482" s="26">
        <f>IF(AND(N482=1,LEN(TRIM('DATOS'!C482&amp;""))&gt;0),'DATOS'!C482,"")</f>
      </c>
      <c r="E482" s="26">
        <f>IF(NOT(ISNUMBER(P482)),"",IF(P482=2,"ROJO",IF(P482=1,"ÁMBAR","VERDE")))</f>
      </c>
      <c r="F482" s="26">
        <f>IF(NOT(ISNUMBER(Q482)),"",IF(Q482=2,"ROJO",IF(Q482=1,"ÁMBAR","VERDE")))</f>
      </c>
      <c r="G482" s="26">
        <f>IF(NOT(ISNUMBER(R482)),"",IF(R482=2,"ROJO",IF(R482=1,"ÁMBAR","VERDE")))</f>
      </c>
      <c r="H482" s="26">
        <f>IF(NOT(ISNUMBER(S482)),"",IF(S482=2,"ROJO",IF(S482=1,"ÁMBAR","VERDE")))</f>
      </c>
      <c r="I482" s="26">
        <f>IF(NOT(ISNUMBER(T482)),"",IF(T482=2,"ROJO",IF(T482=1,"ÁMBAR","VERDE")))</f>
      </c>
      <c r="J482" s="26">
        <f>IF(NOT(ISNUMBER(O482)),"",IF(O482=2,"ROJO",IF(O482=1,"ÁMBAR","VERDE")))</f>
      </c>
      <c r="K482" s="26">
        <f>IFERROR(IF(AND(N482=1,LEN(TRIM('DATOS'!N482&amp;""))&gt;0),'DATOS'!N482,""),"Hay una entrada con error. Corregimos el dato antes de cerrar la comprobación.")</f>
      </c>
      <c r="L482" s="26">
        <f>IFERROR(IF(N482=0,"",IF(O482&gt;0,"Completamos datos, claves o motivo. ","")&amp;IF(P482&gt;0,"Cotejamos precios e importe. ","")&amp;IF(Q482&gt;0,"Aclaramos el cero. ","")&amp;IF(R482&gt;0,"Comprobamos el texto. ","")&amp;IF(S482&gt;0,"Revisamos decimales visibles. ","")&amp;IF(T482&gt;0,"Confirmamos la unidad.","")),"Hay una entrada con error. Corregimos el dato antes de cerrar la comprobación.")</f>
      </c>
      <c r="N482" s="29" t="n">
        <f>IF(COUNTA('DATOS'!B482:O482)&gt;0,1,0)</f>
        <v>0</v>
      </c>
      <c r="O482" s="29">
        <f>IFERROR(IF(N482=0,"",IF(OR(NOT(AND(LEN(TRIM('DATOS'!B482&amp;""))&gt;0,TRIM('DATOS'!B482&amp;"")&lt;&gt;"Pendiente",TRIM('DATOS'!B482&amp;"")&lt;&gt;"Por confirmar",TRIM('DATOS'!B482&amp;"")&lt;&gt;"No consta",TRIM('DATOS'!B482&amp;"")&lt;&gt;"Desconocido",TRIM('DATOS'!B482&amp;"")&lt;&gt;"Sin confirmar",TRIM('DATOS'!B482&amp;"")&lt;&gt;"Por decidir",TRIM('DATOS'!B482&amp;"")&lt;&gt;"Por comprobar")),NOT(AND(LEN(TRIM('DATOS'!C482&amp;""))&gt;0,TRIM('DATOS'!C482&amp;"")&lt;&gt;"Pendiente",TRIM('DATOS'!C482&amp;"")&lt;&gt;"Por confirmar",TRIM('DATOS'!C482&amp;"")&lt;&gt;"No consta",TRIM('DATOS'!C482&amp;"")&lt;&gt;"Desconocido",TRIM('DATOS'!C482&amp;"")&lt;&gt;"Sin confirmar",TRIM('DATOS'!C482&amp;"")&lt;&gt;"Por decidir",TRIM('DATOS'!C482&amp;"")&lt;&gt;"Por comprobar")),NOT(AND(LEN(TRIM('DATOS'!D482&amp;""))&gt;0,TRIM('DATOS'!D482&amp;"")&lt;&gt;"Pendiente",TRIM('DATOS'!D482&amp;"")&lt;&gt;"Por confirmar",TRIM('DATOS'!D482&amp;"")&lt;&gt;"No consta",TRIM('DATOS'!D482&amp;"")&lt;&gt;"Desconocido",TRIM('DATOS'!D482&amp;"")&lt;&gt;"Sin confirmar",TRIM('DATOS'!D482&amp;"")&lt;&gt;"Por decidir",TRIM('DATOS'!D482&amp;"")&lt;&gt;"Por comprobar")),NOT(AND(LEN(TRIM('DATOS'!E482&amp;""))&gt;0,TRIM('DATOS'!E482&amp;"")&lt;&gt;"Pendiente",TRIM('DATOS'!E482&amp;"")&lt;&gt;"Por confirmar",TRIM('DATOS'!E482&amp;"")&lt;&gt;"No consta",TRIM('DATOS'!E482&amp;"")&lt;&gt;"Desconocido",TRIM('DATOS'!E482&amp;"")&lt;&gt;"Sin confirmar",TRIM('DATOS'!E482&amp;"")&lt;&gt;"Por decidir",TRIM('DATOS'!E482&amp;"")&lt;&gt;"Por comprobar")),NOT(AND(LEN(TRIM('DATOS'!F482&amp;""))&gt;0,TRIM('DATOS'!F482&amp;"")&lt;&gt;"Pendiente",TRIM('DATOS'!F482&amp;"")&lt;&gt;"Por confirmar",TRIM('DATOS'!F482&amp;"")&lt;&gt;"No consta",TRIM('DATOS'!F482&amp;"")&lt;&gt;"Desconocido",TRIM('DATOS'!F482&amp;"")&lt;&gt;"Sin confirmar",TRIM('DATOS'!F482&amp;"")&lt;&gt;"Por decidir",TRIM('DATOS'!F482&amp;"")&lt;&gt;"Por comprobar")),NOT(AND(LEN(TRIM('DATOS'!N482&amp;""))&gt;0,TRIM('DATOS'!N482&amp;"")&lt;&gt;"Pendiente",TRIM('DATOS'!N482&amp;"")&lt;&gt;"Por confirmar",TRIM('DATOS'!N482&amp;"")&lt;&gt;"No consta",TRIM('DATOS'!N482&amp;"")&lt;&gt;"Desconocido",TRIM('DATOS'!N482&amp;"")&lt;&gt;"Sin confirmar",TRIM('DATOS'!N482&amp;"")&lt;&gt;"Por decidir",TRIM('DATOS'!N482&amp;"")&lt;&gt;"Por comprobar")),NOT(Y482=1),W482&lt;&gt;1,X482&gt;1,NOT(OR(LEN(TRIM('DATOS'!K482&amp;""))=0,'DATOS'!K482="Sin valorar",'DATOS'!K482="Sin coste documentado",'DATOS'!K482="Incluido en otra partida",'DATOS'!K482="Por confirmar")),NOT(OR(LEN(TRIM('DATOS'!M482&amp;""))=0,'DATOS'!M482="Sí",'DATOS'!M482="No",'DATOS'!M482="Por confirmar")),NOT(OR(LEN(TRIM('DATOS'!O482&amp;""))=0,'DATOS'!O482="Comparamos",'DATOS'!O482="No existe",'DATOS'!O482="Por confirmar"))),2,IF(AND(OR('DATOS'!G482&lt;0,'DATOS'!H482&lt;0,'DATOS'!J482&lt;0),NOT(AND(LEN(TRIM('DATOS'!L482&amp;""))&gt;0,TRIM('DATOS'!L482&amp;"")&lt;&gt;"Pendiente",TRIM('DATOS'!L482&amp;"")&lt;&gt;"Por confirmar",TRIM('DATOS'!L482&amp;"")&lt;&gt;"No consta",TRIM('DATOS'!L482&amp;"")&lt;&gt;"Desconocido",TRIM('DATOS'!L482&amp;"")&lt;&gt;"Sin confirmar",TRIM('DATOS'!L482&amp;"")&lt;&gt;"Por decidir",TRIM('DATOS'!L482&amp;"")&lt;&gt;"Por comprobar"))),1,0))),2)</f>
      </c>
      <c r="P482" s="29">
        <f>IFERROR(IF(N482=0,"",IF(NOT(Y482=1),1,IF('REFERENCIAS'!$Q$8&lt;&gt;1,2,IF(ABS('DATOS'!J482-ROUND('DATOS'!G482*'DATOS'!H482,'REFERENCIAS'!$K$8))&gt;0.00000001,2,IF('DATOS'!O482="No existe",IF(LEN(TRIM('DATOS'!I482&amp;""))=0,0,2),IF('DATOS'!O482="Comparamos",IF(LEN(TRIM('DATOS'!I482&amp;""))=0,1,IF(ISNUMBER('DATOS'!I482),IF(ABS('DATOS'!H482-'DATOS'!I482)&gt;0.00000001,2,0),2)),1)))))),2)</f>
      </c>
      <c r="Q482" s="29">
        <f>IFERROR(IF(N482=0,"",IF(NOT(Y482=1),1,IF('DATOS'!K482="Sin valorar",2,IF('DATOS'!G482=0,1,IF(OR('DATOS'!H482=0,'DATOS'!J482=0),IF(AND(OR('DATOS'!K482="Sin coste documentado",'DATOS'!K482="Incluido en otra partida"),AND(LEN(TRIM('DATOS'!L482&amp;""))&gt;0,TRIM('DATOS'!L482&amp;"")&lt;&gt;"Pendiente",TRIM('DATOS'!L482&amp;"")&lt;&gt;"Por confirmar",TRIM('DATOS'!L482&amp;"")&lt;&gt;"No consta",TRIM('DATOS'!L482&amp;"")&lt;&gt;"Desconocido",TRIM('DATOS'!L482&amp;"")&lt;&gt;"Sin confirmar",TRIM('DATOS'!L482&amp;"")&lt;&gt;"Por decidir",TRIM('DATOS'!L482&amp;"")&lt;&gt;"Por comprobar")),0,1),0))))),2)</f>
      </c>
      <c r="R482" s="29">
        <f>IFERROR(IF(N482=0,"",IF(OR(NOT(AND(LEN(TRIM('DATOS'!D482&amp;""))&gt;0,TRIM('DATOS'!D482&amp;"")&lt;&gt;"Pendiente",TRIM('DATOS'!D482&amp;"")&lt;&gt;"Por confirmar",TRIM('DATOS'!D482&amp;"")&lt;&gt;"No consta",TRIM('DATOS'!D482&amp;"")&lt;&gt;"Desconocido",TRIM('DATOS'!D482&amp;"")&lt;&gt;"Sin confirmar",TRIM('DATOS'!D482&amp;"")&lt;&gt;"Por decidir",TRIM('DATOS'!D482&amp;"")&lt;&gt;"Por comprobar")),NOT(AND(LEN(TRIM('DATOS'!E482&amp;""))&gt;0,TRIM('DATOS'!E482&amp;"")&lt;&gt;"Pendiente",TRIM('DATOS'!E482&amp;"")&lt;&gt;"Por confirmar",TRIM('DATOS'!E482&amp;"")&lt;&gt;"No consta",TRIM('DATOS'!E482&amp;"")&lt;&gt;"Desconocido",TRIM('DATOS'!E482&amp;"")&lt;&gt;"Sin confirmar",TRIM('DATOS'!E482&amp;"")&lt;&gt;"Por decidir",TRIM('DATOS'!E482&amp;"")&lt;&gt;"Por comprobar"))),2,IF('DATOS'!M482="No",2,IF('DATOS'!M482="Sí",0,IF(OR('DATOS'!D482&lt;&gt;'DATOS'!E482,LEN('DATOS'!E482)&gt;300,RIGHT(TRIM('DATOS'!E482),3)="...",RIGHT(TRIM('DATOS'!E482),1)="…"),1,0))))),2)</f>
      </c>
      <c r="S482" s="29">
        <f>IFERROR(IF(N482=0,"",IF('REFERENCIAS'!$Q$8&lt;&gt;1,2,IF(NOT(Y482=1),1,IF(OR(ABS('DATOS'!G482-ROUND('DATOS'!G482,'REFERENCIAS'!$E$8))&gt;0.00000001,ABS('DATOS'!H482-ROUND('DATOS'!H482,'REFERENCIAS'!$H$8))&gt;0.00000001,ABS('DATOS'!J482-ROUND('DATOS'!J482,'REFERENCIAS'!$K$8))&gt;0.00000001,IF(ISNUMBER('DATOS'!I482),ABS('DATOS'!I482-ROUND('DATOS'!I482,'REFERENCIAS'!$H$8))&gt;0.00000001,FALSE)),1,0)))),2)</f>
      </c>
      <c r="T482" s="29">
        <f>IFERROR(IF(N482=0,"",IF(NOT(AND(LEN(TRIM('DATOS'!F482&amp;""))&gt;0,TRIM('DATOS'!F482&amp;"")&lt;&gt;"Pendiente",TRIM('DATOS'!F482&amp;"")&lt;&gt;"Por confirmar",TRIM('DATOS'!F482&amp;"")&lt;&gt;"No consta",TRIM('DATOS'!F482&amp;"")&lt;&gt;"Desconocido",TRIM('DATOS'!F482&amp;"")&lt;&gt;"Sin confirmar",TRIM('DATOS'!F482&amp;"")&lt;&gt;"Por decidir",TRIM('DATOS'!F482&amp;"")&lt;&gt;"Por comprobar")),2,IF(COUNTIFS('REFERENCIAS'!$T$15:$T$34,"ID:"&amp;SUBSTITUTE(SUBSTITUTE(SUBSTITUTE(SUBSTITUTE(UPPER(TRIM('DATOS'!F482&amp;"")),"!","!E"),"*","!A"),"?","!B"),"~","!C"),'REFERENCIAS'!$H$15:$H$34,"&lt;&gt;")&gt;0,0,1))),2)</f>
      </c>
      <c r="U482" s="29" t="str">
        <f>'DATOS'!R482</f>
        <v>ID:</v>
      </c>
      <c r="V482" s="29" t="str">
        <f>'DATOS'!S482</f>
        <v>ID:</v>
      </c>
      <c r="W482" s="29" t="n">
        <f>IF(N482=0,0,COUNTIFS('REFERENCIAS'!$R$15:$R$64,U482))</f>
        <v>0</v>
      </c>
      <c r="X482" s="29" t="n">
        <f>IF(N482=0,0,COUNTIFS('DATOS'!$R$10:$R$509,U482,'DATOS'!$S$10:$S$509,V482))</f>
        <v>0</v>
      </c>
      <c r="Y482" s="29" t="n">
        <f>IF(AND(ISNUMBER('DATOS'!G482),ISNUMBER('DATOS'!H482),ISNUMBER('DATOS'!J482)),1,0)</f>
        <v>0</v>
      </c>
    </row>
    <row r="483" ht="64" customHeight="1">
      <c r="B483" s="26">
        <f>IF(N483=1,474,"")</f>
      </c>
      <c r="C483" s="26">
        <f>IF(AND(N483=1,LEN(TRIM('DATOS'!B483&amp;""))&gt;0),'DATOS'!B483,"")</f>
      </c>
      <c r="D483" s="26">
        <f>IF(AND(N483=1,LEN(TRIM('DATOS'!C483&amp;""))&gt;0),'DATOS'!C483,"")</f>
      </c>
      <c r="E483" s="26">
        <f>IF(NOT(ISNUMBER(P483)),"",IF(P483=2,"ROJO",IF(P483=1,"ÁMBAR","VERDE")))</f>
      </c>
      <c r="F483" s="26">
        <f>IF(NOT(ISNUMBER(Q483)),"",IF(Q483=2,"ROJO",IF(Q483=1,"ÁMBAR","VERDE")))</f>
      </c>
      <c r="G483" s="26">
        <f>IF(NOT(ISNUMBER(R483)),"",IF(R483=2,"ROJO",IF(R483=1,"ÁMBAR","VERDE")))</f>
      </c>
      <c r="H483" s="26">
        <f>IF(NOT(ISNUMBER(S483)),"",IF(S483=2,"ROJO",IF(S483=1,"ÁMBAR","VERDE")))</f>
      </c>
      <c r="I483" s="26">
        <f>IF(NOT(ISNUMBER(T483)),"",IF(T483=2,"ROJO",IF(T483=1,"ÁMBAR","VERDE")))</f>
      </c>
      <c r="J483" s="26">
        <f>IF(NOT(ISNUMBER(O483)),"",IF(O483=2,"ROJO",IF(O483=1,"ÁMBAR","VERDE")))</f>
      </c>
      <c r="K483" s="26">
        <f>IFERROR(IF(AND(N483=1,LEN(TRIM('DATOS'!N483&amp;""))&gt;0),'DATOS'!N483,""),"Hay una entrada con error. Corregimos el dato antes de cerrar la comprobación.")</f>
      </c>
      <c r="L483" s="26">
        <f>IFERROR(IF(N483=0,"",IF(O483&gt;0,"Completamos datos, claves o motivo. ","")&amp;IF(P483&gt;0,"Cotejamos precios e importe. ","")&amp;IF(Q483&gt;0,"Aclaramos el cero. ","")&amp;IF(R483&gt;0,"Comprobamos el texto. ","")&amp;IF(S483&gt;0,"Revisamos decimales visibles. ","")&amp;IF(T483&gt;0,"Confirmamos la unidad.","")),"Hay una entrada con error. Corregimos el dato antes de cerrar la comprobación.")</f>
      </c>
      <c r="N483" s="29" t="n">
        <f>IF(COUNTA('DATOS'!B483:O483)&gt;0,1,0)</f>
        <v>0</v>
      </c>
      <c r="O483" s="29">
        <f>IFERROR(IF(N483=0,"",IF(OR(NOT(AND(LEN(TRIM('DATOS'!B483&amp;""))&gt;0,TRIM('DATOS'!B483&amp;"")&lt;&gt;"Pendiente",TRIM('DATOS'!B483&amp;"")&lt;&gt;"Por confirmar",TRIM('DATOS'!B483&amp;"")&lt;&gt;"No consta",TRIM('DATOS'!B483&amp;"")&lt;&gt;"Desconocido",TRIM('DATOS'!B483&amp;"")&lt;&gt;"Sin confirmar",TRIM('DATOS'!B483&amp;"")&lt;&gt;"Por decidir",TRIM('DATOS'!B483&amp;"")&lt;&gt;"Por comprobar")),NOT(AND(LEN(TRIM('DATOS'!C483&amp;""))&gt;0,TRIM('DATOS'!C483&amp;"")&lt;&gt;"Pendiente",TRIM('DATOS'!C483&amp;"")&lt;&gt;"Por confirmar",TRIM('DATOS'!C483&amp;"")&lt;&gt;"No consta",TRIM('DATOS'!C483&amp;"")&lt;&gt;"Desconocido",TRIM('DATOS'!C483&amp;"")&lt;&gt;"Sin confirmar",TRIM('DATOS'!C483&amp;"")&lt;&gt;"Por decidir",TRIM('DATOS'!C483&amp;"")&lt;&gt;"Por comprobar")),NOT(AND(LEN(TRIM('DATOS'!D483&amp;""))&gt;0,TRIM('DATOS'!D483&amp;"")&lt;&gt;"Pendiente",TRIM('DATOS'!D483&amp;"")&lt;&gt;"Por confirmar",TRIM('DATOS'!D483&amp;"")&lt;&gt;"No consta",TRIM('DATOS'!D483&amp;"")&lt;&gt;"Desconocido",TRIM('DATOS'!D483&amp;"")&lt;&gt;"Sin confirmar",TRIM('DATOS'!D483&amp;"")&lt;&gt;"Por decidir",TRIM('DATOS'!D483&amp;"")&lt;&gt;"Por comprobar")),NOT(AND(LEN(TRIM('DATOS'!E483&amp;""))&gt;0,TRIM('DATOS'!E483&amp;"")&lt;&gt;"Pendiente",TRIM('DATOS'!E483&amp;"")&lt;&gt;"Por confirmar",TRIM('DATOS'!E483&amp;"")&lt;&gt;"No consta",TRIM('DATOS'!E483&amp;"")&lt;&gt;"Desconocido",TRIM('DATOS'!E483&amp;"")&lt;&gt;"Sin confirmar",TRIM('DATOS'!E483&amp;"")&lt;&gt;"Por decidir",TRIM('DATOS'!E483&amp;"")&lt;&gt;"Por comprobar")),NOT(AND(LEN(TRIM('DATOS'!F483&amp;""))&gt;0,TRIM('DATOS'!F483&amp;"")&lt;&gt;"Pendiente",TRIM('DATOS'!F483&amp;"")&lt;&gt;"Por confirmar",TRIM('DATOS'!F483&amp;"")&lt;&gt;"No consta",TRIM('DATOS'!F483&amp;"")&lt;&gt;"Desconocido",TRIM('DATOS'!F483&amp;"")&lt;&gt;"Sin confirmar",TRIM('DATOS'!F483&amp;"")&lt;&gt;"Por decidir",TRIM('DATOS'!F483&amp;"")&lt;&gt;"Por comprobar")),NOT(AND(LEN(TRIM('DATOS'!N483&amp;""))&gt;0,TRIM('DATOS'!N483&amp;"")&lt;&gt;"Pendiente",TRIM('DATOS'!N483&amp;"")&lt;&gt;"Por confirmar",TRIM('DATOS'!N483&amp;"")&lt;&gt;"No consta",TRIM('DATOS'!N483&amp;"")&lt;&gt;"Desconocido",TRIM('DATOS'!N483&amp;"")&lt;&gt;"Sin confirmar",TRIM('DATOS'!N483&amp;"")&lt;&gt;"Por decidir",TRIM('DATOS'!N483&amp;"")&lt;&gt;"Por comprobar")),NOT(Y483=1),W483&lt;&gt;1,X483&gt;1,NOT(OR(LEN(TRIM('DATOS'!K483&amp;""))=0,'DATOS'!K483="Sin valorar",'DATOS'!K483="Sin coste documentado",'DATOS'!K483="Incluido en otra partida",'DATOS'!K483="Por confirmar")),NOT(OR(LEN(TRIM('DATOS'!M483&amp;""))=0,'DATOS'!M483="Sí",'DATOS'!M483="No",'DATOS'!M483="Por confirmar")),NOT(OR(LEN(TRIM('DATOS'!O483&amp;""))=0,'DATOS'!O483="Comparamos",'DATOS'!O483="No existe",'DATOS'!O483="Por confirmar"))),2,IF(AND(OR('DATOS'!G483&lt;0,'DATOS'!H483&lt;0,'DATOS'!J483&lt;0),NOT(AND(LEN(TRIM('DATOS'!L483&amp;""))&gt;0,TRIM('DATOS'!L483&amp;"")&lt;&gt;"Pendiente",TRIM('DATOS'!L483&amp;"")&lt;&gt;"Por confirmar",TRIM('DATOS'!L483&amp;"")&lt;&gt;"No consta",TRIM('DATOS'!L483&amp;"")&lt;&gt;"Desconocido",TRIM('DATOS'!L483&amp;"")&lt;&gt;"Sin confirmar",TRIM('DATOS'!L483&amp;"")&lt;&gt;"Por decidir",TRIM('DATOS'!L483&amp;"")&lt;&gt;"Por comprobar"))),1,0))),2)</f>
      </c>
      <c r="P483" s="29">
        <f>IFERROR(IF(N483=0,"",IF(NOT(Y483=1),1,IF('REFERENCIAS'!$Q$8&lt;&gt;1,2,IF(ABS('DATOS'!J483-ROUND('DATOS'!G483*'DATOS'!H483,'REFERENCIAS'!$K$8))&gt;0.00000001,2,IF('DATOS'!O483="No existe",IF(LEN(TRIM('DATOS'!I483&amp;""))=0,0,2),IF('DATOS'!O483="Comparamos",IF(LEN(TRIM('DATOS'!I483&amp;""))=0,1,IF(ISNUMBER('DATOS'!I483),IF(ABS('DATOS'!H483-'DATOS'!I483)&gt;0.00000001,2,0),2)),1)))))),2)</f>
      </c>
      <c r="Q483" s="29">
        <f>IFERROR(IF(N483=0,"",IF(NOT(Y483=1),1,IF('DATOS'!K483="Sin valorar",2,IF('DATOS'!G483=0,1,IF(OR('DATOS'!H483=0,'DATOS'!J483=0),IF(AND(OR('DATOS'!K483="Sin coste documentado",'DATOS'!K483="Incluido en otra partida"),AND(LEN(TRIM('DATOS'!L483&amp;""))&gt;0,TRIM('DATOS'!L483&amp;"")&lt;&gt;"Pendiente",TRIM('DATOS'!L483&amp;"")&lt;&gt;"Por confirmar",TRIM('DATOS'!L483&amp;"")&lt;&gt;"No consta",TRIM('DATOS'!L483&amp;"")&lt;&gt;"Desconocido",TRIM('DATOS'!L483&amp;"")&lt;&gt;"Sin confirmar",TRIM('DATOS'!L483&amp;"")&lt;&gt;"Por decidir",TRIM('DATOS'!L483&amp;"")&lt;&gt;"Por comprobar")),0,1),0))))),2)</f>
      </c>
      <c r="R483" s="29">
        <f>IFERROR(IF(N483=0,"",IF(OR(NOT(AND(LEN(TRIM('DATOS'!D483&amp;""))&gt;0,TRIM('DATOS'!D483&amp;"")&lt;&gt;"Pendiente",TRIM('DATOS'!D483&amp;"")&lt;&gt;"Por confirmar",TRIM('DATOS'!D483&amp;"")&lt;&gt;"No consta",TRIM('DATOS'!D483&amp;"")&lt;&gt;"Desconocido",TRIM('DATOS'!D483&amp;"")&lt;&gt;"Sin confirmar",TRIM('DATOS'!D483&amp;"")&lt;&gt;"Por decidir",TRIM('DATOS'!D483&amp;"")&lt;&gt;"Por comprobar")),NOT(AND(LEN(TRIM('DATOS'!E483&amp;""))&gt;0,TRIM('DATOS'!E483&amp;"")&lt;&gt;"Pendiente",TRIM('DATOS'!E483&amp;"")&lt;&gt;"Por confirmar",TRIM('DATOS'!E483&amp;"")&lt;&gt;"No consta",TRIM('DATOS'!E483&amp;"")&lt;&gt;"Desconocido",TRIM('DATOS'!E483&amp;"")&lt;&gt;"Sin confirmar",TRIM('DATOS'!E483&amp;"")&lt;&gt;"Por decidir",TRIM('DATOS'!E483&amp;"")&lt;&gt;"Por comprobar"))),2,IF('DATOS'!M483="No",2,IF('DATOS'!M483="Sí",0,IF(OR('DATOS'!D483&lt;&gt;'DATOS'!E483,LEN('DATOS'!E483)&gt;300,RIGHT(TRIM('DATOS'!E483),3)="...",RIGHT(TRIM('DATOS'!E483),1)="…"),1,0))))),2)</f>
      </c>
      <c r="S483" s="29">
        <f>IFERROR(IF(N483=0,"",IF('REFERENCIAS'!$Q$8&lt;&gt;1,2,IF(NOT(Y483=1),1,IF(OR(ABS('DATOS'!G483-ROUND('DATOS'!G483,'REFERENCIAS'!$E$8))&gt;0.00000001,ABS('DATOS'!H483-ROUND('DATOS'!H483,'REFERENCIAS'!$H$8))&gt;0.00000001,ABS('DATOS'!J483-ROUND('DATOS'!J483,'REFERENCIAS'!$K$8))&gt;0.00000001,IF(ISNUMBER('DATOS'!I483),ABS('DATOS'!I483-ROUND('DATOS'!I483,'REFERENCIAS'!$H$8))&gt;0.00000001,FALSE)),1,0)))),2)</f>
      </c>
      <c r="T483" s="29">
        <f>IFERROR(IF(N483=0,"",IF(NOT(AND(LEN(TRIM('DATOS'!F483&amp;""))&gt;0,TRIM('DATOS'!F483&amp;"")&lt;&gt;"Pendiente",TRIM('DATOS'!F483&amp;"")&lt;&gt;"Por confirmar",TRIM('DATOS'!F483&amp;"")&lt;&gt;"No consta",TRIM('DATOS'!F483&amp;"")&lt;&gt;"Desconocido",TRIM('DATOS'!F483&amp;"")&lt;&gt;"Sin confirmar",TRIM('DATOS'!F483&amp;"")&lt;&gt;"Por decidir",TRIM('DATOS'!F483&amp;"")&lt;&gt;"Por comprobar")),2,IF(COUNTIFS('REFERENCIAS'!$T$15:$T$34,"ID:"&amp;SUBSTITUTE(SUBSTITUTE(SUBSTITUTE(SUBSTITUTE(UPPER(TRIM('DATOS'!F483&amp;"")),"!","!E"),"*","!A"),"?","!B"),"~","!C"),'REFERENCIAS'!$H$15:$H$34,"&lt;&gt;")&gt;0,0,1))),2)</f>
      </c>
      <c r="U483" s="29" t="str">
        <f>'DATOS'!R483</f>
        <v>ID:</v>
      </c>
      <c r="V483" s="29" t="str">
        <f>'DATOS'!S483</f>
        <v>ID:</v>
      </c>
      <c r="W483" s="29" t="n">
        <f>IF(N483=0,0,COUNTIFS('REFERENCIAS'!$R$15:$R$64,U483))</f>
        <v>0</v>
      </c>
      <c r="X483" s="29" t="n">
        <f>IF(N483=0,0,COUNTIFS('DATOS'!$R$10:$R$509,U483,'DATOS'!$S$10:$S$509,V483))</f>
        <v>0</v>
      </c>
      <c r="Y483" s="29" t="n">
        <f>IF(AND(ISNUMBER('DATOS'!G483),ISNUMBER('DATOS'!H483),ISNUMBER('DATOS'!J483)),1,0)</f>
        <v>0</v>
      </c>
    </row>
    <row r="484" ht="64" customHeight="1">
      <c r="B484" s="26">
        <f>IF(N484=1,475,"")</f>
      </c>
      <c r="C484" s="26">
        <f>IF(AND(N484=1,LEN(TRIM('DATOS'!B484&amp;""))&gt;0),'DATOS'!B484,"")</f>
      </c>
      <c r="D484" s="26">
        <f>IF(AND(N484=1,LEN(TRIM('DATOS'!C484&amp;""))&gt;0),'DATOS'!C484,"")</f>
      </c>
      <c r="E484" s="26">
        <f>IF(NOT(ISNUMBER(P484)),"",IF(P484=2,"ROJO",IF(P484=1,"ÁMBAR","VERDE")))</f>
      </c>
      <c r="F484" s="26">
        <f>IF(NOT(ISNUMBER(Q484)),"",IF(Q484=2,"ROJO",IF(Q484=1,"ÁMBAR","VERDE")))</f>
      </c>
      <c r="G484" s="26">
        <f>IF(NOT(ISNUMBER(R484)),"",IF(R484=2,"ROJO",IF(R484=1,"ÁMBAR","VERDE")))</f>
      </c>
      <c r="H484" s="26">
        <f>IF(NOT(ISNUMBER(S484)),"",IF(S484=2,"ROJO",IF(S484=1,"ÁMBAR","VERDE")))</f>
      </c>
      <c r="I484" s="26">
        <f>IF(NOT(ISNUMBER(T484)),"",IF(T484=2,"ROJO",IF(T484=1,"ÁMBAR","VERDE")))</f>
      </c>
      <c r="J484" s="26">
        <f>IF(NOT(ISNUMBER(O484)),"",IF(O484=2,"ROJO",IF(O484=1,"ÁMBAR","VERDE")))</f>
      </c>
      <c r="K484" s="26">
        <f>IFERROR(IF(AND(N484=1,LEN(TRIM('DATOS'!N484&amp;""))&gt;0),'DATOS'!N484,""),"Hay una entrada con error. Corregimos el dato antes de cerrar la comprobación.")</f>
      </c>
      <c r="L484" s="26">
        <f>IFERROR(IF(N484=0,"",IF(O484&gt;0,"Completamos datos, claves o motivo. ","")&amp;IF(P484&gt;0,"Cotejamos precios e importe. ","")&amp;IF(Q484&gt;0,"Aclaramos el cero. ","")&amp;IF(R484&gt;0,"Comprobamos el texto. ","")&amp;IF(S484&gt;0,"Revisamos decimales visibles. ","")&amp;IF(T484&gt;0,"Confirmamos la unidad.","")),"Hay una entrada con error. Corregimos el dato antes de cerrar la comprobación.")</f>
      </c>
      <c r="N484" s="29" t="n">
        <f>IF(COUNTA('DATOS'!B484:O484)&gt;0,1,0)</f>
        <v>0</v>
      </c>
      <c r="O484" s="29">
        <f>IFERROR(IF(N484=0,"",IF(OR(NOT(AND(LEN(TRIM('DATOS'!B484&amp;""))&gt;0,TRIM('DATOS'!B484&amp;"")&lt;&gt;"Pendiente",TRIM('DATOS'!B484&amp;"")&lt;&gt;"Por confirmar",TRIM('DATOS'!B484&amp;"")&lt;&gt;"No consta",TRIM('DATOS'!B484&amp;"")&lt;&gt;"Desconocido",TRIM('DATOS'!B484&amp;"")&lt;&gt;"Sin confirmar",TRIM('DATOS'!B484&amp;"")&lt;&gt;"Por decidir",TRIM('DATOS'!B484&amp;"")&lt;&gt;"Por comprobar")),NOT(AND(LEN(TRIM('DATOS'!C484&amp;""))&gt;0,TRIM('DATOS'!C484&amp;"")&lt;&gt;"Pendiente",TRIM('DATOS'!C484&amp;"")&lt;&gt;"Por confirmar",TRIM('DATOS'!C484&amp;"")&lt;&gt;"No consta",TRIM('DATOS'!C484&amp;"")&lt;&gt;"Desconocido",TRIM('DATOS'!C484&amp;"")&lt;&gt;"Sin confirmar",TRIM('DATOS'!C484&amp;"")&lt;&gt;"Por decidir",TRIM('DATOS'!C484&amp;"")&lt;&gt;"Por comprobar")),NOT(AND(LEN(TRIM('DATOS'!D484&amp;""))&gt;0,TRIM('DATOS'!D484&amp;"")&lt;&gt;"Pendiente",TRIM('DATOS'!D484&amp;"")&lt;&gt;"Por confirmar",TRIM('DATOS'!D484&amp;"")&lt;&gt;"No consta",TRIM('DATOS'!D484&amp;"")&lt;&gt;"Desconocido",TRIM('DATOS'!D484&amp;"")&lt;&gt;"Sin confirmar",TRIM('DATOS'!D484&amp;"")&lt;&gt;"Por decidir",TRIM('DATOS'!D484&amp;"")&lt;&gt;"Por comprobar")),NOT(AND(LEN(TRIM('DATOS'!E484&amp;""))&gt;0,TRIM('DATOS'!E484&amp;"")&lt;&gt;"Pendiente",TRIM('DATOS'!E484&amp;"")&lt;&gt;"Por confirmar",TRIM('DATOS'!E484&amp;"")&lt;&gt;"No consta",TRIM('DATOS'!E484&amp;"")&lt;&gt;"Desconocido",TRIM('DATOS'!E484&amp;"")&lt;&gt;"Sin confirmar",TRIM('DATOS'!E484&amp;"")&lt;&gt;"Por decidir",TRIM('DATOS'!E484&amp;"")&lt;&gt;"Por comprobar")),NOT(AND(LEN(TRIM('DATOS'!F484&amp;""))&gt;0,TRIM('DATOS'!F484&amp;"")&lt;&gt;"Pendiente",TRIM('DATOS'!F484&amp;"")&lt;&gt;"Por confirmar",TRIM('DATOS'!F484&amp;"")&lt;&gt;"No consta",TRIM('DATOS'!F484&amp;"")&lt;&gt;"Desconocido",TRIM('DATOS'!F484&amp;"")&lt;&gt;"Sin confirmar",TRIM('DATOS'!F484&amp;"")&lt;&gt;"Por decidir",TRIM('DATOS'!F484&amp;"")&lt;&gt;"Por comprobar")),NOT(AND(LEN(TRIM('DATOS'!N484&amp;""))&gt;0,TRIM('DATOS'!N484&amp;"")&lt;&gt;"Pendiente",TRIM('DATOS'!N484&amp;"")&lt;&gt;"Por confirmar",TRIM('DATOS'!N484&amp;"")&lt;&gt;"No consta",TRIM('DATOS'!N484&amp;"")&lt;&gt;"Desconocido",TRIM('DATOS'!N484&amp;"")&lt;&gt;"Sin confirmar",TRIM('DATOS'!N484&amp;"")&lt;&gt;"Por decidir",TRIM('DATOS'!N484&amp;"")&lt;&gt;"Por comprobar")),NOT(Y484=1),W484&lt;&gt;1,X484&gt;1,NOT(OR(LEN(TRIM('DATOS'!K484&amp;""))=0,'DATOS'!K484="Sin valorar",'DATOS'!K484="Sin coste documentado",'DATOS'!K484="Incluido en otra partida",'DATOS'!K484="Por confirmar")),NOT(OR(LEN(TRIM('DATOS'!M484&amp;""))=0,'DATOS'!M484="Sí",'DATOS'!M484="No",'DATOS'!M484="Por confirmar")),NOT(OR(LEN(TRIM('DATOS'!O484&amp;""))=0,'DATOS'!O484="Comparamos",'DATOS'!O484="No existe",'DATOS'!O484="Por confirmar"))),2,IF(AND(OR('DATOS'!G484&lt;0,'DATOS'!H484&lt;0,'DATOS'!J484&lt;0),NOT(AND(LEN(TRIM('DATOS'!L484&amp;""))&gt;0,TRIM('DATOS'!L484&amp;"")&lt;&gt;"Pendiente",TRIM('DATOS'!L484&amp;"")&lt;&gt;"Por confirmar",TRIM('DATOS'!L484&amp;"")&lt;&gt;"No consta",TRIM('DATOS'!L484&amp;"")&lt;&gt;"Desconocido",TRIM('DATOS'!L484&amp;"")&lt;&gt;"Sin confirmar",TRIM('DATOS'!L484&amp;"")&lt;&gt;"Por decidir",TRIM('DATOS'!L484&amp;"")&lt;&gt;"Por comprobar"))),1,0))),2)</f>
      </c>
      <c r="P484" s="29">
        <f>IFERROR(IF(N484=0,"",IF(NOT(Y484=1),1,IF('REFERENCIAS'!$Q$8&lt;&gt;1,2,IF(ABS('DATOS'!J484-ROUND('DATOS'!G484*'DATOS'!H484,'REFERENCIAS'!$K$8))&gt;0.00000001,2,IF('DATOS'!O484="No existe",IF(LEN(TRIM('DATOS'!I484&amp;""))=0,0,2),IF('DATOS'!O484="Comparamos",IF(LEN(TRIM('DATOS'!I484&amp;""))=0,1,IF(ISNUMBER('DATOS'!I484),IF(ABS('DATOS'!H484-'DATOS'!I484)&gt;0.00000001,2,0),2)),1)))))),2)</f>
      </c>
      <c r="Q484" s="29">
        <f>IFERROR(IF(N484=0,"",IF(NOT(Y484=1),1,IF('DATOS'!K484="Sin valorar",2,IF('DATOS'!G484=0,1,IF(OR('DATOS'!H484=0,'DATOS'!J484=0),IF(AND(OR('DATOS'!K484="Sin coste documentado",'DATOS'!K484="Incluido en otra partida"),AND(LEN(TRIM('DATOS'!L484&amp;""))&gt;0,TRIM('DATOS'!L484&amp;"")&lt;&gt;"Pendiente",TRIM('DATOS'!L484&amp;"")&lt;&gt;"Por confirmar",TRIM('DATOS'!L484&amp;"")&lt;&gt;"No consta",TRIM('DATOS'!L484&amp;"")&lt;&gt;"Desconocido",TRIM('DATOS'!L484&amp;"")&lt;&gt;"Sin confirmar",TRIM('DATOS'!L484&amp;"")&lt;&gt;"Por decidir",TRIM('DATOS'!L484&amp;"")&lt;&gt;"Por comprobar")),0,1),0))))),2)</f>
      </c>
      <c r="R484" s="29">
        <f>IFERROR(IF(N484=0,"",IF(OR(NOT(AND(LEN(TRIM('DATOS'!D484&amp;""))&gt;0,TRIM('DATOS'!D484&amp;"")&lt;&gt;"Pendiente",TRIM('DATOS'!D484&amp;"")&lt;&gt;"Por confirmar",TRIM('DATOS'!D484&amp;"")&lt;&gt;"No consta",TRIM('DATOS'!D484&amp;"")&lt;&gt;"Desconocido",TRIM('DATOS'!D484&amp;"")&lt;&gt;"Sin confirmar",TRIM('DATOS'!D484&amp;"")&lt;&gt;"Por decidir",TRIM('DATOS'!D484&amp;"")&lt;&gt;"Por comprobar")),NOT(AND(LEN(TRIM('DATOS'!E484&amp;""))&gt;0,TRIM('DATOS'!E484&amp;"")&lt;&gt;"Pendiente",TRIM('DATOS'!E484&amp;"")&lt;&gt;"Por confirmar",TRIM('DATOS'!E484&amp;"")&lt;&gt;"No consta",TRIM('DATOS'!E484&amp;"")&lt;&gt;"Desconocido",TRIM('DATOS'!E484&amp;"")&lt;&gt;"Sin confirmar",TRIM('DATOS'!E484&amp;"")&lt;&gt;"Por decidir",TRIM('DATOS'!E484&amp;"")&lt;&gt;"Por comprobar"))),2,IF('DATOS'!M484="No",2,IF('DATOS'!M484="Sí",0,IF(OR('DATOS'!D484&lt;&gt;'DATOS'!E484,LEN('DATOS'!E484)&gt;300,RIGHT(TRIM('DATOS'!E484),3)="...",RIGHT(TRIM('DATOS'!E484),1)="…"),1,0))))),2)</f>
      </c>
      <c r="S484" s="29">
        <f>IFERROR(IF(N484=0,"",IF('REFERENCIAS'!$Q$8&lt;&gt;1,2,IF(NOT(Y484=1),1,IF(OR(ABS('DATOS'!G484-ROUND('DATOS'!G484,'REFERENCIAS'!$E$8))&gt;0.00000001,ABS('DATOS'!H484-ROUND('DATOS'!H484,'REFERENCIAS'!$H$8))&gt;0.00000001,ABS('DATOS'!J484-ROUND('DATOS'!J484,'REFERENCIAS'!$K$8))&gt;0.00000001,IF(ISNUMBER('DATOS'!I484),ABS('DATOS'!I484-ROUND('DATOS'!I484,'REFERENCIAS'!$H$8))&gt;0.00000001,FALSE)),1,0)))),2)</f>
      </c>
      <c r="T484" s="29">
        <f>IFERROR(IF(N484=0,"",IF(NOT(AND(LEN(TRIM('DATOS'!F484&amp;""))&gt;0,TRIM('DATOS'!F484&amp;"")&lt;&gt;"Pendiente",TRIM('DATOS'!F484&amp;"")&lt;&gt;"Por confirmar",TRIM('DATOS'!F484&amp;"")&lt;&gt;"No consta",TRIM('DATOS'!F484&amp;"")&lt;&gt;"Desconocido",TRIM('DATOS'!F484&amp;"")&lt;&gt;"Sin confirmar",TRIM('DATOS'!F484&amp;"")&lt;&gt;"Por decidir",TRIM('DATOS'!F484&amp;"")&lt;&gt;"Por comprobar")),2,IF(COUNTIFS('REFERENCIAS'!$T$15:$T$34,"ID:"&amp;SUBSTITUTE(SUBSTITUTE(SUBSTITUTE(SUBSTITUTE(UPPER(TRIM('DATOS'!F484&amp;"")),"!","!E"),"*","!A"),"?","!B"),"~","!C"),'REFERENCIAS'!$H$15:$H$34,"&lt;&gt;")&gt;0,0,1))),2)</f>
      </c>
      <c r="U484" s="29" t="str">
        <f>'DATOS'!R484</f>
        <v>ID:</v>
      </c>
      <c r="V484" s="29" t="str">
        <f>'DATOS'!S484</f>
        <v>ID:</v>
      </c>
      <c r="W484" s="29" t="n">
        <f>IF(N484=0,0,COUNTIFS('REFERENCIAS'!$R$15:$R$64,U484))</f>
        <v>0</v>
      </c>
      <c r="X484" s="29" t="n">
        <f>IF(N484=0,0,COUNTIFS('DATOS'!$R$10:$R$509,U484,'DATOS'!$S$10:$S$509,V484))</f>
        <v>0</v>
      </c>
      <c r="Y484" s="29" t="n">
        <f>IF(AND(ISNUMBER('DATOS'!G484),ISNUMBER('DATOS'!H484),ISNUMBER('DATOS'!J484)),1,0)</f>
        <v>0</v>
      </c>
    </row>
    <row r="485" ht="64" customHeight="1">
      <c r="B485" s="26">
        <f>IF(N485=1,476,"")</f>
      </c>
      <c r="C485" s="26">
        <f>IF(AND(N485=1,LEN(TRIM('DATOS'!B485&amp;""))&gt;0),'DATOS'!B485,"")</f>
      </c>
      <c r="D485" s="26">
        <f>IF(AND(N485=1,LEN(TRIM('DATOS'!C485&amp;""))&gt;0),'DATOS'!C485,"")</f>
      </c>
      <c r="E485" s="26">
        <f>IF(NOT(ISNUMBER(P485)),"",IF(P485=2,"ROJO",IF(P485=1,"ÁMBAR","VERDE")))</f>
      </c>
      <c r="F485" s="26">
        <f>IF(NOT(ISNUMBER(Q485)),"",IF(Q485=2,"ROJO",IF(Q485=1,"ÁMBAR","VERDE")))</f>
      </c>
      <c r="G485" s="26">
        <f>IF(NOT(ISNUMBER(R485)),"",IF(R485=2,"ROJO",IF(R485=1,"ÁMBAR","VERDE")))</f>
      </c>
      <c r="H485" s="26">
        <f>IF(NOT(ISNUMBER(S485)),"",IF(S485=2,"ROJO",IF(S485=1,"ÁMBAR","VERDE")))</f>
      </c>
      <c r="I485" s="26">
        <f>IF(NOT(ISNUMBER(T485)),"",IF(T485=2,"ROJO",IF(T485=1,"ÁMBAR","VERDE")))</f>
      </c>
      <c r="J485" s="26">
        <f>IF(NOT(ISNUMBER(O485)),"",IF(O485=2,"ROJO",IF(O485=1,"ÁMBAR","VERDE")))</f>
      </c>
      <c r="K485" s="26">
        <f>IFERROR(IF(AND(N485=1,LEN(TRIM('DATOS'!N485&amp;""))&gt;0),'DATOS'!N485,""),"Hay una entrada con error. Corregimos el dato antes de cerrar la comprobación.")</f>
      </c>
      <c r="L485" s="26">
        <f>IFERROR(IF(N485=0,"",IF(O485&gt;0,"Completamos datos, claves o motivo. ","")&amp;IF(P485&gt;0,"Cotejamos precios e importe. ","")&amp;IF(Q485&gt;0,"Aclaramos el cero. ","")&amp;IF(R485&gt;0,"Comprobamos el texto. ","")&amp;IF(S485&gt;0,"Revisamos decimales visibles. ","")&amp;IF(T485&gt;0,"Confirmamos la unidad.","")),"Hay una entrada con error. Corregimos el dato antes de cerrar la comprobación.")</f>
      </c>
      <c r="N485" s="29" t="n">
        <f>IF(COUNTA('DATOS'!B485:O485)&gt;0,1,0)</f>
        <v>0</v>
      </c>
      <c r="O485" s="29">
        <f>IFERROR(IF(N485=0,"",IF(OR(NOT(AND(LEN(TRIM('DATOS'!B485&amp;""))&gt;0,TRIM('DATOS'!B485&amp;"")&lt;&gt;"Pendiente",TRIM('DATOS'!B485&amp;"")&lt;&gt;"Por confirmar",TRIM('DATOS'!B485&amp;"")&lt;&gt;"No consta",TRIM('DATOS'!B485&amp;"")&lt;&gt;"Desconocido",TRIM('DATOS'!B485&amp;"")&lt;&gt;"Sin confirmar",TRIM('DATOS'!B485&amp;"")&lt;&gt;"Por decidir",TRIM('DATOS'!B485&amp;"")&lt;&gt;"Por comprobar")),NOT(AND(LEN(TRIM('DATOS'!C485&amp;""))&gt;0,TRIM('DATOS'!C485&amp;"")&lt;&gt;"Pendiente",TRIM('DATOS'!C485&amp;"")&lt;&gt;"Por confirmar",TRIM('DATOS'!C485&amp;"")&lt;&gt;"No consta",TRIM('DATOS'!C485&amp;"")&lt;&gt;"Desconocido",TRIM('DATOS'!C485&amp;"")&lt;&gt;"Sin confirmar",TRIM('DATOS'!C485&amp;"")&lt;&gt;"Por decidir",TRIM('DATOS'!C485&amp;"")&lt;&gt;"Por comprobar")),NOT(AND(LEN(TRIM('DATOS'!D485&amp;""))&gt;0,TRIM('DATOS'!D485&amp;"")&lt;&gt;"Pendiente",TRIM('DATOS'!D485&amp;"")&lt;&gt;"Por confirmar",TRIM('DATOS'!D485&amp;"")&lt;&gt;"No consta",TRIM('DATOS'!D485&amp;"")&lt;&gt;"Desconocido",TRIM('DATOS'!D485&amp;"")&lt;&gt;"Sin confirmar",TRIM('DATOS'!D485&amp;"")&lt;&gt;"Por decidir",TRIM('DATOS'!D485&amp;"")&lt;&gt;"Por comprobar")),NOT(AND(LEN(TRIM('DATOS'!E485&amp;""))&gt;0,TRIM('DATOS'!E485&amp;"")&lt;&gt;"Pendiente",TRIM('DATOS'!E485&amp;"")&lt;&gt;"Por confirmar",TRIM('DATOS'!E485&amp;"")&lt;&gt;"No consta",TRIM('DATOS'!E485&amp;"")&lt;&gt;"Desconocido",TRIM('DATOS'!E485&amp;"")&lt;&gt;"Sin confirmar",TRIM('DATOS'!E485&amp;"")&lt;&gt;"Por decidir",TRIM('DATOS'!E485&amp;"")&lt;&gt;"Por comprobar")),NOT(AND(LEN(TRIM('DATOS'!F485&amp;""))&gt;0,TRIM('DATOS'!F485&amp;"")&lt;&gt;"Pendiente",TRIM('DATOS'!F485&amp;"")&lt;&gt;"Por confirmar",TRIM('DATOS'!F485&amp;"")&lt;&gt;"No consta",TRIM('DATOS'!F485&amp;"")&lt;&gt;"Desconocido",TRIM('DATOS'!F485&amp;"")&lt;&gt;"Sin confirmar",TRIM('DATOS'!F485&amp;"")&lt;&gt;"Por decidir",TRIM('DATOS'!F485&amp;"")&lt;&gt;"Por comprobar")),NOT(AND(LEN(TRIM('DATOS'!N485&amp;""))&gt;0,TRIM('DATOS'!N485&amp;"")&lt;&gt;"Pendiente",TRIM('DATOS'!N485&amp;"")&lt;&gt;"Por confirmar",TRIM('DATOS'!N485&amp;"")&lt;&gt;"No consta",TRIM('DATOS'!N485&amp;"")&lt;&gt;"Desconocido",TRIM('DATOS'!N485&amp;"")&lt;&gt;"Sin confirmar",TRIM('DATOS'!N485&amp;"")&lt;&gt;"Por decidir",TRIM('DATOS'!N485&amp;"")&lt;&gt;"Por comprobar")),NOT(Y485=1),W485&lt;&gt;1,X485&gt;1,NOT(OR(LEN(TRIM('DATOS'!K485&amp;""))=0,'DATOS'!K485="Sin valorar",'DATOS'!K485="Sin coste documentado",'DATOS'!K485="Incluido en otra partida",'DATOS'!K485="Por confirmar")),NOT(OR(LEN(TRIM('DATOS'!M485&amp;""))=0,'DATOS'!M485="Sí",'DATOS'!M485="No",'DATOS'!M485="Por confirmar")),NOT(OR(LEN(TRIM('DATOS'!O485&amp;""))=0,'DATOS'!O485="Comparamos",'DATOS'!O485="No existe",'DATOS'!O485="Por confirmar"))),2,IF(AND(OR('DATOS'!G485&lt;0,'DATOS'!H485&lt;0,'DATOS'!J485&lt;0),NOT(AND(LEN(TRIM('DATOS'!L485&amp;""))&gt;0,TRIM('DATOS'!L485&amp;"")&lt;&gt;"Pendiente",TRIM('DATOS'!L485&amp;"")&lt;&gt;"Por confirmar",TRIM('DATOS'!L485&amp;"")&lt;&gt;"No consta",TRIM('DATOS'!L485&amp;"")&lt;&gt;"Desconocido",TRIM('DATOS'!L485&amp;"")&lt;&gt;"Sin confirmar",TRIM('DATOS'!L485&amp;"")&lt;&gt;"Por decidir",TRIM('DATOS'!L485&amp;"")&lt;&gt;"Por comprobar"))),1,0))),2)</f>
      </c>
      <c r="P485" s="29">
        <f>IFERROR(IF(N485=0,"",IF(NOT(Y485=1),1,IF('REFERENCIAS'!$Q$8&lt;&gt;1,2,IF(ABS('DATOS'!J485-ROUND('DATOS'!G485*'DATOS'!H485,'REFERENCIAS'!$K$8))&gt;0.00000001,2,IF('DATOS'!O485="No existe",IF(LEN(TRIM('DATOS'!I485&amp;""))=0,0,2),IF('DATOS'!O485="Comparamos",IF(LEN(TRIM('DATOS'!I485&amp;""))=0,1,IF(ISNUMBER('DATOS'!I485),IF(ABS('DATOS'!H485-'DATOS'!I485)&gt;0.00000001,2,0),2)),1)))))),2)</f>
      </c>
      <c r="Q485" s="29">
        <f>IFERROR(IF(N485=0,"",IF(NOT(Y485=1),1,IF('DATOS'!K485="Sin valorar",2,IF('DATOS'!G485=0,1,IF(OR('DATOS'!H485=0,'DATOS'!J485=0),IF(AND(OR('DATOS'!K485="Sin coste documentado",'DATOS'!K485="Incluido en otra partida"),AND(LEN(TRIM('DATOS'!L485&amp;""))&gt;0,TRIM('DATOS'!L485&amp;"")&lt;&gt;"Pendiente",TRIM('DATOS'!L485&amp;"")&lt;&gt;"Por confirmar",TRIM('DATOS'!L485&amp;"")&lt;&gt;"No consta",TRIM('DATOS'!L485&amp;"")&lt;&gt;"Desconocido",TRIM('DATOS'!L485&amp;"")&lt;&gt;"Sin confirmar",TRIM('DATOS'!L485&amp;"")&lt;&gt;"Por decidir",TRIM('DATOS'!L485&amp;"")&lt;&gt;"Por comprobar")),0,1),0))))),2)</f>
      </c>
      <c r="R485" s="29">
        <f>IFERROR(IF(N485=0,"",IF(OR(NOT(AND(LEN(TRIM('DATOS'!D485&amp;""))&gt;0,TRIM('DATOS'!D485&amp;"")&lt;&gt;"Pendiente",TRIM('DATOS'!D485&amp;"")&lt;&gt;"Por confirmar",TRIM('DATOS'!D485&amp;"")&lt;&gt;"No consta",TRIM('DATOS'!D485&amp;"")&lt;&gt;"Desconocido",TRIM('DATOS'!D485&amp;"")&lt;&gt;"Sin confirmar",TRIM('DATOS'!D485&amp;"")&lt;&gt;"Por decidir",TRIM('DATOS'!D485&amp;"")&lt;&gt;"Por comprobar")),NOT(AND(LEN(TRIM('DATOS'!E485&amp;""))&gt;0,TRIM('DATOS'!E485&amp;"")&lt;&gt;"Pendiente",TRIM('DATOS'!E485&amp;"")&lt;&gt;"Por confirmar",TRIM('DATOS'!E485&amp;"")&lt;&gt;"No consta",TRIM('DATOS'!E485&amp;"")&lt;&gt;"Desconocido",TRIM('DATOS'!E485&amp;"")&lt;&gt;"Sin confirmar",TRIM('DATOS'!E485&amp;"")&lt;&gt;"Por decidir",TRIM('DATOS'!E485&amp;"")&lt;&gt;"Por comprobar"))),2,IF('DATOS'!M485="No",2,IF('DATOS'!M485="Sí",0,IF(OR('DATOS'!D485&lt;&gt;'DATOS'!E485,LEN('DATOS'!E485)&gt;300,RIGHT(TRIM('DATOS'!E485),3)="...",RIGHT(TRIM('DATOS'!E485),1)="…"),1,0))))),2)</f>
      </c>
      <c r="S485" s="29">
        <f>IFERROR(IF(N485=0,"",IF('REFERENCIAS'!$Q$8&lt;&gt;1,2,IF(NOT(Y485=1),1,IF(OR(ABS('DATOS'!G485-ROUND('DATOS'!G485,'REFERENCIAS'!$E$8))&gt;0.00000001,ABS('DATOS'!H485-ROUND('DATOS'!H485,'REFERENCIAS'!$H$8))&gt;0.00000001,ABS('DATOS'!J485-ROUND('DATOS'!J485,'REFERENCIAS'!$K$8))&gt;0.00000001,IF(ISNUMBER('DATOS'!I485),ABS('DATOS'!I485-ROUND('DATOS'!I485,'REFERENCIAS'!$H$8))&gt;0.00000001,FALSE)),1,0)))),2)</f>
      </c>
      <c r="T485" s="29">
        <f>IFERROR(IF(N485=0,"",IF(NOT(AND(LEN(TRIM('DATOS'!F485&amp;""))&gt;0,TRIM('DATOS'!F485&amp;"")&lt;&gt;"Pendiente",TRIM('DATOS'!F485&amp;"")&lt;&gt;"Por confirmar",TRIM('DATOS'!F485&amp;"")&lt;&gt;"No consta",TRIM('DATOS'!F485&amp;"")&lt;&gt;"Desconocido",TRIM('DATOS'!F485&amp;"")&lt;&gt;"Sin confirmar",TRIM('DATOS'!F485&amp;"")&lt;&gt;"Por decidir",TRIM('DATOS'!F485&amp;"")&lt;&gt;"Por comprobar")),2,IF(COUNTIFS('REFERENCIAS'!$T$15:$T$34,"ID:"&amp;SUBSTITUTE(SUBSTITUTE(SUBSTITUTE(SUBSTITUTE(UPPER(TRIM('DATOS'!F485&amp;"")),"!","!E"),"*","!A"),"?","!B"),"~","!C"),'REFERENCIAS'!$H$15:$H$34,"&lt;&gt;")&gt;0,0,1))),2)</f>
      </c>
      <c r="U485" s="29" t="str">
        <f>'DATOS'!R485</f>
        <v>ID:</v>
      </c>
      <c r="V485" s="29" t="str">
        <f>'DATOS'!S485</f>
        <v>ID:</v>
      </c>
      <c r="W485" s="29" t="n">
        <f>IF(N485=0,0,COUNTIFS('REFERENCIAS'!$R$15:$R$64,U485))</f>
        <v>0</v>
      </c>
      <c r="X485" s="29" t="n">
        <f>IF(N485=0,0,COUNTIFS('DATOS'!$R$10:$R$509,U485,'DATOS'!$S$10:$S$509,V485))</f>
        <v>0</v>
      </c>
      <c r="Y485" s="29" t="n">
        <f>IF(AND(ISNUMBER('DATOS'!G485),ISNUMBER('DATOS'!H485),ISNUMBER('DATOS'!J485)),1,0)</f>
        <v>0</v>
      </c>
    </row>
    <row r="486" ht="64" customHeight="1">
      <c r="B486" s="26">
        <f>IF(N486=1,477,"")</f>
      </c>
      <c r="C486" s="26">
        <f>IF(AND(N486=1,LEN(TRIM('DATOS'!B486&amp;""))&gt;0),'DATOS'!B486,"")</f>
      </c>
      <c r="D486" s="26">
        <f>IF(AND(N486=1,LEN(TRIM('DATOS'!C486&amp;""))&gt;0),'DATOS'!C486,"")</f>
      </c>
      <c r="E486" s="26">
        <f>IF(NOT(ISNUMBER(P486)),"",IF(P486=2,"ROJO",IF(P486=1,"ÁMBAR","VERDE")))</f>
      </c>
      <c r="F486" s="26">
        <f>IF(NOT(ISNUMBER(Q486)),"",IF(Q486=2,"ROJO",IF(Q486=1,"ÁMBAR","VERDE")))</f>
      </c>
      <c r="G486" s="26">
        <f>IF(NOT(ISNUMBER(R486)),"",IF(R486=2,"ROJO",IF(R486=1,"ÁMBAR","VERDE")))</f>
      </c>
      <c r="H486" s="26">
        <f>IF(NOT(ISNUMBER(S486)),"",IF(S486=2,"ROJO",IF(S486=1,"ÁMBAR","VERDE")))</f>
      </c>
      <c r="I486" s="26">
        <f>IF(NOT(ISNUMBER(T486)),"",IF(T486=2,"ROJO",IF(T486=1,"ÁMBAR","VERDE")))</f>
      </c>
      <c r="J486" s="26">
        <f>IF(NOT(ISNUMBER(O486)),"",IF(O486=2,"ROJO",IF(O486=1,"ÁMBAR","VERDE")))</f>
      </c>
      <c r="K486" s="26">
        <f>IFERROR(IF(AND(N486=1,LEN(TRIM('DATOS'!N486&amp;""))&gt;0),'DATOS'!N486,""),"Hay una entrada con error. Corregimos el dato antes de cerrar la comprobación.")</f>
      </c>
      <c r="L486" s="26">
        <f>IFERROR(IF(N486=0,"",IF(O486&gt;0,"Completamos datos, claves o motivo. ","")&amp;IF(P486&gt;0,"Cotejamos precios e importe. ","")&amp;IF(Q486&gt;0,"Aclaramos el cero. ","")&amp;IF(R486&gt;0,"Comprobamos el texto. ","")&amp;IF(S486&gt;0,"Revisamos decimales visibles. ","")&amp;IF(T486&gt;0,"Confirmamos la unidad.","")),"Hay una entrada con error. Corregimos el dato antes de cerrar la comprobación.")</f>
      </c>
      <c r="N486" s="29" t="n">
        <f>IF(COUNTA('DATOS'!B486:O486)&gt;0,1,0)</f>
        <v>0</v>
      </c>
      <c r="O486" s="29">
        <f>IFERROR(IF(N486=0,"",IF(OR(NOT(AND(LEN(TRIM('DATOS'!B486&amp;""))&gt;0,TRIM('DATOS'!B486&amp;"")&lt;&gt;"Pendiente",TRIM('DATOS'!B486&amp;"")&lt;&gt;"Por confirmar",TRIM('DATOS'!B486&amp;"")&lt;&gt;"No consta",TRIM('DATOS'!B486&amp;"")&lt;&gt;"Desconocido",TRIM('DATOS'!B486&amp;"")&lt;&gt;"Sin confirmar",TRIM('DATOS'!B486&amp;"")&lt;&gt;"Por decidir",TRIM('DATOS'!B486&amp;"")&lt;&gt;"Por comprobar")),NOT(AND(LEN(TRIM('DATOS'!C486&amp;""))&gt;0,TRIM('DATOS'!C486&amp;"")&lt;&gt;"Pendiente",TRIM('DATOS'!C486&amp;"")&lt;&gt;"Por confirmar",TRIM('DATOS'!C486&amp;"")&lt;&gt;"No consta",TRIM('DATOS'!C486&amp;"")&lt;&gt;"Desconocido",TRIM('DATOS'!C486&amp;"")&lt;&gt;"Sin confirmar",TRIM('DATOS'!C486&amp;"")&lt;&gt;"Por decidir",TRIM('DATOS'!C486&amp;"")&lt;&gt;"Por comprobar")),NOT(AND(LEN(TRIM('DATOS'!D486&amp;""))&gt;0,TRIM('DATOS'!D486&amp;"")&lt;&gt;"Pendiente",TRIM('DATOS'!D486&amp;"")&lt;&gt;"Por confirmar",TRIM('DATOS'!D486&amp;"")&lt;&gt;"No consta",TRIM('DATOS'!D486&amp;"")&lt;&gt;"Desconocido",TRIM('DATOS'!D486&amp;"")&lt;&gt;"Sin confirmar",TRIM('DATOS'!D486&amp;"")&lt;&gt;"Por decidir",TRIM('DATOS'!D486&amp;"")&lt;&gt;"Por comprobar")),NOT(AND(LEN(TRIM('DATOS'!E486&amp;""))&gt;0,TRIM('DATOS'!E486&amp;"")&lt;&gt;"Pendiente",TRIM('DATOS'!E486&amp;"")&lt;&gt;"Por confirmar",TRIM('DATOS'!E486&amp;"")&lt;&gt;"No consta",TRIM('DATOS'!E486&amp;"")&lt;&gt;"Desconocido",TRIM('DATOS'!E486&amp;"")&lt;&gt;"Sin confirmar",TRIM('DATOS'!E486&amp;"")&lt;&gt;"Por decidir",TRIM('DATOS'!E486&amp;"")&lt;&gt;"Por comprobar")),NOT(AND(LEN(TRIM('DATOS'!F486&amp;""))&gt;0,TRIM('DATOS'!F486&amp;"")&lt;&gt;"Pendiente",TRIM('DATOS'!F486&amp;"")&lt;&gt;"Por confirmar",TRIM('DATOS'!F486&amp;"")&lt;&gt;"No consta",TRIM('DATOS'!F486&amp;"")&lt;&gt;"Desconocido",TRIM('DATOS'!F486&amp;"")&lt;&gt;"Sin confirmar",TRIM('DATOS'!F486&amp;"")&lt;&gt;"Por decidir",TRIM('DATOS'!F486&amp;"")&lt;&gt;"Por comprobar")),NOT(AND(LEN(TRIM('DATOS'!N486&amp;""))&gt;0,TRIM('DATOS'!N486&amp;"")&lt;&gt;"Pendiente",TRIM('DATOS'!N486&amp;"")&lt;&gt;"Por confirmar",TRIM('DATOS'!N486&amp;"")&lt;&gt;"No consta",TRIM('DATOS'!N486&amp;"")&lt;&gt;"Desconocido",TRIM('DATOS'!N486&amp;"")&lt;&gt;"Sin confirmar",TRIM('DATOS'!N486&amp;"")&lt;&gt;"Por decidir",TRIM('DATOS'!N486&amp;"")&lt;&gt;"Por comprobar")),NOT(Y486=1),W486&lt;&gt;1,X486&gt;1,NOT(OR(LEN(TRIM('DATOS'!K486&amp;""))=0,'DATOS'!K486="Sin valorar",'DATOS'!K486="Sin coste documentado",'DATOS'!K486="Incluido en otra partida",'DATOS'!K486="Por confirmar")),NOT(OR(LEN(TRIM('DATOS'!M486&amp;""))=0,'DATOS'!M486="Sí",'DATOS'!M486="No",'DATOS'!M486="Por confirmar")),NOT(OR(LEN(TRIM('DATOS'!O486&amp;""))=0,'DATOS'!O486="Comparamos",'DATOS'!O486="No existe",'DATOS'!O486="Por confirmar"))),2,IF(AND(OR('DATOS'!G486&lt;0,'DATOS'!H486&lt;0,'DATOS'!J486&lt;0),NOT(AND(LEN(TRIM('DATOS'!L486&amp;""))&gt;0,TRIM('DATOS'!L486&amp;"")&lt;&gt;"Pendiente",TRIM('DATOS'!L486&amp;"")&lt;&gt;"Por confirmar",TRIM('DATOS'!L486&amp;"")&lt;&gt;"No consta",TRIM('DATOS'!L486&amp;"")&lt;&gt;"Desconocido",TRIM('DATOS'!L486&amp;"")&lt;&gt;"Sin confirmar",TRIM('DATOS'!L486&amp;"")&lt;&gt;"Por decidir",TRIM('DATOS'!L486&amp;"")&lt;&gt;"Por comprobar"))),1,0))),2)</f>
      </c>
      <c r="P486" s="29">
        <f>IFERROR(IF(N486=0,"",IF(NOT(Y486=1),1,IF('REFERENCIAS'!$Q$8&lt;&gt;1,2,IF(ABS('DATOS'!J486-ROUND('DATOS'!G486*'DATOS'!H486,'REFERENCIAS'!$K$8))&gt;0.00000001,2,IF('DATOS'!O486="No existe",IF(LEN(TRIM('DATOS'!I486&amp;""))=0,0,2),IF('DATOS'!O486="Comparamos",IF(LEN(TRIM('DATOS'!I486&amp;""))=0,1,IF(ISNUMBER('DATOS'!I486),IF(ABS('DATOS'!H486-'DATOS'!I486)&gt;0.00000001,2,0),2)),1)))))),2)</f>
      </c>
      <c r="Q486" s="29">
        <f>IFERROR(IF(N486=0,"",IF(NOT(Y486=1),1,IF('DATOS'!K486="Sin valorar",2,IF('DATOS'!G486=0,1,IF(OR('DATOS'!H486=0,'DATOS'!J486=0),IF(AND(OR('DATOS'!K486="Sin coste documentado",'DATOS'!K486="Incluido en otra partida"),AND(LEN(TRIM('DATOS'!L486&amp;""))&gt;0,TRIM('DATOS'!L486&amp;"")&lt;&gt;"Pendiente",TRIM('DATOS'!L486&amp;"")&lt;&gt;"Por confirmar",TRIM('DATOS'!L486&amp;"")&lt;&gt;"No consta",TRIM('DATOS'!L486&amp;"")&lt;&gt;"Desconocido",TRIM('DATOS'!L486&amp;"")&lt;&gt;"Sin confirmar",TRIM('DATOS'!L486&amp;"")&lt;&gt;"Por decidir",TRIM('DATOS'!L486&amp;"")&lt;&gt;"Por comprobar")),0,1),0))))),2)</f>
      </c>
      <c r="R486" s="29">
        <f>IFERROR(IF(N486=0,"",IF(OR(NOT(AND(LEN(TRIM('DATOS'!D486&amp;""))&gt;0,TRIM('DATOS'!D486&amp;"")&lt;&gt;"Pendiente",TRIM('DATOS'!D486&amp;"")&lt;&gt;"Por confirmar",TRIM('DATOS'!D486&amp;"")&lt;&gt;"No consta",TRIM('DATOS'!D486&amp;"")&lt;&gt;"Desconocido",TRIM('DATOS'!D486&amp;"")&lt;&gt;"Sin confirmar",TRIM('DATOS'!D486&amp;"")&lt;&gt;"Por decidir",TRIM('DATOS'!D486&amp;"")&lt;&gt;"Por comprobar")),NOT(AND(LEN(TRIM('DATOS'!E486&amp;""))&gt;0,TRIM('DATOS'!E486&amp;"")&lt;&gt;"Pendiente",TRIM('DATOS'!E486&amp;"")&lt;&gt;"Por confirmar",TRIM('DATOS'!E486&amp;"")&lt;&gt;"No consta",TRIM('DATOS'!E486&amp;"")&lt;&gt;"Desconocido",TRIM('DATOS'!E486&amp;"")&lt;&gt;"Sin confirmar",TRIM('DATOS'!E486&amp;"")&lt;&gt;"Por decidir",TRIM('DATOS'!E486&amp;"")&lt;&gt;"Por comprobar"))),2,IF('DATOS'!M486="No",2,IF('DATOS'!M486="Sí",0,IF(OR('DATOS'!D486&lt;&gt;'DATOS'!E486,LEN('DATOS'!E486)&gt;300,RIGHT(TRIM('DATOS'!E486),3)="...",RIGHT(TRIM('DATOS'!E486),1)="…"),1,0))))),2)</f>
      </c>
      <c r="S486" s="29">
        <f>IFERROR(IF(N486=0,"",IF('REFERENCIAS'!$Q$8&lt;&gt;1,2,IF(NOT(Y486=1),1,IF(OR(ABS('DATOS'!G486-ROUND('DATOS'!G486,'REFERENCIAS'!$E$8))&gt;0.00000001,ABS('DATOS'!H486-ROUND('DATOS'!H486,'REFERENCIAS'!$H$8))&gt;0.00000001,ABS('DATOS'!J486-ROUND('DATOS'!J486,'REFERENCIAS'!$K$8))&gt;0.00000001,IF(ISNUMBER('DATOS'!I486),ABS('DATOS'!I486-ROUND('DATOS'!I486,'REFERENCIAS'!$H$8))&gt;0.00000001,FALSE)),1,0)))),2)</f>
      </c>
      <c r="T486" s="29">
        <f>IFERROR(IF(N486=0,"",IF(NOT(AND(LEN(TRIM('DATOS'!F486&amp;""))&gt;0,TRIM('DATOS'!F486&amp;"")&lt;&gt;"Pendiente",TRIM('DATOS'!F486&amp;"")&lt;&gt;"Por confirmar",TRIM('DATOS'!F486&amp;"")&lt;&gt;"No consta",TRIM('DATOS'!F486&amp;"")&lt;&gt;"Desconocido",TRIM('DATOS'!F486&amp;"")&lt;&gt;"Sin confirmar",TRIM('DATOS'!F486&amp;"")&lt;&gt;"Por decidir",TRIM('DATOS'!F486&amp;"")&lt;&gt;"Por comprobar")),2,IF(COUNTIFS('REFERENCIAS'!$T$15:$T$34,"ID:"&amp;SUBSTITUTE(SUBSTITUTE(SUBSTITUTE(SUBSTITUTE(UPPER(TRIM('DATOS'!F486&amp;"")),"!","!E"),"*","!A"),"?","!B"),"~","!C"),'REFERENCIAS'!$H$15:$H$34,"&lt;&gt;")&gt;0,0,1))),2)</f>
      </c>
      <c r="U486" s="29" t="str">
        <f>'DATOS'!R486</f>
        <v>ID:</v>
      </c>
      <c r="V486" s="29" t="str">
        <f>'DATOS'!S486</f>
        <v>ID:</v>
      </c>
      <c r="W486" s="29" t="n">
        <f>IF(N486=0,0,COUNTIFS('REFERENCIAS'!$R$15:$R$64,U486))</f>
        <v>0</v>
      </c>
      <c r="X486" s="29" t="n">
        <f>IF(N486=0,0,COUNTIFS('DATOS'!$R$10:$R$509,U486,'DATOS'!$S$10:$S$509,V486))</f>
        <v>0</v>
      </c>
      <c r="Y486" s="29" t="n">
        <f>IF(AND(ISNUMBER('DATOS'!G486),ISNUMBER('DATOS'!H486),ISNUMBER('DATOS'!J486)),1,0)</f>
        <v>0</v>
      </c>
    </row>
    <row r="487" ht="64" customHeight="1">
      <c r="B487" s="26">
        <f>IF(N487=1,478,"")</f>
      </c>
      <c r="C487" s="26">
        <f>IF(AND(N487=1,LEN(TRIM('DATOS'!B487&amp;""))&gt;0),'DATOS'!B487,"")</f>
      </c>
      <c r="D487" s="26">
        <f>IF(AND(N487=1,LEN(TRIM('DATOS'!C487&amp;""))&gt;0),'DATOS'!C487,"")</f>
      </c>
      <c r="E487" s="26">
        <f>IF(NOT(ISNUMBER(P487)),"",IF(P487=2,"ROJO",IF(P487=1,"ÁMBAR","VERDE")))</f>
      </c>
      <c r="F487" s="26">
        <f>IF(NOT(ISNUMBER(Q487)),"",IF(Q487=2,"ROJO",IF(Q487=1,"ÁMBAR","VERDE")))</f>
      </c>
      <c r="G487" s="26">
        <f>IF(NOT(ISNUMBER(R487)),"",IF(R487=2,"ROJO",IF(R487=1,"ÁMBAR","VERDE")))</f>
      </c>
      <c r="H487" s="26">
        <f>IF(NOT(ISNUMBER(S487)),"",IF(S487=2,"ROJO",IF(S487=1,"ÁMBAR","VERDE")))</f>
      </c>
      <c r="I487" s="26">
        <f>IF(NOT(ISNUMBER(T487)),"",IF(T487=2,"ROJO",IF(T487=1,"ÁMBAR","VERDE")))</f>
      </c>
      <c r="J487" s="26">
        <f>IF(NOT(ISNUMBER(O487)),"",IF(O487=2,"ROJO",IF(O487=1,"ÁMBAR","VERDE")))</f>
      </c>
      <c r="K487" s="26">
        <f>IFERROR(IF(AND(N487=1,LEN(TRIM('DATOS'!N487&amp;""))&gt;0),'DATOS'!N487,""),"Hay una entrada con error. Corregimos el dato antes de cerrar la comprobación.")</f>
      </c>
      <c r="L487" s="26">
        <f>IFERROR(IF(N487=0,"",IF(O487&gt;0,"Completamos datos, claves o motivo. ","")&amp;IF(P487&gt;0,"Cotejamos precios e importe. ","")&amp;IF(Q487&gt;0,"Aclaramos el cero. ","")&amp;IF(R487&gt;0,"Comprobamos el texto. ","")&amp;IF(S487&gt;0,"Revisamos decimales visibles. ","")&amp;IF(T487&gt;0,"Confirmamos la unidad.","")),"Hay una entrada con error. Corregimos el dato antes de cerrar la comprobación.")</f>
      </c>
      <c r="N487" s="29" t="n">
        <f>IF(COUNTA('DATOS'!B487:O487)&gt;0,1,0)</f>
        <v>0</v>
      </c>
      <c r="O487" s="29">
        <f>IFERROR(IF(N487=0,"",IF(OR(NOT(AND(LEN(TRIM('DATOS'!B487&amp;""))&gt;0,TRIM('DATOS'!B487&amp;"")&lt;&gt;"Pendiente",TRIM('DATOS'!B487&amp;"")&lt;&gt;"Por confirmar",TRIM('DATOS'!B487&amp;"")&lt;&gt;"No consta",TRIM('DATOS'!B487&amp;"")&lt;&gt;"Desconocido",TRIM('DATOS'!B487&amp;"")&lt;&gt;"Sin confirmar",TRIM('DATOS'!B487&amp;"")&lt;&gt;"Por decidir",TRIM('DATOS'!B487&amp;"")&lt;&gt;"Por comprobar")),NOT(AND(LEN(TRIM('DATOS'!C487&amp;""))&gt;0,TRIM('DATOS'!C487&amp;"")&lt;&gt;"Pendiente",TRIM('DATOS'!C487&amp;"")&lt;&gt;"Por confirmar",TRIM('DATOS'!C487&amp;"")&lt;&gt;"No consta",TRIM('DATOS'!C487&amp;"")&lt;&gt;"Desconocido",TRIM('DATOS'!C487&amp;"")&lt;&gt;"Sin confirmar",TRIM('DATOS'!C487&amp;"")&lt;&gt;"Por decidir",TRIM('DATOS'!C487&amp;"")&lt;&gt;"Por comprobar")),NOT(AND(LEN(TRIM('DATOS'!D487&amp;""))&gt;0,TRIM('DATOS'!D487&amp;"")&lt;&gt;"Pendiente",TRIM('DATOS'!D487&amp;"")&lt;&gt;"Por confirmar",TRIM('DATOS'!D487&amp;"")&lt;&gt;"No consta",TRIM('DATOS'!D487&amp;"")&lt;&gt;"Desconocido",TRIM('DATOS'!D487&amp;"")&lt;&gt;"Sin confirmar",TRIM('DATOS'!D487&amp;"")&lt;&gt;"Por decidir",TRIM('DATOS'!D487&amp;"")&lt;&gt;"Por comprobar")),NOT(AND(LEN(TRIM('DATOS'!E487&amp;""))&gt;0,TRIM('DATOS'!E487&amp;"")&lt;&gt;"Pendiente",TRIM('DATOS'!E487&amp;"")&lt;&gt;"Por confirmar",TRIM('DATOS'!E487&amp;"")&lt;&gt;"No consta",TRIM('DATOS'!E487&amp;"")&lt;&gt;"Desconocido",TRIM('DATOS'!E487&amp;"")&lt;&gt;"Sin confirmar",TRIM('DATOS'!E487&amp;"")&lt;&gt;"Por decidir",TRIM('DATOS'!E487&amp;"")&lt;&gt;"Por comprobar")),NOT(AND(LEN(TRIM('DATOS'!F487&amp;""))&gt;0,TRIM('DATOS'!F487&amp;"")&lt;&gt;"Pendiente",TRIM('DATOS'!F487&amp;"")&lt;&gt;"Por confirmar",TRIM('DATOS'!F487&amp;"")&lt;&gt;"No consta",TRIM('DATOS'!F487&amp;"")&lt;&gt;"Desconocido",TRIM('DATOS'!F487&amp;"")&lt;&gt;"Sin confirmar",TRIM('DATOS'!F487&amp;"")&lt;&gt;"Por decidir",TRIM('DATOS'!F487&amp;"")&lt;&gt;"Por comprobar")),NOT(AND(LEN(TRIM('DATOS'!N487&amp;""))&gt;0,TRIM('DATOS'!N487&amp;"")&lt;&gt;"Pendiente",TRIM('DATOS'!N487&amp;"")&lt;&gt;"Por confirmar",TRIM('DATOS'!N487&amp;"")&lt;&gt;"No consta",TRIM('DATOS'!N487&amp;"")&lt;&gt;"Desconocido",TRIM('DATOS'!N487&amp;"")&lt;&gt;"Sin confirmar",TRIM('DATOS'!N487&amp;"")&lt;&gt;"Por decidir",TRIM('DATOS'!N487&amp;"")&lt;&gt;"Por comprobar")),NOT(Y487=1),W487&lt;&gt;1,X487&gt;1,NOT(OR(LEN(TRIM('DATOS'!K487&amp;""))=0,'DATOS'!K487="Sin valorar",'DATOS'!K487="Sin coste documentado",'DATOS'!K487="Incluido en otra partida",'DATOS'!K487="Por confirmar")),NOT(OR(LEN(TRIM('DATOS'!M487&amp;""))=0,'DATOS'!M487="Sí",'DATOS'!M487="No",'DATOS'!M487="Por confirmar")),NOT(OR(LEN(TRIM('DATOS'!O487&amp;""))=0,'DATOS'!O487="Comparamos",'DATOS'!O487="No existe",'DATOS'!O487="Por confirmar"))),2,IF(AND(OR('DATOS'!G487&lt;0,'DATOS'!H487&lt;0,'DATOS'!J487&lt;0),NOT(AND(LEN(TRIM('DATOS'!L487&amp;""))&gt;0,TRIM('DATOS'!L487&amp;"")&lt;&gt;"Pendiente",TRIM('DATOS'!L487&amp;"")&lt;&gt;"Por confirmar",TRIM('DATOS'!L487&amp;"")&lt;&gt;"No consta",TRIM('DATOS'!L487&amp;"")&lt;&gt;"Desconocido",TRIM('DATOS'!L487&amp;"")&lt;&gt;"Sin confirmar",TRIM('DATOS'!L487&amp;"")&lt;&gt;"Por decidir",TRIM('DATOS'!L487&amp;"")&lt;&gt;"Por comprobar"))),1,0))),2)</f>
      </c>
      <c r="P487" s="29">
        <f>IFERROR(IF(N487=0,"",IF(NOT(Y487=1),1,IF('REFERENCIAS'!$Q$8&lt;&gt;1,2,IF(ABS('DATOS'!J487-ROUND('DATOS'!G487*'DATOS'!H487,'REFERENCIAS'!$K$8))&gt;0.00000001,2,IF('DATOS'!O487="No existe",IF(LEN(TRIM('DATOS'!I487&amp;""))=0,0,2),IF('DATOS'!O487="Comparamos",IF(LEN(TRIM('DATOS'!I487&amp;""))=0,1,IF(ISNUMBER('DATOS'!I487),IF(ABS('DATOS'!H487-'DATOS'!I487)&gt;0.00000001,2,0),2)),1)))))),2)</f>
      </c>
      <c r="Q487" s="29">
        <f>IFERROR(IF(N487=0,"",IF(NOT(Y487=1),1,IF('DATOS'!K487="Sin valorar",2,IF('DATOS'!G487=0,1,IF(OR('DATOS'!H487=0,'DATOS'!J487=0),IF(AND(OR('DATOS'!K487="Sin coste documentado",'DATOS'!K487="Incluido en otra partida"),AND(LEN(TRIM('DATOS'!L487&amp;""))&gt;0,TRIM('DATOS'!L487&amp;"")&lt;&gt;"Pendiente",TRIM('DATOS'!L487&amp;"")&lt;&gt;"Por confirmar",TRIM('DATOS'!L487&amp;"")&lt;&gt;"No consta",TRIM('DATOS'!L487&amp;"")&lt;&gt;"Desconocido",TRIM('DATOS'!L487&amp;"")&lt;&gt;"Sin confirmar",TRIM('DATOS'!L487&amp;"")&lt;&gt;"Por decidir",TRIM('DATOS'!L487&amp;"")&lt;&gt;"Por comprobar")),0,1),0))))),2)</f>
      </c>
      <c r="R487" s="29">
        <f>IFERROR(IF(N487=0,"",IF(OR(NOT(AND(LEN(TRIM('DATOS'!D487&amp;""))&gt;0,TRIM('DATOS'!D487&amp;"")&lt;&gt;"Pendiente",TRIM('DATOS'!D487&amp;"")&lt;&gt;"Por confirmar",TRIM('DATOS'!D487&amp;"")&lt;&gt;"No consta",TRIM('DATOS'!D487&amp;"")&lt;&gt;"Desconocido",TRIM('DATOS'!D487&amp;"")&lt;&gt;"Sin confirmar",TRIM('DATOS'!D487&amp;"")&lt;&gt;"Por decidir",TRIM('DATOS'!D487&amp;"")&lt;&gt;"Por comprobar")),NOT(AND(LEN(TRIM('DATOS'!E487&amp;""))&gt;0,TRIM('DATOS'!E487&amp;"")&lt;&gt;"Pendiente",TRIM('DATOS'!E487&amp;"")&lt;&gt;"Por confirmar",TRIM('DATOS'!E487&amp;"")&lt;&gt;"No consta",TRIM('DATOS'!E487&amp;"")&lt;&gt;"Desconocido",TRIM('DATOS'!E487&amp;"")&lt;&gt;"Sin confirmar",TRIM('DATOS'!E487&amp;"")&lt;&gt;"Por decidir",TRIM('DATOS'!E487&amp;"")&lt;&gt;"Por comprobar"))),2,IF('DATOS'!M487="No",2,IF('DATOS'!M487="Sí",0,IF(OR('DATOS'!D487&lt;&gt;'DATOS'!E487,LEN('DATOS'!E487)&gt;300,RIGHT(TRIM('DATOS'!E487),3)="...",RIGHT(TRIM('DATOS'!E487),1)="…"),1,0))))),2)</f>
      </c>
      <c r="S487" s="29">
        <f>IFERROR(IF(N487=0,"",IF('REFERENCIAS'!$Q$8&lt;&gt;1,2,IF(NOT(Y487=1),1,IF(OR(ABS('DATOS'!G487-ROUND('DATOS'!G487,'REFERENCIAS'!$E$8))&gt;0.00000001,ABS('DATOS'!H487-ROUND('DATOS'!H487,'REFERENCIAS'!$H$8))&gt;0.00000001,ABS('DATOS'!J487-ROUND('DATOS'!J487,'REFERENCIAS'!$K$8))&gt;0.00000001,IF(ISNUMBER('DATOS'!I487),ABS('DATOS'!I487-ROUND('DATOS'!I487,'REFERENCIAS'!$H$8))&gt;0.00000001,FALSE)),1,0)))),2)</f>
      </c>
      <c r="T487" s="29">
        <f>IFERROR(IF(N487=0,"",IF(NOT(AND(LEN(TRIM('DATOS'!F487&amp;""))&gt;0,TRIM('DATOS'!F487&amp;"")&lt;&gt;"Pendiente",TRIM('DATOS'!F487&amp;"")&lt;&gt;"Por confirmar",TRIM('DATOS'!F487&amp;"")&lt;&gt;"No consta",TRIM('DATOS'!F487&amp;"")&lt;&gt;"Desconocido",TRIM('DATOS'!F487&amp;"")&lt;&gt;"Sin confirmar",TRIM('DATOS'!F487&amp;"")&lt;&gt;"Por decidir",TRIM('DATOS'!F487&amp;"")&lt;&gt;"Por comprobar")),2,IF(COUNTIFS('REFERENCIAS'!$T$15:$T$34,"ID:"&amp;SUBSTITUTE(SUBSTITUTE(SUBSTITUTE(SUBSTITUTE(UPPER(TRIM('DATOS'!F487&amp;"")),"!","!E"),"*","!A"),"?","!B"),"~","!C"),'REFERENCIAS'!$H$15:$H$34,"&lt;&gt;")&gt;0,0,1))),2)</f>
      </c>
      <c r="U487" s="29" t="str">
        <f>'DATOS'!R487</f>
        <v>ID:</v>
      </c>
      <c r="V487" s="29" t="str">
        <f>'DATOS'!S487</f>
        <v>ID:</v>
      </c>
      <c r="W487" s="29" t="n">
        <f>IF(N487=0,0,COUNTIFS('REFERENCIAS'!$R$15:$R$64,U487))</f>
        <v>0</v>
      </c>
      <c r="X487" s="29" t="n">
        <f>IF(N487=0,0,COUNTIFS('DATOS'!$R$10:$R$509,U487,'DATOS'!$S$10:$S$509,V487))</f>
        <v>0</v>
      </c>
      <c r="Y487" s="29" t="n">
        <f>IF(AND(ISNUMBER('DATOS'!G487),ISNUMBER('DATOS'!H487),ISNUMBER('DATOS'!J487)),1,0)</f>
        <v>0</v>
      </c>
    </row>
    <row r="488" ht="64" customHeight="1">
      <c r="B488" s="26">
        <f>IF(N488=1,479,"")</f>
      </c>
      <c r="C488" s="26">
        <f>IF(AND(N488=1,LEN(TRIM('DATOS'!B488&amp;""))&gt;0),'DATOS'!B488,"")</f>
      </c>
      <c r="D488" s="26">
        <f>IF(AND(N488=1,LEN(TRIM('DATOS'!C488&amp;""))&gt;0),'DATOS'!C488,"")</f>
      </c>
      <c r="E488" s="26">
        <f>IF(NOT(ISNUMBER(P488)),"",IF(P488=2,"ROJO",IF(P488=1,"ÁMBAR","VERDE")))</f>
      </c>
      <c r="F488" s="26">
        <f>IF(NOT(ISNUMBER(Q488)),"",IF(Q488=2,"ROJO",IF(Q488=1,"ÁMBAR","VERDE")))</f>
      </c>
      <c r="G488" s="26">
        <f>IF(NOT(ISNUMBER(R488)),"",IF(R488=2,"ROJO",IF(R488=1,"ÁMBAR","VERDE")))</f>
      </c>
      <c r="H488" s="26">
        <f>IF(NOT(ISNUMBER(S488)),"",IF(S488=2,"ROJO",IF(S488=1,"ÁMBAR","VERDE")))</f>
      </c>
      <c r="I488" s="26">
        <f>IF(NOT(ISNUMBER(T488)),"",IF(T488=2,"ROJO",IF(T488=1,"ÁMBAR","VERDE")))</f>
      </c>
      <c r="J488" s="26">
        <f>IF(NOT(ISNUMBER(O488)),"",IF(O488=2,"ROJO",IF(O488=1,"ÁMBAR","VERDE")))</f>
      </c>
      <c r="K488" s="26">
        <f>IFERROR(IF(AND(N488=1,LEN(TRIM('DATOS'!N488&amp;""))&gt;0),'DATOS'!N488,""),"Hay una entrada con error. Corregimos el dato antes de cerrar la comprobación.")</f>
      </c>
      <c r="L488" s="26">
        <f>IFERROR(IF(N488=0,"",IF(O488&gt;0,"Completamos datos, claves o motivo. ","")&amp;IF(P488&gt;0,"Cotejamos precios e importe. ","")&amp;IF(Q488&gt;0,"Aclaramos el cero. ","")&amp;IF(R488&gt;0,"Comprobamos el texto. ","")&amp;IF(S488&gt;0,"Revisamos decimales visibles. ","")&amp;IF(T488&gt;0,"Confirmamos la unidad.","")),"Hay una entrada con error. Corregimos el dato antes de cerrar la comprobación.")</f>
      </c>
      <c r="N488" s="29" t="n">
        <f>IF(COUNTA('DATOS'!B488:O488)&gt;0,1,0)</f>
        <v>0</v>
      </c>
      <c r="O488" s="29">
        <f>IFERROR(IF(N488=0,"",IF(OR(NOT(AND(LEN(TRIM('DATOS'!B488&amp;""))&gt;0,TRIM('DATOS'!B488&amp;"")&lt;&gt;"Pendiente",TRIM('DATOS'!B488&amp;"")&lt;&gt;"Por confirmar",TRIM('DATOS'!B488&amp;"")&lt;&gt;"No consta",TRIM('DATOS'!B488&amp;"")&lt;&gt;"Desconocido",TRIM('DATOS'!B488&amp;"")&lt;&gt;"Sin confirmar",TRIM('DATOS'!B488&amp;"")&lt;&gt;"Por decidir",TRIM('DATOS'!B488&amp;"")&lt;&gt;"Por comprobar")),NOT(AND(LEN(TRIM('DATOS'!C488&amp;""))&gt;0,TRIM('DATOS'!C488&amp;"")&lt;&gt;"Pendiente",TRIM('DATOS'!C488&amp;"")&lt;&gt;"Por confirmar",TRIM('DATOS'!C488&amp;"")&lt;&gt;"No consta",TRIM('DATOS'!C488&amp;"")&lt;&gt;"Desconocido",TRIM('DATOS'!C488&amp;"")&lt;&gt;"Sin confirmar",TRIM('DATOS'!C488&amp;"")&lt;&gt;"Por decidir",TRIM('DATOS'!C488&amp;"")&lt;&gt;"Por comprobar")),NOT(AND(LEN(TRIM('DATOS'!D488&amp;""))&gt;0,TRIM('DATOS'!D488&amp;"")&lt;&gt;"Pendiente",TRIM('DATOS'!D488&amp;"")&lt;&gt;"Por confirmar",TRIM('DATOS'!D488&amp;"")&lt;&gt;"No consta",TRIM('DATOS'!D488&amp;"")&lt;&gt;"Desconocido",TRIM('DATOS'!D488&amp;"")&lt;&gt;"Sin confirmar",TRIM('DATOS'!D488&amp;"")&lt;&gt;"Por decidir",TRIM('DATOS'!D488&amp;"")&lt;&gt;"Por comprobar")),NOT(AND(LEN(TRIM('DATOS'!E488&amp;""))&gt;0,TRIM('DATOS'!E488&amp;"")&lt;&gt;"Pendiente",TRIM('DATOS'!E488&amp;"")&lt;&gt;"Por confirmar",TRIM('DATOS'!E488&amp;"")&lt;&gt;"No consta",TRIM('DATOS'!E488&amp;"")&lt;&gt;"Desconocido",TRIM('DATOS'!E488&amp;"")&lt;&gt;"Sin confirmar",TRIM('DATOS'!E488&amp;"")&lt;&gt;"Por decidir",TRIM('DATOS'!E488&amp;"")&lt;&gt;"Por comprobar")),NOT(AND(LEN(TRIM('DATOS'!F488&amp;""))&gt;0,TRIM('DATOS'!F488&amp;"")&lt;&gt;"Pendiente",TRIM('DATOS'!F488&amp;"")&lt;&gt;"Por confirmar",TRIM('DATOS'!F488&amp;"")&lt;&gt;"No consta",TRIM('DATOS'!F488&amp;"")&lt;&gt;"Desconocido",TRIM('DATOS'!F488&amp;"")&lt;&gt;"Sin confirmar",TRIM('DATOS'!F488&amp;"")&lt;&gt;"Por decidir",TRIM('DATOS'!F488&amp;"")&lt;&gt;"Por comprobar")),NOT(AND(LEN(TRIM('DATOS'!N488&amp;""))&gt;0,TRIM('DATOS'!N488&amp;"")&lt;&gt;"Pendiente",TRIM('DATOS'!N488&amp;"")&lt;&gt;"Por confirmar",TRIM('DATOS'!N488&amp;"")&lt;&gt;"No consta",TRIM('DATOS'!N488&amp;"")&lt;&gt;"Desconocido",TRIM('DATOS'!N488&amp;"")&lt;&gt;"Sin confirmar",TRIM('DATOS'!N488&amp;"")&lt;&gt;"Por decidir",TRIM('DATOS'!N488&amp;"")&lt;&gt;"Por comprobar")),NOT(Y488=1),W488&lt;&gt;1,X488&gt;1,NOT(OR(LEN(TRIM('DATOS'!K488&amp;""))=0,'DATOS'!K488="Sin valorar",'DATOS'!K488="Sin coste documentado",'DATOS'!K488="Incluido en otra partida",'DATOS'!K488="Por confirmar")),NOT(OR(LEN(TRIM('DATOS'!M488&amp;""))=0,'DATOS'!M488="Sí",'DATOS'!M488="No",'DATOS'!M488="Por confirmar")),NOT(OR(LEN(TRIM('DATOS'!O488&amp;""))=0,'DATOS'!O488="Comparamos",'DATOS'!O488="No existe",'DATOS'!O488="Por confirmar"))),2,IF(AND(OR('DATOS'!G488&lt;0,'DATOS'!H488&lt;0,'DATOS'!J488&lt;0),NOT(AND(LEN(TRIM('DATOS'!L488&amp;""))&gt;0,TRIM('DATOS'!L488&amp;"")&lt;&gt;"Pendiente",TRIM('DATOS'!L488&amp;"")&lt;&gt;"Por confirmar",TRIM('DATOS'!L488&amp;"")&lt;&gt;"No consta",TRIM('DATOS'!L488&amp;"")&lt;&gt;"Desconocido",TRIM('DATOS'!L488&amp;"")&lt;&gt;"Sin confirmar",TRIM('DATOS'!L488&amp;"")&lt;&gt;"Por decidir",TRIM('DATOS'!L488&amp;"")&lt;&gt;"Por comprobar"))),1,0))),2)</f>
      </c>
      <c r="P488" s="29">
        <f>IFERROR(IF(N488=0,"",IF(NOT(Y488=1),1,IF('REFERENCIAS'!$Q$8&lt;&gt;1,2,IF(ABS('DATOS'!J488-ROUND('DATOS'!G488*'DATOS'!H488,'REFERENCIAS'!$K$8))&gt;0.00000001,2,IF('DATOS'!O488="No existe",IF(LEN(TRIM('DATOS'!I488&amp;""))=0,0,2),IF('DATOS'!O488="Comparamos",IF(LEN(TRIM('DATOS'!I488&amp;""))=0,1,IF(ISNUMBER('DATOS'!I488),IF(ABS('DATOS'!H488-'DATOS'!I488)&gt;0.00000001,2,0),2)),1)))))),2)</f>
      </c>
      <c r="Q488" s="29">
        <f>IFERROR(IF(N488=0,"",IF(NOT(Y488=1),1,IF('DATOS'!K488="Sin valorar",2,IF('DATOS'!G488=0,1,IF(OR('DATOS'!H488=0,'DATOS'!J488=0),IF(AND(OR('DATOS'!K488="Sin coste documentado",'DATOS'!K488="Incluido en otra partida"),AND(LEN(TRIM('DATOS'!L488&amp;""))&gt;0,TRIM('DATOS'!L488&amp;"")&lt;&gt;"Pendiente",TRIM('DATOS'!L488&amp;"")&lt;&gt;"Por confirmar",TRIM('DATOS'!L488&amp;"")&lt;&gt;"No consta",TRIM('DATOS'!L488&amp;"")&lt;&gt;"Desconocido",TRIM('DATOS'!L488&amp;"")&lt;&gt;"Sin confirmar",TRIM('DATOS'!L488&amp;"")&lt;&gt;"Por decidir",TRIM('DATOS'!L488&amp;"")&lt;&gt;"Por comprobar")),0,1),0))))),2)</f>
      </c>
      <c r="R488" s="29">
        <f>IFERROR(IF(N488=0,"",IF(OR(NOT(AND(LEN(TRIM('DATOS'!D488&amp;""))&gt;0,TRIM('DATOS'!D488&amp;"")&lt;&gt;"Pendiente",TRIM('DATOS'!D488&amp;"")&lt;&gt;"Por confirmar",TRIM('DATOS'!D488&amp;"")&lt;&gt;"No consta",TRIM('DATOS'!D488&amp;"")&lt;&gt;"Desconocido",TRIM('DATOS'!D488&amp;"")&lt;&gt;"Sin confirmar",TRIM('DATOS'!D488&amp;"")&lt;&gt;"Por decidir",TRIM('DATOS'!D488&amp;"")&lt;&gt;"Por comprobar")),NOT(AND(LEN(TRIM('DATOS'!E488&amp;""))&gt;0,TRIM('DATOS'!E488&amp;"")&lt;&gt;"Pendiente",TRIM('DATOS'!E488&amp;"")&lt;&gt;"Por confirmar",TRIM('DATOS'!E488&amp;"")&lt;&gt;"No consta",TRIM('DATOS'!E488&amp;"")&lt;&gt;"Desconocido",TRIM('DATOS'!E488&amp;"")&lt;&gt;"Sin confirmar",TRIM('DATOS'!E488&amp;"")&lt;&gt;"Por decidir",TRIM('DATOS'!E488&amp;"")&lt;&gt;"Por comprobar"))),2,IF('DATOS'!M488="No",2,IF('DATOS'!M488="Sí",0,IF(OR('DATOS'!D488&lt;&gt;'DATOS'!E488,LEN('DATOS'!E488)&gt;300,RIGHT(TRIM('DATOS'!E488),3)="...",RIGHT(TRIM('DATOS'!E488),1)="…"),1,0))))),2)</f>
      </c>
      <c r="S488" s="29">
        <f>IFERROR(IF(N488=0,"",IF('REFERENCIAS'!$Q$8&lt;&gt;1,2,IF(NOT(Y488=1),1,IF(OR(ABS('DATOS'!G488-ROUND('DATOS'!G488,'REFERENCIAS'!$E$8))&gt;0.00000001,ABS('DATOS'!H488-ROUND('DATOS'!H488,'REFERENCIAS'!$H$8))&gt;0.00000001,ABS('DATOS'!J488-ROUND('DATOS'!J488,'REFERENCIAS'!$K$8))&gt;0.00000001,IF(ISNUMBER('DATOS'!I488),ABS('DATOS'!I488-ROUND('DATOS'!I488,'REFERENCIAS'!$H$8))&gt;0.00000001,FALSE)),1,0)))),2)</f>
      </c>
      <c r="T488" s="29">
        <f>IFERROR(IF(N488=0,"",IF(NOT(AND(LEN(TRIM('DATOS'!F488&amp;""))&gt;0,TRIM('DATOS'!F488&amp;"")&lt;&gt;"Pendiente",TRIM('DATOS'!F488&amp;"")&lt;&gt;"Por confirmar",TRIM('DATOS'!F488&amp;"")&lt;&gt;"No consta",TRIM('DATOS'!F488&amp;"")&lt;&gt;"Desconocido",TRIM('DATOS'!F488&amp;"")&lt;&gt;"Sin confirmar",TRIM('DATOS'!F488&amp;"")&lt;&gt;"Por decidir",TRIM('DATOS'!F488&amp;"")&lt;&gt;"Por comprobar")),2,IF(COUNTIFS('REFERENCIAS'!$T$15:$T$34,"ID:"&amp;SUBSTITUTE(SUBSTITUTE(SUBSTITUTE(SUBSTITUTE(UPPER(TRIM('DATOS'!F488&amp;"")),"!","!E"),"*","!A"),"?","!B"),"~","!C"),'REFERENCIAS'!$H$15:$H$34,"&lt;&gt;")&gt;0,0,1))),2)</f>
      </c>
      <c r="U488" s="29" t="str">
        <f>'DATOS'!R488</f>
        <v>ID:</v>
      </c>
      <c r="V488" s="29" t="str">
        <f>'DATOS'!S488</f>
        <v>ID:</v>
      </c>
      <c r="W488" s="29" t="n">
        <f>IF(N488=0,0,COUNTIFS('REFERENCIAS'!$R$15:$R$64,U488))</f>
        <v>0</v>
      </c>
      <c r="X488" s="29" t="n">
        <f>IF(N488=0,0,COUNTIFS('DATOS'!$R$10:$R$509,U488,'DATOS'!$S$10:$S$509,V488))</f>
        <v>0</v>
      </c>
      <c r="Y488" s="29" t="n">
        <f>IF(AND(ISNUMBER('DATOS'!G488),ISNUMBER('DATOS'!H488),ISNUMBER('DATOS'!J488)),1,0)</f>
        <v>0</v>
      </c>
    </row>
    <row r="489" ht="64" customHeight="1">
      <c r="B489" s="26">
        <f>IF(N489=1,480,"")</f>
      </c>
      <c r="C489" s="26">
        <f>IF(AND(N489=1,LEN(TRIM('DATOS'!B489&amp;""))&gt;0),'DATOS'!B489,"")</f>
      </c>
      <c r="D489" s="26">
        <f>IF(AND(N489=1,LEN(TRIM('DATOS'!C489&amp;""))&gt;0),'DATOS'!C489,"")</f>
      </c>
      <c r="E489" s="26">
        <f>IF(NOT(ISNUMBER(P489)),"",IF(P489=2,"ROJO",IF(P489=1,"ÁMBAR","VERDE")))</f>
      </c>
      <c r="F489" s="26">
        <f>IF(NOT(ISNUMBER(Q489)),"",IF(Q489=2,"ROJO",IF(Q489=1,"ÁMBAR","VERDE")))</f>
      </c>
      <c r="G489" s="26">
        <f>IF(NOT(ISNUMBER(R489)),"",IF(R489=2,"ROJO",IF(R489=1,"ÁMBAR","VERDE")))</f>
      </c>
      <c r="H489" s="26">
        <f>IF(NOT(ISNUMBER(S489)),"",IF(S489=2,"ROJO",IF(S489=1,"ÁMBAR","VERDE")))</f>
      </c>
      <c r="I489" s="26">
        <f>IF(NOT(ISNUMBER(T489)),"",IF(T489=2,"ROJO",IF(T489=1,"ÁMBAR","VERDE")))</f>
      </c>
      <c r="J489" s="26">
        <f>IF(NOT(ISNUMBER(O489)),"",IF(O489=2,"ROJO",IF(O489=1,"ÁMBAR","VERDE")))</f>
      </c>
      <c r="K489" s="26">
        <f>IFERROR(IF(AND(N489=1,LEN(TRIM('DATOS'!N489&amp;""))&gt;0),'DATOS'!N489,""),"Hay una entrada con error. Corregimos el dato antes de cerrar la comprobación.")</f>
      </c>
      <c r="L489" s="26">
        <f>IFERROR(IF(N489=0,"",IF(O489&gt;0,"Completamos datos, claves o motivo. ","")&amp;IF(P489&gt;0,"Cotejamos precios e importe. ","")&amp;IF(Q489&gt;0,"Aclaramos el cero. ","")&amp;IF(R489&gt;0,"Comprobamos el texto. ","")&amp;IF(S489&gt;0,"Revisamos decimales visibles. ","")&amp;IF(T489&gt;0,"Confirmamos la unidad.","")),"Hay una entrada con error. Corregimos el dato antes de cerrar la comprobación.")</f>
      </c>
      <c r="N489" s="29" t="n">
        <f>IF(COUNTA('DATOS'!B489:O489)&gt;0,1,0)</f>
        <v>0</v>
      </c>
      <c r="O489" s="29">
        <f>IFERROR(IF(N489=0,"",IF(OR(NOT(AND(LEN(TRIM('DATOS'!B489&amp;""))&gt;0,TRIM('DATOS'!B489&amp;"")&lt;&gt;"Pendiente",TRIM('DATOS'!B489&amp;"")&lt;&gt;"Por confirmar",TRIM('DATOS'!B489&amp;"")&lt;&gt;"No consta",TRIM('DATOS'!B489&amp;"")&lt;&gt;"Desconocido",TRIM('DATOS'!B489&amp;"")&lt;&gt;"Sin confirmar",TRIM('DATOS'!B489&amp;"")&lt;&gt;"Por decidir",TRIM('DATOS'!B489&amp;"")&lt;&gt;"Por comprobar")),NOT(AND(LEN(TRIM('DATOS'!C489&amp;""))&gt;0,TRIM('DATOS'!C489&amp;"")&lt;&gt;"Pendiente",TRIM('DATOS'!C489&amp;"")&lt;&gt;"Por confirmar",TRIM('DATOS'!C489&amp;"")&lt;&gt;"No consta",TRIM('DATOS'!C489&amp;"")&lt;&gt;"Desconocido",TRIM('DATOS'!C489&amp;"")&lt;&gt;"Sin confirmar",TRIM('DATOS'!C489&amp;"")&lt;&gt;"Por decidir",TRIM('DATOS'!C489&amp;"")&lt;&gt;"Por comprobar")),NOT(AND(LEN(TRIM('DATOS'!D489&amp;""))&gt;0,TRIM('DATOS'!D489&amp;"")&lt;&gt;"Pendiente",TRIM('DATOS'!D489&amp;"")&lt;&gt;"Por confirmar",TRIM('DATOS'!D489&amp;"")&lt;&gt;"No consta",TRIM('DATOS'!D489&amp;"")&lt;&gt;"Desconocido",TRIM('DATOS'!D489&amp;"")&lt;&gt;"Sin confirmar",TRIM('DATOS'!D489&amp;"")&lt;&gt;"Por decidir",TRIM('DATOS'!D489&amp;"")&lt;&gt;"Por comprobar")),NOT(AND(LEN(TRIM('DATOS'!E489&amp;""))&gt;0,TRIM('DATOS'!E489&amp;"")&lt;&gt;"Pendiente",TRIM('DATOS'!E489&amp;"")&lt;&gt;"Por confirmar",TRIM('DATOS'!E489&amp;"")&lt;&gt;"No consta",TRIM('DATOS'!E489&amp;"")&lt;&gt;"Desconocido",TRIM('DATOS'!E489&amp;"")&lt;&gt;"Sin confirmar",TRIM('DATOS'!E489&amp;"")&lt;&gt;"Por decidir",TRIM('DATOS'!E489&amp;"")&lt;&gt;"Por comprobar")),NOT(AND(LEN(TRIM('DATOS'!F489&amp;""))&gt;0,TRIM('DATOS'!F489&amp;"")&lt;&gt;"Pendiente",TRIM('DATOS'!F489&amp;"")&lt;&gt;"Por confirmar",TRIM('DATOS'!F489&amp;"")&lt;&gt;"No consta",TRIM('DATOS'!F489&amp;"")&lt;&gt;"Desconocido",TRIM('DATOS'!F489&amp;"")&lt;&gt;"Sin confirmar",TRIM('DATOS'!F489&amp;"")&lt;&gt;"Por decidir",TRIM('DATOS'!F489&amp;"")&lt;&gt;"Por comprobar")),NOT(AND(LEN(TRIM('DATOS'!N489&amp;""))&gt;0,TRIM('DATOS'!N489&amp;"")&lt;&gt;"Pendiente",TRIM('DATOS'!N489&amp;"")&lt;&gt;"Por confirmar",TRIM('DATOS'!N489&amp;"")&lt;&gt;"No consta",TRIM('DATOS'!N489&amp;"")&lt;&gt;"Desconocido",TRIM('DATOS'!N489&amp;"")&lt;&gt;"Sin confirmar",TRIM('DATOS'!N489&amp;"")&lt;&gt;"Por decidir",TRIM('DATOS'!N489&amp;"")&lt;&gt;"Por comprobar")),NOT(Y489=1),W489&lt;&gt;1,X489&gt;1,NOT(OR(LEN(TRIM('DATOS'!K489&amp;""))=0,'DATOS'!K489="Sin valorar",'DATOS'!K489="Sin coste documentado",'DATOS'!K489="Incluido en otra partida",'DATOS'!K489="Por confirmar")),NOT(OR(LEN(TRIM('DATOS'!M489&amp;""))=0,'DATOS'!M489="Sí",'DATOS'!M489="No",'DATOS'!M489="Por confirmar")),NOT(OR(LEN(TRIM('DATOS'!O489&amp;""))=0,'DATOS'!O489="Comparamos",'DATOS'!O489="No existe",'DATOS'!O489="Por confirmar"))),2,IF(AND(OR('DATOS'!G489&lt;0,'DATOS'!H489&lt;0,'DATOS'!J489&lt;0),NOT(AND(LEN(TRIM('DATOS'!L489&amp;""))&gt;0,TRIM('DATOS'!L489&amp;"")&lt;&gt;"Pendiente",TRIM('DATOS'!L489&amp;"")&lt;&gt;"Por confirmar",TRIM('DATOS'!L489&amp;"")&lt;&gt;"No consta",TRIM('DATOS'!L489&amp;"")&lt;&gt;"Desconocido",TRIM('DATOS'!L489&amp;"")&lt;&gt;"Sin confirmar",TRIM('DATOS'!L489&amp;"")&lt;&gt;"Por decidir",TRIM('DATOS'!L489&amp;"")&lt;&gt;"Por comprobar"))),1,0))),2)</f>
      </c>
      <c r="P489" s="29">
        <f>IFERROR(IF(N489=0,"",IF(NOT(Y489=1),1,IF('REFERENCIAS'!$Q$8&lt;&gt;1,2,IF(ABS('DATOS'!J489-ROUND('DATOS'!G489*'DATOS'!H489,'REFERENCIAS'!$K$8))&gt;0.00000001,2,IF('DATOS'!O489="No existe",IF(LEN(TRIM('DATOS'!I489&amp;""))=0,0,2),IF('DATOS'!O489="Comparamos",IF(LEN(TRIM('DATOS'!I489&amp;""))=0,1,IF(ISNUMBER('DATOS'!I489),IF(ABS('DATOS'!H489-'DATOS'!I489)&gt;0.00000001,2,0),2)),1)))))),2)</f>
      </c>
      <c r="Q489" s="29">
        <f>IFERROR(IF(N489=0,"",IF(NOT(Y489=1),1,IF('DATOS'!K489="Sin valorar",2,IF('DATOS'!G489=0,1,IF(OR('DATOS'!H489=0,'DATOS'!J489=0),IF(AND(OR('DATOS'!K489="Sin coste documentado",'DATOS'!K489="Incluido en otra partida"),AND(LEN(TRIM('DATOS'!L489&amp;""))&gt;0,TRIM('DATOS'!L489&amp;"")&lt;&gt;"Pendiente",TRIM('DATOS'!L489&amp;"")&lt;&gt;"Por confirmar",TRIM('DATOS'!L489&amp;"")&lt;&gt;"No consta",TRIM('DATOS'!L489&amp;"")&lt;&gt;"Desconocido",TRIM('DATOS'!L489&amp;"")&lt;&gt;"Sin confirmar",TRIM('DATOS'!L489&amp;"")&lt;&gt;"Por decidir",TRIM('DATOS'!L489&amp;"")&lt;&gt;"Por comprobar")),0,1),0))))),2)</f>
      </c>
      <c r="R489" s="29">
        <f>IFERROR(IF(N489=0,"",IF(OR(NOT(AND(LEN(TRIM('DATOS'!D489&amp;""))&gt;0,TRIM('DATOS'!D489&amp;"")&lt;&gt;"Pendiente",TRIM('DATOS'!D489&amp;"")&lt;&gt;"Por confirmar",TRIM('DATOS'!D489&amp;"")&lt;&gt;"No consta",TRIM('DATOS'!D489&amp;"")&lt;&gt;"Desconocido",TRIM('DATOS'!D489&amp;"")&lt;&gt;"Sin confirmar",TRIM('DATOS'!D489&amp;"")&lt;&gt;"Por decidir",TRIM('DATOS'!D489&amp;"")&lt;&gt;"Por comprobar")),NOT(AND(LEN(TRIM('DATOS'!E489&amp;""))&gt;0,TRIM('DATOS'!E489&amp;"")&lt;&gt;"Pendiente",TRIM('DATOS'!E489&amp;"")&lt;&gt;"Por confirmar",TRIM('DATOS'!E489&amp;"")&lt;&gt;"No consta",TRIM('DATOS'!E489&amp;"")&lt;&gt;"Desconocido",TRIM('DATOS'!E489&amp;"")&lt;&gt;"Sin confirmar",TRIM('DATOS'!E489&amp;"")&lt;&gt;"Por decidir",TRIM('DATOS'!E489&amp;"")&lt;&gt;"Por comprobar"))),2,IF('DATOS'!M489="No",2,IF('DATOS'!M489="Sí",0,IF(OR('DATOS'!D489&lt;&gt;'DATOS'!E489,LEN('DATOS'!E489)&gt;300,RIGHT(TRIM('DATOS'!E489),3)="...",RIGHT(TRIM('DATOS'!E489),1)="…"),1,0))))),2)</f>
      </c>
      <c r="S489" s="29">
        <f>IFERROR(IF(N489=0,"",IF('REFERENCIAS'!$Q$8&lt;&gt;1,2,IF(NOT(Y489=1),1,IF(OR(ABS('DATOS'!G489-ROUND('DATOS'!G489,'REFERENCIAS'!$E$8))&gt;0.00000001,ABS('DATOS'!H489-ROUND('DATOS'!H489,'REFERENCIAS'!$H$8))&gt;0.00000001,ABS('DATOS'!J489-ROUND('DATOS'!J489,'REFERENCIAS'!$K$8))&gt;0.00000001,IF(ISNUMBER('DATOS'!I489),ABS('DATOS'!I489-ROUND('DATOS'!I489,'REFERENCIAS'!$H$8))&gt;0.00000001,FALSE)),1,0)))),2)</f>
      </c>
      <c r="T489" s="29">
        <f>IFERROR(IF(N489=0,"",IF(NOT(AND(LEN(TRIM('DATOS'!F489&amp;""))&gt;0,TRIM('DATOS'!F489&amp;"")&lt;&gt;"Pendiente",TRIM('DATOS'!F489&amp;"")&lt;&gt;"Por confirmar",TRIM('DATOS'!F489&amp;"")&lt;&gt;"No consta",TRIM('DATOS'!F489&amp;"")&lt;&gt;"Desconocido",TRIM('DATOS'!F489&amp;"")&lt;&gt;"Sin confirmar",TRIM('DATOS'!F489&amp;"")&lt;&gt;"Por decidir",TRIM('DATOS'!F489&amp;"")&lt;&gt;"Por comprobar")),2,IF(COUNTIFS('REFERENCIAS'!$T$15:$T$34,"ID:"&amp;SUBSTITUTE(SUBSTITUTE(SUBSTITUTE(SUBSTITUTE(UPPER(TRIM('DATOS'!F489&amp;"")),"!","!E"),"*","!A"),"?","!B"),"~","!C"),'REFERENCIAS'!$H$15:$H$34,"&lt;&gt;")&gt;0,0,1))),2)</f>
      </c>
      <c r="U489" s="29" t="str">
        <f>'DATOS'!R489</f>
        <v>ID:</v>
      </c>
      <c r="V489" s="29" t="str">
        <f>'DATOS'!S489</f>
        <v>ID:</v>
      </c>
      <c r="W489" s="29" t="n">
        <f>IF(N489=0,0,COUNTIFS('REFERENCIAS'!$R$15:$R$64,U489))</f>
        <v>0</v>
      </c>
      <c r="X489" s="29" t="n">
        <f>IF(N489=0,0,COUNTIFS('DATOS'!$R$10:$R$509,U489,'DATOS'!$S$10:$S$509,V489))</f>
        <v>0</v>
      </c>
      <c r="Y489" s="29" t="n">
        <f>IF(AND(ISNUMBER('DATOS'!G489),ISNUMBER('DATOS'!H489),ISNUMBER('DATOS'!J489)),1,0)</f>
        <v>0</v>
      </c>
    </row>
    <row r="490" ht="64" customHeight="1">
      <c r="B490" s="26">
        <f>IF(N490=1,481,"")</f>
      </c>
      <c r="C490" s="26">
        <f>IF(AND(N490=1,LEN(TRIM('DATOS'!B490&amp;""))&gt;0),'DATOS'!B490,"")</f>
      </c>
      <c r="D490" s="26">
        <f>IF(AND(N490=1,LEN(TRIM('DATOS'!C490&amp;""))&gt;0),'DATOS'!C490,"")</f>
      </c>
      <c r="E490" s="26">
        <f>IF(NOT(ISNUMBER(P490)),"",IF(P490=2,"ROJO",IF(P490=1,"ÁMBAR","VERDE")))</f>
      </c>
      <c r="F490" s="26">
        <f>IF(NOT(ISNUMBER(Q490)),"",IF(Q490=2,"ROJO",IF(Q490=1,"ÁMBAR","VERDE")))</f>
      </c>
      <c r="G490" s="26">
        <f>IF(NOT(ISNUMBER(R490)),"",IF(R490=2,"ROJO",IF(R490=1,"ÁMBAR","VERDE")))</f>
      </c>
      <c r="H490" s="26">
        <f>IF(NOT(ISNUMBER(S490)),"",IF(S490=2,"ROJO",IF(S490=1,"ÁMBAR","VERDE")))</f>
      </c>
      <c r="I490" s="26">
        <f>IF(NOT(ISNUMBER(T490)),"",IF(T490=2,"ROJO",IF(T490=1,"ÁMBAR","VERDE")))</f>
      </c>
      <c r="J490" s="26">
        <f>IF(NOT(ISNUMBER(O490)),"",IF(O490=2,"ROJO",IF(O490=1,"ÁMBAR","VERDE")))</f>
      </c>
      <c r="K490" s="26">
        <f>IFERROR(IF(AND(N490=1,LEN(TRIM('DATOS'!N490&amp;""))&gt;0),'DATOS'!N490,""),"Hay una entrada con error. Corregimos el dato antes de cerrar la comprobación.")</f>
      </c>
      <c r="L490" s="26">
        <f>IFERROR(IF(N490=0,"",IF(O490&gt;0,"Completamos datos, claves o motivo. ","")&amp;IF(P490&gt;0,"Cotejamos precios e importe. ","")&amp;IF(Q490&gt;0,"Aclaramos el cero. ","")&amp;IF(R490&gt;0,"Comprobamos el texto. ","")&amp;IF(S490&gt;0,"Revisamos decimales visibles. ","")&amp;IF(T490&gt;0,"Confirmamos la unidad.","")),"Hay una entrada con error. Corregimos el dato antes de cerrar la comprobación.")</f>
      </c>
      <c r="N490" s="29" t="n">
        <f>IF(COUNTA('DATOS'!B490:O490)&gt;0,1,0)</f>
        <v>0</v>
      </c>
      <c r="O490" s="29">
        <f>IFERROR(IF(N490=0,"",IF(OR(NOT(AND(LEN(TRIM('DATOS'!B490&amp;""))&gt;0,TRIM('DATOS'!B490&amp;"")&lt;&gt;"Pendiente",TRIM('DATOS'!B490&amp;"")&lt;&gt;"Por confirmar",TRIM('DATOS'!B490&amp;"")&lt;&gt;"No consta",TRIM('DATOS'!B490&amp;"")&lt;&gt;"Desconocido",TRIM('DATOS'!B490&amp;"")&lt;&gt;"Sin confirmar",TRIM('DATOS'!B490&amp;"")&lt;&gt;"Por decidir",TRIM('DATOS'!B490&amp;"")&lt;&gt;"Por comprobar")),NOT(AND(LEN(TRIM('DATOS'!C490&amp;""))&gt;0,TRIM('DATOS'!C490&amp;"")&lt;&gt;"Pendiente",TRIM('DATOS'!C490&amp;"")&lt;&gt;"Por confirmar",TRIM('DATOS'!C490&amp;"")&lt;&gt;"No consta",TRIM('DATOS'!C490&amp;"")&lt;&gt;"Desconocido",TRIM('DATOS'!C490&amp;"")&lt;&gt;"Sin confirmar",TRIM('DATOS'!C490&amp;"")&lt;&gt;"Por decidir",TRIM('DATOS'!C490&amp;"")&lt;&gt;"Por comprobar")),NOT(AND(LEN(TRIM('DATOS'!D490&amp;""))&gt;0,TRIM('DATOS'!D490&amp;"")&lt;&gt;"Pendiente",TRIM('DATOS'!D490&amp;"")&lt;&gt;"Por confirmar",TRIM('DATOS'!D490&amp;"")&lt;&gt;"No consta",TRIM('DATOS'!D490&amp;"")&lt;&gt;"Desconocido",TRIM('DATOS'!D490&amp;"")&lt;&gt;"Sin confirmar",TRIM('DATOS'!D490&amp;"")&lt;&gt;"Por decidir",TRIM('DATOS'!D490&amp;"")&lt;&gt;"Por comprobar")),NOT(AND(LEN(TRIM('DATOS'!E490&amp;""))&gt;0,TRIM('DATOS'!E490&amp;"")&lt;&gt;"Pendiente",TRIM('DATOS'!E490&amp;"")&lt;&gt;"Por confirmar",TRIM('DATOS'!E490&amp;"")&lt;&gt;"No consta",TRIM('DATOS'!E490&amp;"")&lt;&gt;"Desconocido",TRIM('DATOS'!E490&amp;"")&lt;&gt;"Sin confirmar",TRIM('DATOS'!E490&amp;"")&lt;&gt;"Por decidir",TRIM('DATOS'!E490&amp;"")&lt;&gt;"Por comprobar")),NOT(AND(LEN(TRIM('DATOS'!F490&amp;""))&gt;0,TRIM('DATOS'!F490&amp;"")&lt;&gt;"Pendiente",TRIM('DATOS'!F490&amp;"")&lt;&gt;"Por confirmar",TRIM('DATOS'!F490&amp;"")&lt;&gt;"No consta",TRIM('DATOS'!F490&amp;"")&lt;&gt;"Desconocido",TRIM('DATOS'!F490&amp;"")&lt;&gt;"Sin confirmar",TRIM('DATOS'!F490&amp;"")&lt;&gt;"Por decidir",TRIM('DATOS'!F490&amp;"")&lt;&gt;"Por comprobar")),NOT(AND(LEN(TRIM('DATOS'!N490&amp;""))&gt;0,TRIM('DATOS'!N490&amp;"")&lt;&gt;"Pendiente",TRIM('DATOS'!N490&amp;"")&lt;&gt;"Por confirmar",TRIM('DATOS'!N490&amp;"")&lt;&gt;"No consta",TRIM('DATOS'!N490&amp;"")&lt;&gt;"Desconocido",TRIM('DATOS'!N490&amp;"")&lt;&gt;"Sin confirmar",TRIM('DATOS'!N490&amp;"")&lt;&gt;"Por decidir",TRIM('DATOS'!N490&amp;"")&lt;&gt;"Por comprobar")),NOT(Y490=1),W490&lt;&gt;1,X490&gt;1,NOT(OR(LEN(TRIM('DATOS'!K490&amp;""))=0,'DATOS'!K490="Sin valorar",'DATOS'!K490="Sin coste documentado",'DATOS'!K490="Incluido en otra partida",'DATOS'!K490="Por confirmar")),NOT(OR(LEN(TRIM('DATOS'!M490&amp;""))=0,'DATOS'!M490="Sí",'DATOS'!M490="No",'DATOS'!M490="Por confirmar")),NOT(OR(LEN(TRIM('DATOS'!O490&amp;""))=0,'DATOS'!O490="Comparamos",'DATOS'!O490="No existe",'DATOS'!O490="Por confirmar"))),2,IF(AND(OR('DATOS'!G490&lt;0,'DATOS'!H490&lt;0,'DATOS'!J490&lt;0),NOT(AND(LEN(TRIM('DATOS'!L490&amp;""))&gt;0,TRIM('DATOS'!L490&amp;"")&lt;&gt;"Pendiente",TRIM('DATOS'!L490&amp;"")&lt;&gt;"Por confirmar",TRIM('DATOS'!L490&amp;"")&lt;&gt;"No consta",TRIM('DATOS'!L490&amp;"")&lt;&gt;"Desconocido",TRIM('DATOS'!L490&amp;"")&lt;&gt;"Sin confirmar",TRIM('DATOS'!L490&amp;"")&lt;&gt;"Por decidir",TRIM('DATOS'!L490&amp;"")&lt;&gt;"Por comprobar"))),1,0))),2)</f>
      </c>
      <c r="P490" s="29">
        <f>IFERROR(IF(N490=0,"",IF(NOT(Y490=1),1,IF('REFERENCIAS'!$Q$8&lt;&gt;1,2,IF(ABS('DATOS'!J490-ROUND('DATOS'!G490*'DATOS'!H490,'REFERENCIAS'!$K$8))&gt;0.00000001,2,IF('DATOS'!O490="No existe",IF(LEN(TRIM('DATOS'!I490&amp;""))=0,0,2),IF('DATOS'!O490="Comparamos",IF(LEN(TRIM('DATOS'!I490&amp;""))=0,1,IF(ISNUMBER('DATOS'!I490),IF(ABS('DATOS'!H490-'DATOS'!I490)&gt;0.00000001,2,0),2)),1)))))),2)</f>
      </c>
      <c r="Q490" s="29">
        <f>IFERROR(IF(N490=0,"",IF(NOT(Y490=1),1,IF('DATOS'!K490="Sin valorar",2,IF('DATOS'!G490=0,1,IF(OR('DATOS'!H490=0,'DATOS'!J490=0),IF(AND(OR('DATOS'!K490="Sin coste documentado",'DATOS'!K490="Incluido en otra partida"),AND(LEN(TRIM('DATOS'!L490&amp;""))&gt;0,TRIM('DATOS'!L490&amp;"")&lt;&gt;"Pendiente",TRIM('DATOS'!L490&amp;"")&lt;&gt;"Por confirmar",TRIM('DATOS'!L490&amp;"")&lt;&gt;"No consta",TRIM('DATOS'!L490&amp;"")&lt;&gt;"Desconocido",TRIM('DATOS'!L490&amp;"")&lt;&gt;"Sin confirmar",TRIM('DATOS'!L490&amp;"")&lt;&gt;"Por decidir",TRIM('DATOS'!L490&amp;"")&lt;&gt;"Por comprobar")),0,1),0))))),2)</f>
      </c>
      <c r="R490" s="29">
        <f>IFERROR(IF(N490=0,"",IF(OR(NOT(AND(LEN(TRIM('DATOS'!D490&amp;""))&gt;0,TRIM('DATOS'!D490&amp;"")&lt;&gt;"Pendiente",TRIM('DATOS'!D490&amp;"")&lt;&gt;"Por confirmar",TRIM('DATOS'!D490&amp;"")&lt;&gt;"No consta",TRIM('DATOS'!D490&amp;"")&lt;&gt;"Desconocido",TRIM('DATOS'!D490&amp;"")&lt;&gt;"Sin confirmar",TRIM('DATOS'!D490&amp;"")&lt;&gt;"Por decidir",TRIM('DATOS'!D490&amp;"")&lt;&gt;"Por comprobar")),NOT(AND(LEN(TRIM('DATOS'!E490&amp;""))&gt;0,TRIM('DATOS'!E490&amp;"")&lt;&gt;"Pendiente",TRIM('DATOS'!E490&amp;"")&lt;&gt;"Por confirmar",TRIM('DATOS'!E490&amp;"")&lt;&gt;"No consta",TRIM('DATOS'!E490&amp;"")&lt;&gt;"Desconocido",TRIM('DATOS'!E490&amp;"")&lt;&gt;"Sin confirmar",TRIM('DATOS'!E490&amp;"")&lt;&gt;"Por decidir",TRIM('DATOS'!E490&amp;"")&lt;&gt;"Por comprobar"))),2,IF('DATOS'!M490="No",2,IF('DATOS'!M490="Sí",0,IF(OR('DATOS'!D490&lt;&gt;'DATOS'!E490,LEN('DATOS'!E490)&gt;300,RIGHT(TRIM('DATOS'!E490),3)="...",RIGHT(TRIM('DATOS'!E490),1)="…"),1,0))))),2)</f>
      </c>
      <c r="S490" s="29">
        <f>IFERROR(IF(N490=0,"",IF('REFERENCIAS'!$Q$8&lt;&gt;1,2,IF(NOT(Y490=1),1,IF(OR(ABS('DATOS'!G490-ROUND('DATOS'!G490,'REFERENCIAS'!$E$8))&gt;0.00000001,ABS('DATOS'!H490-ROUND('DATOS'!H490,'REFERENCIAS'!$H$8))&gt;0.00000001,ABS('DATOS'!J490-ROUND('DATOS'!J490,'REFERENCIAS'!$K$8))&gt;0.00000001,IF(ISNUMBER('DATOS'!I490),ABS('DATOS'!I490-ROUND('DATOS'!I490,'REFERENCIAS'!$H$8))&gt;0.00000001,FALSE)),1,0)))),2)</f>
      </c>
      <c r="T490" s="29">
        <f>IFERROR(IF(N490=0,"",IF(NOT(AND(LEN(TRIM('DATOS'!F490&amp;""))&gt;0,TRIM('DATOS'!F490&amp;"")&lt;&gt;"Pendiente",TRIM('DATOS'!F490&amp;"")&lt;&gt;"Por confirmar",TRIM('DATOS'!F490&amp;"")&lt;&gt;"No consta",TRIM('DATOS'!F490&amp;"")&lt;&gt;"Desconocido",TRIM('DATOS'!F490&amp;"")&lt;&gt;"Sin confirmar",TRIM('DATOS'!F490&amp;"")&lt;&gt;"Por decidir",TRIM('DATOS'!F490&amp;"")&lt;&gt;"Por comprobar")),2,IF(COUNTIFS('REFERENCIAS'!$T$15:$T$34,"ID:"&amp;SUBSTITUTE(SUBSTITUTE(SUBSTITUTE(SUBSTITUTE(UPPER(TRIM('DATOS'!F490&amp;"")),"!","!E"),"*","!A"),"?","!B"),"~","!C"),'REFERENCIAS'!$H$15:$H$34,"&lt;&gt;")&gt;0,0,1))),2)</f>
      </c>
      <c r="U490" s="29" t="str">
        <f>'DATOS'!R490</f>
        <v>ID:</v>
      </c>
      <c r="V490" s="29" t="str">
        <f>'DATOS'!S490</f>
        <v>ID:</v>
      </c>
      <c r="W490" s="29" t="n">
        <f>IF(N490=0,0,COUNTIFS('REFERENCIAS'!$R$15:$R$64,U490))</f>
        <v>0</v>
      </c>
      <c r="X490" s="29" t="n">
        <f>IF(N490=0,0,COUNTIFS('DATOS'!$R$10:$R$509,U490,'DATOS'!$S$10:$S$509,V490))</f>
        <v>0</v>
      </c>
      <c r="Y490" s="29" t="n">
        <f>IF(AND(ISNUMBER('DATOS'!G490),ISNUMBER('DATOS'!H490),ISNUMBER('DATOS'!J490)),1,0)</f>
        <v>0</v>
      </c>
    </row>
    <row r="491" ht="64" customHeight="1">
      <c r="B491" s="26">
        <f>IF(N491=1,482,"")</f>
      </c>
      <c r="C491" s="26">
        <f>IF(AND(N491=1,LEN(TRIM('DATOS'!B491&amp;""))&gt;0),'DATOS'!B491,"")</f>
      </c>
      <c r="D491" s="26">
        <f>IF(AND(N491=1,LEN(TRIM('DATOS'!C491&amp;""))&gt;0),'DATOS'!C491,"")</f>
      </c>
      <c r="E491" s="26">
        <f>IF(NOT(ISNUMBER(P491)),"",IF(P491=2,"ROJO",IF(P491=1,"ÁMBAR","VERDE")))</f>
      </c>
      <c r="F491" s="26">
        <f>IF(NOT(ISNUMBER(Q491)),"",IF(Q491=2,"ROJO",IF(Q491=1,"ÁMBAR","VERDE")))</f>
      </c>
      <c r="G491" s="26">
        <f>IF(NOT(ISNUMBER(R491)),"",IF(R491=2,"ROJO",IF(R491=1,"ÁMBAR","VERDE")))</f>
      </c>
      <c r="H491" s="26">
        <f>IF(NOT(ISNUMBER(S491)),"",IF(S491=2,"ROJO",IF(S491=1,"ÁMBAR","VERDE")))</f>
      </c>
      <c r="I491" s="26">
        <f>IF(NOT(ISNUMBER(T491)),"",IF(T491=2,"ROJO",IF(T491=1,"ÁMBAR","VERDE")))</f>
      </c>
      <c r="J491" s="26">
        <f>IF(NOT(ISNUMBER(O491)),"",IF(O491=2,"ROJO",IF(O491=1,"ÁMBAR","VERDE")))</f>
      </c>
      <c r="K491" s="26">
        <f>IFERROR(IF(AND(N491=1,LEN(TRIM('DATOS'!N491&amp;""))&gt;0),'DATOS'!N491,""),"Hay una entrada con error. Corregimos el dato antes de cerrar la comprobación.")</f>
      </c>
      <c r="L491" s="26">
        <f>IFERROR(IF(N491=0,"",IF(O491&gt;0,"Completamos datos, claves o motivo. ","")&amp;IF(P491&gt;0,"Cotejamos precios e importe. ","")&amp;IF(Q491&gt;0,"Aclaramos el cero. ","")&amp;IF(R491&gt;0,"Comprobamos el texto. ","")&amp;IF(S491&gt;0,"Revisamos decimales visibles. ","")&amp;IF(T491&gt;0,"Confirmamos la unidad.","")),"Hay una entrada con error. Corregimos el dato antes de cerrar la comprobación.")</f>
      </c>
      <c r="N491" s="29" t="n">
        <f>IF(COUNTA('DATOS'!B491:O491)&gt;0,1,0)</f>
        <v>0</v>
      </c>
      <c r="O491" s="29">
        <f>IFERROR(IF(N491=0,"",IF(OR(NOT(AND(LEN(TRIM('DATOS'!B491&amp;""))&gt;0,TRIM('DATOS'!B491&amp;"")&lt;&gt;"Pendiente",TRIM('DATOS'!B491&amp;"")&lt;&gt;"Por confirmar",TRIM('DATOS'!B491&amp;"")&lt;&gt;"No consta",TRIM('DATOS'!B491&amp;"")&lt;&gt;"Desconocido",TRIM('DATOS'!B491&amp;"")&lt;&gt;"Sin confirmar",TRIM('DATOS'!B491&amp;"")&lt;&gt;"Por decidir",TRIM('DATOS'!B491&amp;"")&lt;&gt;"Por comprobar")),NOT(AND(LEN(TRIM('DATOS'!C491&amp;""))&gt;0,TRIM('DATOS'!C491&amp;"")&lt;&gt;"Pendiente",TRIM('DATOS'!C491&amp;"")&lt;&gt;"Por confirmar",TRIM('DATOS'!C491&amp;"")&lt;&gt;"No consta",TRIM('DATOS'!C491&amp;"")&lt;&gt;"Desconocido",TRIM('DATOS'!C491&amp;"")&lt;&gt;"Sin confirmar",TRIM('DATOS'!C491&amp;"")&lt;&gt;"Por decidir",TRIM('DATOS'!C491&amp;"")&lt;&gt;"Por comprobar")),NOT(AND(LEN(TRIM('DATOS'!D491&amp;""))&gt;0,TRIM('DATOS'!D491&amp;"")&lt;&gt;"Pendiente",TRIM('DATOS'!D491&amp;"")&lt;&gt;"Por confirmar",TRIM('DATOS'!D491&amp;"")&lt;&gt;"No consta",TRIM('DATOS'!D491&amp;"")&lt;&gt;"Desconocido",TRIM('DATOS'!D491&amp;"")&lt;&gt;"Sin confirmar",TRIM('DATOS'!D491&amp;"")&lt;&gt;"Por decidir",TRIM('DATOS'!D491&amp;"")&lt;&gt;"Por comprobar")),NOT(AND(LEN(TRIM('DATOS'!E491&amp;""))&gt;0,TRIM('DATOS'!E491&amp;"")&lt;&gt;"Pendiente",TRIM('DATOS'!E491&amp;"")&lt;&gt;"Por confirmar",TRIM('DATOS'!E491&amp;"")&lt;&gt;"No consta",TRIM('DATOS'!E491&amp;"")&lt;&gt;"Desconocido",TRIM('DATOS'!E491&amp;"")&lt;&gt;"Sin confirmar",TRIM('DATOS'!E491&amp;"")&lt;&gt;"Por decidir",TRIM('DATOS'!E491&amp;"")&lt;&gt;"Por comprobar")),NOT(AND(LEN(TRIM('DATOS'!F491&amp;""))&gt;0,TRIM('DATOS'!F491&amp;"")&lt;&gt;"Pendiente",TRIM('DATOS'!F491&amp;"")&lt;&gt;"Por confirmar",TRIM('DATOS'!F491&amp;"")&lt;&gt;"No consta",TRIM('DATOS'!F491&amp;"")&lt;&gt;"Desconocido",TRIM('DATOS'!F491&amp;"")&lt;&gt;"Sin confirmar",TRIM('DATOS'!F491&amp;"")&lt;&gt;"Por decidir",TRIM('DATOS'!F491&amp;"")&lt;&gt;"Por comprobar")),NOT(AND(LEN(TRIM('DATOS'!N491&amp;""))&gt;0,TRIM('DATOS'!N491&amp;"")&lt;&gt;"Pendiente",TRIM('DATOS'!N491&amp;"")&lt;&gt;"Por confirmar",TRIM('DATOS'!N491&amp;"")&lt;&gt;"No consta",TRIM('DATOS'!N491&amp;"")&lt;&gt;"Desconocido",TRIM('DATOS'!N491&amp;"")&lt;&gt;"Sin confirmar",TRIM('DATOS'!N491&amp;"")&lt;&gt;"Por decidir",TRIM('DATOS'!N491&amp;"")&lt;&gt;"Por comprobar")),NOT(Y491=1),W491&lt;&gt;1,X491&gt;1,NOT(OR(LEN(TRIM('DATOS'!K491&amp;""))=0,'DATOS'!K491="Sin valorar",'DATOS'!K491="Sin coste documentado",'DATOS'!K491="Incluido en otra partida",'DATOS'!K491="Por confirmar")),NOT(OR(LEN(TRIM('DATOS'!M491&amp;""))=0,'DATOS'!M491="Sí",'DATOS'!M491="No",'DATOS'!M491="Por confirmar")),NOT(OR(LEN(TRIM('DATOS'!O491&amp;""))=0,'DATOS'!O491="Comparamos",'DATOS'!O491="No existe",'DATOS'!O491="Por confirmar"))),2,IF(AND(OR('DATOS'!G491&lt;0,'DATOS'!H491&lt;0,'DATOS'!J491&lt;0),NOT(AND(LEN(TRIM('DATOS'!L491&amp;""))&gt;0,TRIM('DATOS'!L491&amp;"")&lt;&gt;"Pendiente",TRIM('DATOS'!L491&amp;"")&lt;&gt;"Por confirmar",TRIM('DATOS'!L491&amp;"")&lt;&gt;"No consta",TRIM('DATOS'!L491&amp;"")&lt;&gt;"Desconocido",TRIM('DATOS'!L491&amp;"")&lt;&gt;"Sin confirmar",TRIM('DATOS'!L491&amp;"")&lt;&gt;"Por decidir",TRIM('DATOS'!L491&amp;"")&lt;&gt;"Por comprobar"))),1,0))),2)</f>
      </c>
      <c r="P491" s="29">
        <f>IFERROR(IF(N491=0,"",IF(NOT(Y491=1),1,IF('REFERENCIAS'!$Q$8&lt;&gt;1,2,IF(ABS('DATOS'!J491-ROUND('DATOS'!G491*'DATOS'!H491,'REFERENCIAS'!$K$8))&gt;0.00000001,2,IF('DATOS'!O491="No existe",IF(LEN(TRIM('DATOS'!I491&amp;""))=0,0,2),IF('DATOS'!O491="Comparamos",IF(LEN(TRIM('DATOS'!I491&amp;""))=0,1,IF(ISNUMBER('DATOS'!I491),IF(ABS('DATOS'!H491-'DATOS'!I491)&gt;0.00000001,2,0),2)),1)))))),2)</f>
      </c>
      <c r="Q491" s="29">
        <f>IFERROR(IF(N491=0,"",IF(NOT(Y491=1),1,IF('DATOS'!K491="Sin valorar",2,IF('DATOS'!G491=0,1,IF(OR('DATOS'!H491=0,'DATOS'!J491=0),IF(AND(OR('DATOS'!K491="Sin coste documentado",'DATOS'!K491="Incluido en otra partida"),AND(LEN(TRIM('DATOS'!L491&amp;""))&gt;0,TRIM('DATOS'!L491&amp;"")&lt;&gt;"Pendiente",TRIM('DATOS'!L491&amp;"")&lt;&gt;"Por confirmar",TRIM('DATOS'!L491&amp;"")&lt;&gt;"No consta",TRIM('DATOS'!L491&amp;"")&lt;&gt;"Desconocido",TRIM('DATOS'!L491&amp;"")&lt;&gt;"Sin confirmar",TRIM('DATOS'!L491&amp;"")&lt;&gt;"Por decidir",TRIM('DATOS'!L491&amp;"")&lt;&gt;"Por comprobar")),0,1),0))))),2)</f>
      </c>
      <c r="R491" s="29">
        <f>IFERROR(IF(N491=0,"",IF(OR(NOT(AND(LEN(TRIM('DATOS'!D491&amp;""))&gt;0,TRIM('DATOS'!D491&amp;"")&lt;&gt;"Pendiente",TRIM('DATOS'!D491&amp;"")&lt;&gt;"Por confirmar",TRIM('DATOS'!D491&amp;"")&lt;&gt;"No consta",TRIM('DATOS'!D491&amp;"")&lt;&gt;"Desconocido",TRIM('DATOS'!D491&amp;"")&lt;&gt;"Sin confirmar",TRIM('DATOS'!D491&amp;"")&lt;&gt;"Por decidir",TRIM('DATOS'!D491&amp;"")&lt;&gt;"Por comprobar")),NOT(AND(LEN(TRIM('DATOS'!E491&amp;""))&gt;0,TRIM('DATOS'!E491&amp;"")&lt;&gt;"Pendiente",TRIM('DATOS'!E491&amp;"")&lt;&gt;"Por confirmar",TRIM('DATOS'!E491&amp;"")&lt;&gt;"No consta",TRIM('DATOS'!E491&amp;"")&lt;&gt;"Desconocido",TRIM('DATOS'!E491&amp;"")&lt;&gt;"Sin confirmar",TRIM('DATOS'!E491&amp;"")&lt;&gt;"Por decidir",TRIM('DATOS'!E491&amp;"")&lt;&gt;"Por comprobar"))),2,IF('DATOS'!M491="No",2,IF('DATOS'!M491="Sí",0,IF(OR('DATOS'!D491&lt;&gt;'DATOS'!E491,LEN('DATOS'!E491)&gt;300,RIGHT(TRIM('DATOS'!E491),3)="...",RIGHT(TRIM('DATOS'!E491),1)="…"),1,0))))),2)</f>
      </c>
      <c r="S491" s="29">
        <f>IFERROR(IF(N491=0,"",IF('REFERENCIAS'!$Q$8&lt;&gt;1,2,IF(NOT(Y491=1),1,IF(OR(ABS('DATOS'!G491-ROUND('DATOS'!G491,'REFERENCIAS'!$E$8))&gt;0.00000001,ABS('DATOS'!H491-ROUND('DATOS'!H491,'REFERENCIAS'!$H$8))&gt;0.00000001,ABS('DATOS'!J491-ROUND('DATOS'!J491,'REFERENCIAS'!$K$8))&gt;0.00000001,IF(ISNUMBER('DATOS'!I491),ABS('DATOS'!I491-ROUND('DATOS'!I491,'REFERENCIAS'!$H$8))&gt;0.00000001,FALSE)),1,0)))),2)</f>
      </c>
      <c r="T491" s="29">
        <f>IFERROR(IF(N491=0,"",IF(NOT(AND(LEN(TRIM('DATOS'!F491&amp;""))&gt;0,TRIM('DATOS'!F491&amp;"")&lt;&gt;"Pendiente",TRIM('DATOS'!F491&amp;"")&lt;&gt;"Por confirmar",TRIM('DATOS'!F491&amp;"")&lt;&gt;"No consta",TRIM('DATOS'!F491&amp;"")&lt;&gt;"Desconocido",TRIM('DATOS'!F491&amp;"")&lt;&gt;"Sin confirmar",TRIM('DATOS'!F491&amp;"")&lt;&gt;"Por decidir",TRIM('DATOS'!F491&amp;"")&lt;&gt;"Por comprobar")),2,IF(COUNTIFS('REFERENCIAS'!$T$15:$T$34,"ID:"&amp;SUBSTITUTE(SUBSTITUTE(SUBSTITUTE(SUBSTITUTE(UPPER(TRIM('DATOS'!F491&amp;"")),"!","!E"),"*","!A"),"?","!B"),"~","!C"),'REFERENCIAS'!$H$15:$H$34,"&lt;&gt;")&gt;0,0,1))),2)</f>
      </c>
      <c r="U491" s="29" t="str">
        <f>'DATOS'!R491</f>
        <v>ID:</v>
      </c>
      <c r="V491" s="29" t="str">
        <f>'DATOS'!S491</f>
        <v>ID:</v>
      </c>
      <c r="W491" s="29" t="n">
        <f>IF(N491=0,0,COUNTIFS('REFERENCIAS'!$R$15:$R$64,U491))</f>
        <v>0</v>
      </c>
      <c r="X491" s="29" t="n">
        <f>IF(N491=0,0,COUNTIFS('DATOS'!$R$10:$R$509,U491,'DATOS'!$S$10:$S$509,V491))</f>
        <v>0</v>
      </c>
      <c r="Y491" s="29" t="n">
        <f>IF(AND(ISNUMBER('DATOS'!G491),ISNUMBER('DATOS'!H491),ISNUMBER('DATOS'!J491)),1,0)</f>
        <v>0</v>
      </c>
    </row>
    <row r="492" ht="64" customHeight="1">
      <c r="B492" s="26">
        <f>IF(N492=1,483,"")</f>
      </c>
      <c r="C492" s="26">
        <f>IF(AND(N492=1,LEN(TRIM('DATOS'!B492&amp;""))&gt;0),'DATOS'!B492,"")</f>
      </c>
      <c r="D492" s="26">
        <f>IF(AND(N492=1,LEN(TRIM('DATOS'!C492&amp;""))&gt;0),'DATOS'!C492,"")</f>
      </c>
      <c r="E492" s="26">
        <f>IF(NOT(ISNUMBER(P492)),"",IF(P492=2,"ROJO",IF(P492=1,"ÁMBAR","VERDE")))</f>
      </c>
      <c r="F492" s="26">
        <f>IF(NOT(ISNUMBER(Q492)),"",IF(Q492=2,"ROJO",IF(Q492=1,"ÁMBAR","VERDE")))</f>
      </c>
      <c r="G492" s="26">
        <f>IF(NOT(ISNUMBER(R492)),"",IF(R492=2,"ROJO",IF(R492=1,"ÁMBAR","VERDE")))</f>
      </c>
      <c r="H492" s="26">
        <f>IF(NOT(ISNUMBER(S492)),"",IF(S492=2,"ROJO",IF(S492=1,"ÁMBAR","VERDE")))</f>
      </c>
      <c r="I492" s="26">
        <f>IF(NOT(ISNUMBER(T492)),"",IF(T492=2,"ROJO",IF(T492=1,"ÁMBAR","VERDE")))</f>
      </c>
      <c r="J492" s="26">
        <f>IF(NOT(ISNUMBER(O492)),"",IF(O492=2,"ROJO",IF(O492=1,"ÁMBAR","VERDE")))</f>
      </c>
      <c r="K492" s="26">
        <f>IFERROR(IF(AND(N492=1,LEN(TRIM('DATOS'!N492&amp;""))&gt;0),'DATOS'!N492,""),"Hay una entrada con error. Corregimos el dato antes de cerrar la comprobación.")</f>
      </c>
      <c r="L492" s="26">
        <f>IFERROR(IF(N492=0,"",IF(O492&gt;0,"Completamos datos, claves o motivo. ","")&amp;IF(P492&gt;0,"Cotejamos precios e importe. ","")&amp;IF(Q492&gt;0,"Aclaramos el cero. ","")&amp;IF(R492&gt;0,"Comprobamos el texto. ","")&amp;IF(S492&gt;0,"Revisamos decimales visibles. ","")&amp;IF(T492&gt;0,"Confirmamos la unidad.","")),"Hay una entrada con error. Corregimos el dato antes de cerrar la comprobación.")</f>
      </c>
      <c r="N492" s="29" t="n">
        <f>IF(COUNTA('DATOS'!B492:O492)&gt;0,1,0)</f>
        <v>0</v>
      </c>
      <c r="O492" s="29">
        <f>IFERROR(IF(N492=0,"",IF(OR(NOT(AND(LEN(TRIM('DATOS'!B492&amp;""))&gt;0,TRIM('DATOS'!B492&amp;"")&lt;&gt;"Pendiente",TRIM('DATOS'!B492&amp;"")&lt;&gt;"Por confirmar",TRIM('DATOS'!B492&amp;"")&lt;&gt;"No consta",TRIM('DATOS'!B492&amp;"")&lt;&gt;"Desconocido",TRIM('DATOS'!B492&amp;"")&lt;&gt;"Sin confirmar",TRIM('DATOS'!B492&amp;"")&lt;&gt;"Por decidir",TRIM('DATOS'!B492&amp;"")&lt;&gt;"Por comprobar")),NOT(AND(LEN(TRIM('DATOS'!C492&amp;""))&gt;0,TRIM('DATOS'!C492&amp;"")&lt;&gt;"Pendiente",TRIM('DATOS'!C492&amp;"")&lt;&gt;"Por confirmar",TRIM('DATOS'!C492&amp;"")&lt;&gt;"No consta",TRIM('DATOS'!C492&amp;"")&lt;&gt;"Desconocido",TRIM('DATOS'!C492&amp;"")&lt;&gt;"Sin confirmar",TRIM('DATOS'!C492&amp;"")&lt;&gt;"Por decidir",TRIM('DATOS'!C492&amp;"")&lt;&gt;"Por comprobar")),NOT(AND(LEN(TRIM('DATOS'!D492&amp;""))&gt;0,TRIM('DATOS'!D492&amp;"")&lt;&gt;"Pendiente",TRIM('DATOS'!D492&amp;"")&lt;&gt;"Por confirmar",TRIM('DATOS'!D492&amp;"")&lt;&gt;"No consta",TRIM('DATOS'!D492&amp;"")&lt;&gt;"Desconocido",TRIM('DATOS'!D492&amp;"")&lt;&gt;"Sin confirmar",TRIM('DATOS'!D492&amp;"")&lt;&gt;"Por decidir",TRIM('DATOS'!D492&amp;"")&lt;&gt;"Por comprobar")),NOT(AND(LEN(TRIM('DATOS'!E492&amp;""))&gt;0,TRIM('DATOS'!E492&amp;"")&lt;&gt;"Pendiente",TRIM('DATOS'!E492&amp;"")&lt;&gt;"Por confirmar",TRIM('DATOS'!E492&amp;"")&lt;&gt;"No consta",TRIM('DATOS'!E492&amp;"")&lt;&gt;"Desconocido",TRIM('DATOS'!E492&amp;"")&lt;&gt;"Sin confirmar",TRIM('DATOS'!E492&amp;"")&lt;&gt;"Por decidir",TRIM('DATOS'!E492&amp;"")&lt;&gt;"Por comprobar")),NOT(AND(LEN(TRIM('DATOS'!F492&amp;""))&gt;0,TRIM('DATOS'!F492&amp;"")&lt;&gt;"Pendiente",TRIM('DATOS'!F492&amp;"")&lt;&gt;"Por confirmar",TRIM('DATOS'!F492&amp;"")&lt;&gt;"No consta",TRIM('DATOS'!F492&amp;"")&lt;&gt;"Desconocido",TRIM('DATOS'!F492&amp;"")&lt;&gt;"Sin confirmar",TRIM('DATOS'!F492&amp;"")&lt;&gt;"Por decidir",TRIM('DATOS'!F492&amp;"")&lt;&gt;"Por comprobar")),NOT(AND(LEN(TRIM('DATOS'!N492&amp;""))&gt;0,TRIM('DATOS'!N492&amp;"")&lt;&gt;"Pendiente",TRIM('DATOS'!N492&amp;"")&lt;&gt;"Por confirmar",TRIM('DATOS'!N492&amp;"")&lt;&gt;"No consta",TRIM('DATOS'!N492&amp;"")&lt;&gt;"Desconocido",TRIM('DATOS'!N492&amp;"")&lt;&gt;"Sin confirmar",TRIM('DATOS'!N492&amp;"")&lt;&gt;"Por decidir",TRIM('DATOS'!N492&amp;"")&lt;&gt;"Por comprobar")),NOT(Y492=1),W492&lt;&gt;1,X492&gt;1,NOT(OR(LEN(TRIM('DATOS'!K492&amp;""))=0,'DATOS'!K492="Sin valorar",'DATOS'!K492="Sin coste documentado",'DATOS'!K492="Incluido en otra partida",'DATOS'!K492="Por confirmar")),NOT(OR(LEN(TRIM('DATOS'!M492&amp;""))=0,'DATOS'!M492="Sí",'DATOS'!M492="No",'DATOS'!M492="Por confirmar")),NOT(OR(LEN(TRIM('DATOS'!O492&amp;""))=0,'DATOS'!O492="Comparamos",'DATOS'!O492="No existe",'DATOS'!O492="Por confirmar"))),2,IF(AND(OR('DATOS'!G492&lt;0,'DATOS'!H492&lt;0,'DATOS'!J492&lt;0),NOT(AND(LEN(TRIM('DATOS'!L492&amp;""))&gt;0,TRIM('DATOS'!L492&amp;"")&lt;&gt;"Pendiente",TRIM('DATOS'!L492&amp;"")&lt;&gt;"Por confirmar",TRIM('DATOS'!L492&amp;"")&lt;&gt;"No consta",TRIM('DATOS'!L492&amp;"")&lt;&gt;"Desconocido",TRIM('DATOS'!L492&amp;"")&lt;&gt;"Sin confirmar",TRIM('DATOS'!L492&amp;"")&lt;&gt;"Por decidir",TRIM('DATOS'!L492&amp;"")&lt;&gt;"Por comprobar"))),1,0))),2)</f>
      </c>
      <c r="P492" s="29">
        <f>IFERROR(IF(N492=0,"",IF(NOT(Y492=1),1,IF('REFERENCIAS'!$Q$8&lt;&gt;1,2,IF(ABS('DATOS'!J492-ROUND('DATOS'!G492*'DATOS'!H492,'REFERENCIAS'!$K$8))&gt;0.00000001,2,IF('DATOS'!O492="No existe",IF(LEN(TRIM('DATOS'!I492&amp;""))=0,0,2),IF('DATOS'!O492="Comparamos",IF(LEN(TRIM('DATOS'!I492&amp;""))=0,1,IF(ISNUMBER('DATOS'!I492),IF(ABS('DATOS'!H492-'DATOS'!I492)&gt;0.00000001,2,0),2)),1)))))),2)</f>
      </c>
      <c r="Q492" s="29">
        <f>IFERROR(IF(N492=0,"",IF(NOT(Y492=1),1,IF('DATOS'!K492="Sin valorar",2,IF('DATOS'!G492=0,1,IF(OR('DATOS'!H492=0,'DATOS'!J492=0),IF(AND(OR('DATOS'!K492="Sin coste documentado",'DATOS'!K492="Incluido en otra partida"),AND(LEN(TRIM('DATOS'!L492&amp;""))&gt;0,TRIM('DATOS'!L492&amp;"")&lt;&gt;"Pendiente",TRIM('DATOS'!L492&amp;"")&lt;&gt;"Por confirmar",TRIM('DATOS'!L492&amp;"")&lt;&gt;"No consta",TRIM('DATOS'!L492&amp;"")&lt;&gt;"Desconocido",TRIM('DATOS'!L492&amp;"")&lt;&gt;"Sin confirmar",TRIM('DATOS'!L492&amp;"")&lt;&gt;"Por decidir",TRIM('DATOS'!L492&amp;"")&lt;&gt;"Por comprobar")),0,1),0))))),2)</f>
      </c>
      <c r="R492" s="29">
        <f>IFERROR(IF(N492=0,"",IF(OR(NOT(AND(LEN(TRIM('DATOS'!D492&amp;""))&gt;0,TRIM('DATOS'!D492&amp;"")&lt;&gt;"Pendiente",TRIM('DATOS'!D492&amp;"")&lt;&gt;"Por confirmar",TRIM('DATOS'!D492&amp;"")&lt;&gt;"No consta",TRIM('DATOS'!D492&amp;"")&lt;&gt;"Desconocido",TRIM('DATOS'!D492&amp;"")&lt;&gt;"Sin confirmar",TRIM('DATOS'!D492&amp;"")&lt;&gt;"Por decidir",TRIM('DATOS'!D492&amp;"")&lt;&gt;"Por comprobar")),NOT(AND(LEN(TRIM('DATOS'!E492&amp;""))&gt;0,TRIM('DATOS'!E492&amp;"")&lt;&gt;"Pendiente",TRIM('DATOS'!E492&amp;"")&lt;&gt;"Por confirmar",TRIM('DATOS'!E492&amp;"")&lt;&gt;"No consta",TRIM('DATOS'!E492&amp;"")&lt;&gt;"Desconocido",TRIM('DATOS'!E492&amp;"")&lt;&gt;"Sin confirmar",TRIM('DATOS'!E492&amp;"")&lt;&gt;"Por decidir",TRIM('DATOS'!E492&amp;"")&lt;&gt;"Por comprobar"))),2,IF('DATOS'!M492="No",2,IF('DATOS'!M492="Sí",0,IF(OR('DATOS'!D492&lt;&gt;'DATOS'!E492,LEN('DATOS'!E492)&gt;300,RIGHT(TRIM('DATOS'!E492),3)="...",RIGHT(TRIM('DATOS'!E492),1)="…"),1,0))))),2)</f>
      </c>
      <c r="S492" s="29">
        <f>IFERROR(IF(N492=0,"",IF('REFERENCIAS'!$Q$8&lt;&gt;1,2,IF(NOT(Y492=1),1,IF(OR(ABS('DATOS'!G492-ROUND('DATOS'!G492,'REFERENCIAS'!$E$8))&gt;0.00000001,ABS('DATOS'!H492-ROUND('DATOS'!H492,'REFERENCIAS'!$H$8))&gt;0.00000001,ABS('DATOS'!J492-ROUND('DATOS'!J492,'REFERENCIAS'!$K$8))&gt;0.00000001,IF(ISNUMBER('DATOS'!I492),ABS('DATOS'!I492-ROUND('DATOS'!I492,'REFERENCIAS'!$H$8))&gt;0.00000001,FALSE)),1,0)))),2)</f>
      </c>
      <c r="T492" s="29">
        <f>IFERROR(IF(N492=0,"",IF(NOT(AND(LEN(TRIM('DATOS'!F492&amp;""))&gt;0,TRIM('DATOS'!F492&amp;"")&lt;&gt;"Pendiente",TRIM('DATOS'!F492&amp;"")&lt;&gt;"Por confirmar",TRIM('DATOS'!F492&amp;"")&lt;&gt;"No consta",TRIM('DATOS'!F492&amp;"")&lt;&gt;"Desconocido",TRIM('DATOS'!F492&amp;"")&lt;&gt;"Sin confirmar",TRIM('DATOS'!F492&amp;"")&lt;&gt;"Por decidir",TRIM('DATOS'!F492&amp;"")&lt;&gt;"Por comprobar")),2,IF(COUNTIFS('REFERENCIAS'!$T$15:$T$34,"ID:"&amp;SUBSTITUTE(SUBSTITUTE(SUBSTITUTE(SUBSTITUTE(UPPER(TRIM('DATOS'!F492&amp;"")),"!","!E"),"*","!A"),"?","!B"),"~","!C"),'REFERENCIAS'!$H$15:$H$34,"&lt;&gt;")&gt;0,0,1))),2)</f>
      </c>
      <c r="U492" s="29" t="str">
        <f>'DATOS'!R492</f>
        <v>ID:</v>
      </c>
      <c r="V492" s="29" t="str">
        <f>'DATOS'!S492</f>
        <v>ID:</v>
      </c>
      <c r="W492" s="29" t="n">
        <f>IF(N492=0,0,COUNTIFS('REFERENCIAS'!$R$15:$R$64,U492))</f>
        <v>0</v>
      </c>
      <c r="X492" s="29" t="n">
        <f>IF(N492=0,0,COUNTIFS('DATOS'!$R$10:$R$509,U492,'DATOS'!$S$10:$S$509,V492))</f>
        <v>0</v>
      </c>
      <c r="Y492" s="29" t="n">
        <f>IF(AND(ISNUMBER('DATOS'!G492),ISNUMBER('DATOS'!H492),ISNUMBER('DATOS'!J492)),1,0)</f>
        <v>0</v>
      </c>
    </row>
    <row r="493" ht="64" customHeight="1">
      <c r="B493" s="26">
        <f>IF(N493=1,484,"")</f>
      </c>
      <c r="C493" s="26">
        <f>IF(AND(N493=1,LEN(TRIM('DATOS'!B493&amp;""))&gt;0),'DATOS'!B493,"")</f>
      </c>
      <c r="D493" s="26">
        <f>IF(AND(N493=1,LEN(TRIM('DATOS'!C493&amp;""))&gt;0),'DATOS'!C493,"")</f>
      </c>
      <c r="E493" s="26">
        <f>IF(NOT(ISNUMBER(P493)),"",IF(P493=2,"ROJO",IF(P493=1,"ÁMBAR","VERDE")))</f>
      </c>
      <c r="F493" s="26">
        <f>IF(NOT(ISNUMBER(Q493)),"",IF(Q493=2,"ROJO",IF(Q493=1,"ÁMBAR","VERDE")))</f>
      </c>
      <c r="G493" s="26">
        <f>IF(NOT(ISNUMBER(R493)),"",IF(R493=2,"ROJO",IF(R493=1,"ÁMBAR","VERDE")))</f>
      </c>
      <c r="H493" s="26">
        <f>IF(NOT(ISNUMBER(S493)),"",IF(S493=2,"ROJO",IF(S493=1,"ÁMBAR","VERDE")))</f>
      </c>
      <c r="I493" s="26">
        <f>IF(NOT(ISNUMBER(T493)),"",IF(T493=2,"ROJO",IF(T493=1,"ÁMBAR","VERDE")))</f>
      </c>
      <c r="J493" s="26">
        <f>IF(NOT(ISNUMBER(O493)),"",IF(O493=2,"ROJO",IF(O493=1,"ÁMBAR","VERDE")))</f>
      </c>
      <c r="K493" s="26">
        <f>IFERROR(IF(AND(N493=1,LEN(TRIM('DATOS'!N493&amp;""))&gt;0),'DATOS'!N493,""),"Hay una entrada con error. Corregimos el dato antes de cerrar la comprobación.")</f>
      </c>
      <c r="L493" s="26">
        <f>IFERROR(IF(N493=0,"",IF(O493&gt;0,"Completamos datos, claves o motivo. ","")&amp;IF(P493&gt;0,"Cotejamos precios e importe. ","")&amp;IF(Q493&gt;0,"Aclaramos el cero. ","")&amp;IF(R493&gt;0,"Comprobamos el texto. ","")&amp;IF(S493&gt;0,"Revisamos decimales visibles. ","")&amp;IF(T493&gt;0,"Confirmamos la unidad.","")),"Hay una entrada con error. Corregimos el dato antes de cerrar la comprobación.")</f>
      </c>
      <c r="N493" s="29" t="n">
        <f>IF(COUNTA('DATOS'!B493:O493)&gt;0,1,0)</f>
        <v>0</v>
      </c>
      <c r="O493" s="29">
        <f>IFERROR(IF(N493=0,"",IF(OR(NOT(AND(LEN(TRIM('DATOS'!B493&amp;""))&gt;0,TRIM('DATOS'!B493&amp;"")&lt;&gt;"Pendiente",TRIM('DATOS'!B493&amp;"")&lt;&gt;"Por confirmar",TRIM('DATOS'!B493&amp;"")&lt;&gt;"No consta",TRIM('DATOS'!B493&amp;"")&lt;&gt;"Desconocido",TRIM('DATOS'!B493&amp;"")&lt;&gt;"Sin confirmar",TRIM('DATOS'!B493&amp;"")&lt;&gt;"Por decidir",TRIM('DATOS'!B493&amp;"")&lt;&gt;"Por comprobar")),NOT(AND(LEN(TRIM('DATOS'!C493&amp;""))&gt;0,TRIM('DATOS'!C493&amp;"")&lt;&gt;"Pendiente",TRIM('DATOS'!C493&amp;"")&lt;&gt;"Por confirmar",TRIM('DATOS'!C493&amp;"")&lt;&gt;"No consta",TRIM('DATOS'!C493&amp;"")&lt;&gt;"Desconocido",TRIM('DATOS'!C493&amp;"")&lt;&gt;"Sin confirmar",TRIM('DATOS'!C493&amp;"")&lt;&gt;"Por decidir",TRIM('DATOS'!C493&amp;"")&lt;&gt;"Por comprobar")),NOT(AND(LEN(TRIM('DATOS'!D493&amp;""))&gt;0,TRIM('DATOS'!D493&amp;"")&lt;&gt;"Pendiente",TRIM('DATOS'!D493&amp;"")&lt;&gt;"Por confirmar",TRIM('DATOS'!D493&amp;"")&lt;&gt;"No consta",TRIM('DATOS'!D493&amp;"")&lt;&gt;"Desconocido",TRIM('DATOS'!D493&amp;"")&lt;&gt;"Sin confirmar",TRIM('DATOS'!D493&amp;"")&lt;&gt;"Por decidir",TRIM('DATOS'!D493&amp;"")&lt;&gt;"Por comprobar")),NOT(AND(LEN(TRIM('DATOS'!E493&amp;""))&gt;0,TRIM('DATOS'!E493&amp;"")&lt;&gt;"Pendiente",TRIM('DATOS'!E493&amp;"")&lt;&gt;"Por confirmar",TRIM('DATOS'!E493&amp;"")&lt;&gt;"No consta",TRIM('DATOS'!E493&amp;"")&lt;&gt;"Desconocido",TRIM('DATOS'!E493&amp;"")&lt;&gt;"Sin confirmar",TRIM('DATOS'!E493&amp;"")&lt;&gt;"Por decidir",TRIM('DATOS'!E493&amp;"")&lt;&gt;"Por comprobar")),NOT(AND(LEN(TRIM('DATOS'!F493&amp;""))&gt;0,TRIM('DATOS'!F493&amp;"")&lt;&gt;"Pendiente",TRIM('DATOS'!F493&amp;"")&lt;&gt;"Por confirmar",TRIM('DATOS'!F493&amp;"")&lt;&gt;"No consta",TRIM('DATOS'!F493&amp;"")&lt;&gt;"Desconocido",TRIM('DATOS'!F493&amp;"")&lt;&gt;"Sin confirmar",TRIM('DATOS'!F493&amp;"")&lt;&gt;"Por decidir",TRIM('DATOS'!F493&amp;"")&lt;&gt;"Por comprobar")),NOT(AND(LEN(TRIM('DATOS'!N493&amp;""))&gt;0,TRIM('DATOS'!N493&amp;"")&lt;&gt;"Pendiente",TRIM('DATOS'!N493&amp;"")&lt;&gt;"Por confirmar",TRIM('DATOS'!N493&amp;"")&lt;&gt;"No consta",TRIM('DATOS'!N493&amp;"")&lt;&gt;"Desconocido",TRIM('DATOS'!N493&amp;"")&lt;&gt;"Sin confirmar",TRIM('DATOS'!N493&amp;"")&lt;&gt;"Por decidir",TRIM('DATOS'!N493&amp;"")&lt;&gt;"Por comprobar")),NOT(Y493=1),W493&lt;&gt;1,X493&gt;1,NOT(OR(LEN(TRIM('DATOS'!K493&amp;""))=0,'DATOS'!K493="Sin valorar",'DATOS'!K493="Sin coste documentado",'DATOS'!K493="Incluido en otra partida",'DATOS'!K493="Por confirmar")),NOT(OR(LEN(TRIM('DATOS'!M493&amp;""))=0,'DATOS'!M493="Sí",'DATOS'!M493="No",'DATOS'!M493="Por confirmar")),NOT(OR(LEN(TRIM('DATOS'!O493&amp;""))=0,'DATOS'!O493="Comparamos",'DATOS'!O493="No existe",'DATOS'!O493="Por confirmar"))),2,IF(AND(OR('DATOS'!G493&lt;0,'DATOS'!H493&lt;0,'DATOS'!J493&lt;0),NOT(AND(LEN(TRIM('DATOS'!L493&amp;""))&gt;0,TRIM('DATOS'!L493&amp;"")&lt;&gt;"Pendiente",TRIM('DATOS'!L493&amp;"")&lt;&gt;"Por confirmar",TRIM('DATOS'!L493&amp;"")&lt;&gt;"No consta",TRIM('DATOS'!L493&amp;"")&lt;&gt;"Desconocido",TRIM('DATOS'!L493&amp;"")&lt;&gt;"Sin confirmar",TRIM('DATOS'!L493&amp;"")&lt;&gt;"Por decidir",TRIM('DATOS'!L493&amp;"")&lt;&gt;"Por comprobar"))),1,0))),2)</f>
      </c>
      <c r="P493" s="29">
        <f>IFERROR(IF(N493=0,"",IF(NOT(Y493=1),1,IF('REFERENCIAS'!$Q$8&lt;&gt;1,2,IF(ABS('DATOS'!J493-ROUND('DATOS'!G493*'DATOS'!H493,'REFERENCIAS'!$K$8))&gt;0.00000001,2,IF('DATOS'!O493="No existe",IF(LEN(TRIM('DATOS'!I493&amp;""))=0,0,2),IF('DATOS'!O493="Comparamos",IF(LEN(TRIM('DATOS'!I493&amp;""))=0,1,IF(ISNUMBER('DATOS'!I493),IF(ABS('DATOS'!H493-'DATOS'!I493)&gt;0.00000001,2,0),2)),1)))))),2)</f>
      </c>
      <c r="Q493" s="29">
        <f>IFERROR(IF(N493=0,"",IF(NOT(Y493=1),1,IF('DATOS'!K493="Sin valorar",2,IF('DATOS'!G493=0,1,IF(OR('DATOS'!H493=0,'DATOS'!J493=0),IF(AND(OR('DATOS'!K493="Sin coste documentado",'DATOS'!K493="Incluido en otra partida"),AND(LEN(TRIM('DATOS'!L493&amp;""))&gt;0,TRIM('DATOS'!L493&amp;"")&lt;&gt;"Pendiente",TRIM('DATOS'!L493&amp;"")&lt;&gt;"Por confirmar",TRIM('DATOS'!L493&amp;"")&lt;&gt;"No consta",TRIM('DATOS'!L493&amp;"")&lt;&gt;"Desconocido",TRIM('DATOS'!L493&amp;"")&lt;&gt;"Sin confirmar",TRIM('DATOS'!L493&amp;"")&lt;&gt;"Por decidir",TRIM('DATOS'!L493&amp;"")&lt;&gt;"Por comprobar")),0,1),0))))),2)</f>
      </c>
      <c r="R493" s="29">
        <f>IFERROR(IF(N493=0,"",IF(OR(NOT(AND(LEN(TRIM('DATOS'!D493&amp;""))&gt;0,TRIM('DATOS'!D493&amp;"")&lt;&gt;"Pendiente",TRIM('DATOS'!D493&amp;"")&lt;&gt;"Por confirmar",TRIM('DATOS'!D493&amp;"")&lt;&gt;"No consta",TRIM('DATOS'!D493&amp;"")&lt;&gt;"Desconocido",TRIM('DATOS'!D493&amp;"")&lt;&gt;"Sin confirmar",TRIM('DATOS'!D493&amp;"")&lt;&gt;"Por decidir",TRIM('DATOS'!D493&amp;"")&lt;&gt;"Por comprobar")),NOT(AND(LEN(TRIM('DATOS'!E493&amp;""))&gt;0,TRIM('DATOS'!E493&amp;"")&lt;&gt;"Pendiente",TRIM('DATOS'!E493&amp;"")&lt;&gt;"Por confirmar",TRIM('DATOS'!E493&amp;"")&lt;&gt;"No consta",TRIM('DATOS'!E493&amp;"")&lt;&gt;"Desconocido",TRIM('DATOS'!E493&amp;"")&lt;&gt;"Sin confirmar",TRIM('DATOS'!E493&amp;"")&lt;&gt;"Por decidir",TRIM('DATOS'!E493&amp;"")&lt;&gt;"Por comprobar"))),2,IF('DATOS'!M493="No",2,IF('DATOS'!M493="Sí",0,IF(OR('DATOS'!D493&lt;&gt;'DATOS'!E493,LEN('DATOS'!E493)&gt;300,RIGHT(TRIM('DATOS'!E493),3)="...",RIGHT(TRIM('DATOS'!E493),1)="…"),1,0))))),2)</f>
      </c>
      <c r="S493" s="29">
        <f>IFERROR(IF(N493=0,"",IF('REFERENCIAS'!$Q$8&lt;&gt;1,2,IF(NOT(Y493=1),1,IF(OR(ABS('DATOS'!G493-ROUND('DATOS'!G493,'REFERENCIAS'!$E$8))&gt;0.00000001,ABS('DATOS'!H493-ROUND('DATOS'!H493,'REFERENCIAS'!$H$8))&gt;0.00000001,ABS('DATOS'!J493-ROUND('DATOS'!J493,'REFERENCIAS'!$K$8))&gt;0.00000001,IF(ISNUMBER('DATOS'!I493),ABS('DATOS'!I493-ROUND('DATOS'!I493,'REFERENCIAS'!$H$8))&gt;0.00000001,FALSE)),1,0)))),2)</f>
      </c>
      <c r="T493" s="29">
        <f>IFERROR(IF(N493=0,"",IF(NOT(AND(LEN(TRIM('DATOS'!F493&amp;""))&gt;0,TRIM('DATOS'!F493&amp;"")&lt;&gt;"Pendiente",TRIM('DATOS'!F493&amp;"")&lt;&gt;"Por confirmar",TRIM('DATOS'!F493&amp;"")&lt;&gt;"No consta",TRIM('DATOS'!F493&amp;"")&lt;&gt;"Desconocido",TRIM('DATOS'!F493&amp;"")&lt;&gt;"Sin confirmar",TRIM('DATOS'!F493&amp;"")&lt;&gt;"Por decidir",TRIM('DATOS'!F493&amp;"")&lt;&gt;"Por comprobar")),2,IF(COUNTIFS('REFERENCIAS'!$T$15:$T$34,"ID:"&amp;SUBSTITUTE(SUBSTITUTE(SUBSTITUTE(SUBSTITUTE(UPPER(TRIM('DATOS'!F493&amp;"")),"!","!E"),"*","!A"),"?","!B"),"~","!C"),'REFERENCIAS'!$H$15:$H$34,"&lt;&gt;")&gt;0,0,1))),2)</f>
      </c>
      <c r="U493" s="29" t="str">
        <f>'DATOS'!R493</f>
        <v>ID:</v>
      </c>
      <c r="V493" s="29" t="str">
        <f>'DATOS'!S493</f>
        <v>ID:</v>
      </c>
      <c r="W493" s="29" t="n">
        <f>IF(N493=0,0,COUNTIFS('REFERENCIAS'!$R$15:$R$64,U493))</f>
        <v>0</v>
      </c>
      <c r="X493" s="29" t="n">
        <f>IF(N493=0,0,COUNTIFS('DATOS'!$R$10:$R$509,U493,'DATOS'!$S$10:$S$509,V493))</f>
        <v>0</v>
      </c>
      <c r="Y493" s="29" t="n">
        <f>IF(AND(ISNUMBER('DATOS'!G493),ISNUMBER('DATOS'!H493),ISNUMBER('DATOS'!J493)),1,0)</f>
        <v>0</v>
      </c>
    </row>
    <row r="494" ht="64" customHeight="1">
      <c r="B494" s="26">
        <f>IF(N494=1,485,"")</f>
      </c>
      <c r="C494" s="26">
        <f>IF(AND(N494=1,LEN(TRIM('DATOS'!B494&amp;""))&gt;0),'DATOS'!B494,"")</f>
      </c>
      <c r="D494" s="26">
        <f>IF(AND(N494=1,LEN(TRIM('DATOS'!C494&amp;""))&gt;0),'DATOS'!C494,"")</f>
      </c>
      <c r="E494" s="26">
        <f>IF(NOT(ISNUMBER(P494)),"",IF(P494=2,"ROJO",IF(P494=1,"ÁMBAR","VERDE")))</f>
      </c>
      <c r="F494" s="26">
        <f>IF(NOT(ISNUMBER(Q494)),"",IF(Q494=2,"ROJO",IF(Q494=1,"ÁMBAR","VERDE")))</f>
      </c>
      <c r="G494" s="26">
        <f>IF(NOT(ISNUMBER(R494)),"",IF(R494=2,"ROJO",IF(R494=1,"ÁMBAR","VERDE")))</f>
      </c>
      <c r="H494" s="26">
        <f>IF(NOT(ISNUMBER(S494)),"",IF(S494=2,"ROJO",IF(S494=1,"ÁMBAR","VERDE")))</f>
      </c>
      <c r="I494" s="26">
        <f>IF(NOT(ISNUMBER(T494)),"",IF(T494=2,"ROJO",IF(T494=1,"ÁMBAR","VERDE")))</f>
      </c>
      <c r="J494" s="26">
        <f>IF(NOT(ISNUMBER(O494)),"",IF(O494=2,"ROJO",IF(O494=1,"ÁMBAR","VERDE")))</f>
      </c>
      <c r="K494" s="26">
        <f>IFERROR(IF(AND(N494=1,LEN(TRIM('DATOS'!N494&amp;""))&gt;0),'DATOS'!N494,""),"Hay una entrada con error. Corregimos el dato antes de cerrar la comprobación.")</f>
      </c>
      <c r="L494" s="26">
        <f>IFERROR(IF(N494=0,"",IF(O494&gt;0,"Completamos datos, claves o motivo. ","")&amp;IF(P494&gt;0,"Cotejamos precios e importe. ","")&amp;IF(Q494&gt;0,"Aclaramos el cero. ","")&amp;IF(R494&gt;0,"Comprobamos el texto. ","")&amp;IF(S494&gt;0,"Revisamos decimales visibles. ","")&amp;IF(T494&gt;0,"Confirmamos la unidad.","")),"Hay una entrada con error. Corregimos el dato antes de cerrar la comprobación.")</f>
      </c>
      <c r="N494" s="29" t="n">
        <f>IF(COUNTA('DATOS'!B494:O494)&gt;0,1,0)</f>
        <v>0</v>
      </c>
      <c r="O494" s="29">
        <f>IFERROR(IF(N494=0,"",IF(OR(NOT(AND(LEN(TRIM('DATOS'!B494&amp;""))&gt;0,TRIM('DATOS'!B494&amp;"")&lt;&gt;"Pendiente",TRIM('DATOS'!B494&amp;"")&lt;&gt;"Por confirmar",TRIM('DATOS'!B494&amp;"")&lt;&gt;"No consta",TRIM('DATOS'!B494&amp;"")&lt;&gt;"Desconocido",TRIM('DATOS'!B494&amp;"")&lt;&gt;"Sin confirmar",TRIM('DATOS'!B494&amp;"")&lt;&gt;"Por decidir",TRIM('DATOS'!B494&amp;"")&lt;&gt;"Por comprobar")),NOT(AND(LEN(TRIM('DATOS'!C494&amp;""))&gt;0,TRIM('DATOS'!C494&amp;"")&lt;&gt;"Pendiente",TRIM('DATOS'!C494&amp;"")&lt;&gt;"Por confirmar",TRIM('DATOS'!C494&amp;"")&lt;&gt;"No consta",TRIM('DATOS'!C494&amp;"")&lt;&gt;"Desconocido",TRIM('DATOS'!C494&amp;"")&lt;&gt;"Sin confirmar",TRIM('DATOS'!C494&amp;"")&lt;&gt;"Por decidir",TRIM('DATOS'!C494&amp;"")&lt;&gt;"Por comprobar")),NOT(AND(LEN(TRIM('DATOS'!D494&amp;""))&gt;0,TRIM('DATOS'!D494&amp;"")&lt;&gt;"Pendiente",TRIM('DATOS'!D494&amp;"")&lt;&gt;"Por confirmar",TRIM('DATOS'!D494&amp;"")&lt;&gt;"No consta",TRIM('DATOS'!D494&amp;"")&lt;&gt;"Desconocido",TRIM('DATOS'!D494&amp;"")&lt;&gt;"Sin confirmar",TRIM('DATOS'!D494&amp;"")&lt;&gt;"Por decidir",TRIM('DATOS'!D494&amp;"")&lt;&gt;"Por comprobar")),NOT(AND(LEN(TRIM('DATOS'!E494&amp;""))&gt;0,TRIM('DATOS'!E494&amp;"")&lt;&gt;"Pendiente",TRIM('DATOS'!E494&amp;"")&lt;&gt;"Por confirmar",TRIM('DATOS'!E494&amp;"")&lt;&gt;"No consta",TRIM('DATOS'!E494&amp;"")&lt;&gt;"Desconocido",TRIM('DATOS'!E494&amp;"")&lt;&gt;"Sin confirmar",TRIM('DATOS'!E494&amp;"")&lt;&gt;"Por decidir",TRIM('DATOS'!E494&amp;"")&lt;&gt;"Por comprobar")),NOT(AND(LEN(TRIM('DATOS'!F494&amp;""))&gt;0,TRIM('DATOS'!F494&amp;"")&lt;&gt;"Pendiente",TRIM('DATOS'!F494&amp;"")&lt;&gt;"Por confirmar",TRIM('DATOS'!F494&amp;"")&lt;&gt;"No consta",TRIM('DATOS'!F494&amp;"")&lt;&gt;"Desconocido",TRIM('DATOS'!F494&amp;"")&lt;&gt;"Sin confirmar",TRIM('DATOS'!F494&amp;"")&lt;&gt;"Por decidir",TRIM('DATOS'!F494&amp;"")&lt;&gt;"Por comprobar")),NOT(AND(LEN(TRIM('DATOS'!N494&amp;""))&gt;0,TRIM('DATOS'!N494&amp;"")&lt;&gt;"Pendiente",TRIM('DATOS'!N494&amp;"")&lt;&gt;"Por confirmar",TRIM('DATOS'!N494&amp;"")&lt;&gt;"No consta",TRIM('DATOS'!N494&amp;"")&lt;&gt;"Desconocido",TRIM('DATOS'!N494&amp;"")&lt;&gt;"Sin confirmar",TRIM('DATOS'!N494&amp;"")&lt;&gt;"Por decidir",TRIM('DATOS'!N494&amp;"")&lt;&gt;"Por comprobar")),NOT(Y494=1),W494&lt;&gt;1,X494&gt;1,NOT(OR(LEN(TRIM('DATOS'!K494&amp;""))=0,'DATOS'!K494="Sin valorar",'DATOS'!K494="Sin coste documentado",'DATOS'!K494="Incluido en otra partida",'DATOS'!K494="Por confirmar")),NOT(OR(LEN(TRIM('DATOS'!M494&amp;""))=0,'DATOS'!M494="Sí",'DATOS'!M494="No",'DATOS'!M494="Por confirmar")),NOT(OR(LEN(TRIM('DATOS'!O494&amp;""))=0,'DATOS'!O494="Comparamos",'DATOS'!O494="No existe",'DATOS'!O494="Por confirmar"))),2,IF(AND(OR('DATOS'!G494&lt;0,'DATOS'!H494&lt;0,'DATOS'!J494&lt;0),NOT(AND(LEN(TRIM('DATOS'!L494&amp;""))&gt;0,TRIM('DATOS'!L494&amp;"")&lt;&gt;"Pendiente",TRIM('DATOS'!L494&amp;"")&lt;&gt;"Por confirmar",TRIM('DATOS'!L494&amp;"")&lt;&gt;"No consta",TRIM('DATOS'!L494&amp;"")&lt;&gt;"Desconocido",TRIM('DATOS'!L494&amp;"")&lt;&gt;"Sin confirmar",TRIM('DATOS'!L494&amp;"")&lt;&gt;"Por decidir",TRIM('DATOS'!L494&amp;"")&lt;&gt;"Por comprobar"))),1,0))),2)</f>
      </c>
      <c r="P494" s="29">
        <f>IFERROR(IF(N494=0,"",IF(NOT(Y494=1),1,IF('REFERENCIAS'!$Q$8&lt;&gt;1,2,IF(ABS('DATOS'!J494-ROUND('DATOS'!G494*'DATOS'!H494,'REFERENCIAS'!$K$8))&gt;0.00000001,2,IF('DATOS'!O494="No existe",IF(LEN(TRIM('DATOS'!I494&amp;""))=0,0,2),IF('DATOS'!O494="Comparamos",IF(LEN(TRIM('DATOS'!I494&amp;""))=0,1,IF(ISNUMBER('DATOS'!I494),IF(ABS('DATOS'!H494-'DATOS'!I494)&gt;0.00000001,2,0),2)),1)))))),2)</f>
      </c>
      <c r="Q494" s="29">
        <f>IFERROR(IF(N494=0,"",IF(NOT(Y494=1),1,IF('DATOS'!K494="Sin valorar",2,IF('DATOS'!G494=0,1,IF(OR('DATOS'!H494=0,'DATOS'!J494=0),IF(AND(OR('DATOS'!K494="Sin coste documentado",'DATOS'!K494="Incluido en otra partida"),AND(LEN(TRIM('DATOS'!L494&amp;""))&gt;0,TRIM('DATOS'!L494&amp;"")&lt;&gt;"Pendiente",TRIM('DATOS'!L494&amp;"")&lt;&gt;"Por confirmar",TRIM('DATOS'!L494&amp;"")&lt;&gt;"No consta",TRIM('DATOS'!L494&amp;"")&lt;&gt;"Desconocido",TRIM('DATOS'!L494&amp;"")&lt;&gt;"Sin confirmar",TRIM('DATOS'!L494&amp;"")&lt;&gt;"Por decidir",TRIM('DATOS'!L494&amp;"")&lt;&gt;"Por comprobar")),0,1),0))))),2)</f>
      </c>
      <c r="R494" s="29">
        <f>IFERROR(IF(N494=0,"",IF(OR(NOT(AND(LEN(TRIM('DATOS'!D494&amp;""))&gt;0,TRIM('DATOS'!D494&amp;"")&lt;&gt;"Pendiente",TRIM('DATOS'!D494&amp;"")&lt;&gt;"Por confirmar",TRIM('DATOS'!D494&amp;"")&lt;&gt;"No consta",TRIM('DATOS'!D494&amp;"")&lt;&gt;"Desconocido",TRIM('DATOS'!D494&amp;"")&lt;&gt;"Sin confirmar",TRIM('DATOS'!D494&amp;"")&lt;&gt;"Por decidir",TRIM('DATOS'!D494&amp;"")&lt;&gt;"Por comprobar")),NOT(AND(LEN(TRIM('DATOS'!E494&amp;""))&gt;0,TRIM('DATOS'!E494&amp;"")&lt;&gt;"Pendiente",TRIM('DATOS'!E494&amp;"")&lt;&gt;"Por confirmar",TRIM('DATOS'!E494&amp;"")&lt;&gt;"No consta",TRIM('DATOS'!E494&amp;"")&lt;&gt;"Desconocido",TRIM('DATOS'!E494&amp;"")&lt;&gt;"Sin confirmar",TRIM('DATOS'!E494&amp;"")&lt;&gt;"Por decidir",TRIM('DATOS'!E494&amp;"")&lt;&gt;"Por comprobar"))),2,IF('DATOS'!M494="No",2,IF('DATOS'!M494="Sí",0,IF(OR('DATOS'!D494&lt;&gt;'DATOS'!E494,LEN('DATOS'!E494)&gt;300,RIGHT(TRIM('DATOS'!E494),3)="...",RIGHT(TRIM('DATOS'!E494),1)="…"),1,0))))),2)</f>
      </c>
      <c r="S494" s="29">
        <f>IFERROR(IF(N494=0,"",IF('REFERENCIAS'!$Q$8&lt;&gt;1,2,IF(NOT(Y494=1),1,IF(OR(ABS('DATOS'!G494-ROUND('DATOS'!G494,'REFERENCIAS'!$E$8))&gt;0.00000001,ABS('DATOS'!H494-ROUND('DATOS'!H494,'REFERENCIAS'!$H$8))&gt;0.00000001,ABS('DATOS'!J494-ROUND('DATOS'!J494,'REFERENCIAS'!$K$8))&gt;0.00000001,IF(ISNUMBER('DATOS'!I494),ABS('DATOS'!I494-ROUND('DATOS'!I494,'REFERENCIAS'!$H$8))&gt;0.00000001,FALSE)),1,0)))),2)</f>
      </c>
      <c r="T494" s="29">
        <f>IFERROR(IF(N494=0,"",IF(NOT(AND(LEN(TRIM('DATOS'!F494&amp;""))&gt;0,TRIM('DATOS'!F494&amp;"")&lt;&gt;"Pendiente",TRIM('DATOS'!F494&amp;"")&lt;&gt;"Por confirmar",TRIM('DATOS'!F494&amp;"")&lt;&gt;"No consta",TRIM('DATOS'!F494&amp;"")&lt;&gt;"Desconocido",TRIM('DATOS'!F494&amp;"")&lt;&gt;"Sin confirmar",TRIM('DATOS'!F494&amp;"")&lt;&gt;"Por decidir",TRIM('DATOS'!F494&amp;"")&lt;&gt;"Por comprobar")),2,IF(COUNTIFS('REFERENCIAS'!$T$15:$T$34,"ID:"&amp;SUBSTITUTE(SUBSTITUTE(SUBSTITUTE(SUBSTITUTE(UPPER(TRIM('DATOS'!F494&amp;"")),"!","!E"),"*","!A"),"?","!B"),"~","!C"),'REFERENCIAS'!$H$15:$H$34,"&lt;&gt;")&gt;0,0,1))),2)</f>
      </c>
      <c r="U494" s="29" t="str">
        <f>'DATOS'!R494</f>
        <v>ID:</v>
      </c>
      <c r="V494" s="29" t="str">
        <f>'DATOS'!S494</f>
        <v>ID:</v>
      </c>
      <c r="W494" s="29" t="n">
        <f>IF(N494=0,0,COUNTIFS('REFERENCIAS'!$R$15:$R$64,U494))</f>
        <v>0</v>
      </c>
      <c r="X494" s="29" t="n">
        <f>IF(N494=0,0,COUNTIFS('DATOS'!$R$10:$R$509,U494,'DATOS'!$S$10:$S$509,V494))</f>
        <v>0</v>
      </c>
      <c r="Y494" s="29" t="n">
        <f>IF(AND(ISNUMBER('DATOS'!G494),ISNUMBER('DATOS'!H494),ISNUMBER('DATOS'!J494)),1,0)</f>
        <v>0</v>
      </c>
    </row>
    <row r="495" ht="64" customHeight="1">
      <c r="B495" s="26">
        <f>IF(N495=1,486,"")</f>
      </c>
      <c r="C495" s="26">
        <f>IF(AND(N495=1,LEN(TRIM('DATOS'!B495&amp;""))&gt;0),'DATOS'!B495,"")</f>
      </c>
      <c r="D495" s="26">
        <f>IF(AND(N495=1,LEN(TRIM('DATOS'!C495&amp;""))&gt;0),'DATOS'!C495,"")</f>
      </c>
      <c r="E495" s="26">
        <f>IF(NOT(ISNUMBER(P495)),"",IF(P495=2,"ROJO",IF(P495=1,"ÁMBAR","VERDE")))</f>
      </c>
      <c r="F495" s="26">
        <f>IF(NOT(ISNUMBER(Q495)),"",IF(Q495=2,"ROJO",IF(Q495=1,"ÁMBAR","VERDE")))</f>
      </c>
      <c r="G495" s="26">
        <f>IF(NOT(ISNUMBER(R495)),"",IF(R495=2,"ROJO",IF(R495=1,"ÁMBAR","VERDE")))</f>
      </c>
      <c r="H495" s="26">
        <f>IF(NOT(ISNUMBER(S495)),"",IF(S495=2,"ROJO",IF(S495=1,"ÁMBAR","VERDE")))</f>
      </c>
      <c r="I495" s="26">
        <f>IF(NOT(ISNUMBER(T495)),"",IF(T495=2,"ROJO",IF(T495=1,"ÁMBAR","VERDE")))</f>
      </c>
      <c r="J495" s="26">
        <f>IF(NOT(ISNUMBER(O495)),"",IF(O495=2,"ROJO",IF(O495=1,"ÁMBAR","VERDE")))</f>
      </c>
      <c r="K495" s="26">
        <f>IFERROR(IF(AND(N495=1,LEN(TRIM('DATOS'!N495&amp;""))&gt;0),'DATOS'!N495,""),"Hay una entrada con error. Corregimos el dato antes de cerrar la comprobación.")</f>
      </c>
      <c r="L495" s="26">
        <f>IFERROR(IF(N495=0,"",IF(O495&gt;0,"Completamos datos, claves o motivo. ","")&amp;IF(P495&gt;0,"Cotejamos precios e importe. ","")&amp;IF(Q495&gt;0,"Aclaramos el cero. ","")&amp;IF(R495&gt;0,"Comprobamos el texto. ","")&amp;IF(S495&gt;0,"Revisamos decimales visibles. ","")&amp;IF(T495&gt;0,"Confirmamos la unidad.","")),"Hay una entrada con error. Corregimos el dato antes de cerrar la comprobación.")</f>
      </c>
      <c r="N495" s="29" t="n">
        <f>IF(COUNTA('DATOS'!B495:O495)&gt;0,1,0)</f>
        <v>0</v>
      </c>
      <c r="O495" s="29">
        <f>IFERROR(IF(N495=0,"",IF(OR(NOT(AND(LEN(TRIM('DATOS'!B495&amp;""))&gt;0,TRIM('DATOS'!B495&amp;"")&lt;&gt;"Pendiente",TRIM('DATOS'!B495&amp;"")&lt;&gt;"Por confirmar",TRIM('DATOS'!B495&amp;"")&lt;&gt;"No consta",TRIM('DATOS'!B495&amp;"")&lt;&gt;"Desconocido",TRIM('DATOS'!B495&amp;"")&lt;&gt;"Sin confirmar",TRIM('DATOS'!B495&amp;"")&lt;&gt;"Por decidir",TRIM('DATOS'!B495&amp;"")&lt;&gt;"Por comprobar")),NOT(AND(LEN(TRIM('DATOS'!C495&amp;""))&gt;0,TRIM('DATOS'!C495&amp;"")&lt;&gt;"Pendiente",TRIM('DATOS'!C495&amp;"")&lt;&gt;"Por confirmar",TRIM('DATOS'!C495&amp;"")&lt;&gt;"No consta",TRIM('DATOS'!C495&amp;"")&lt;&gt;"Desconocido",TRIM('DATOS'!C495&amp;"")&lt;&gt;"Sin confirmar",TRIM('DATOS'!C495&amp;"")&lt;&gt;"Por decidir",TRIM('DATOS'!C495&amp;"")&lt;&gt;"Por comprobar")),NOT(AND(LEN(TRIM('DATOS'!D495&amp;""))&gt;0,TRIM('DATOS'!D495&amp;"")&lt;&gt;"Pendiente",TRIM('DATOS'!D495&amp;"")&lt;&gt;"Por confirmar",TRIM('DATOS'!D495&amp;"")&lt;&gt;"No consta",TRIM('DATOS'!D495&amp;"")&lt;&gt;"Desconocido",TRIM('DATOS'!D495&amp;"")&lt;&gt;"Sin confirmar",TRIM('DATOS'!D495&amp;"")&lt;&gt;"Por decidir",TRIM('DATOS'!D495&amp;"")&lt;&gt;"Por comprobar")),NOT(AND(LEN(TRIM('DATOS'!E495&amp;""))&gt;0,TRIM('DATOS'!E495&amp;"")&lt;&gt;"Pendiente",TRIM('DATOS'!E495&amp;"")&lt;&gt;"Por confirmar",TRIM('DATOS'!E495&amp;"")&lt;&gt;"No consta",TRIM('DATOS'!E495&amp;"")&lt;&gt;"Desconocido",TRIM('DATOS'!E495&amp;"")&lt;&gt;"Sin confirmar",TRIM('DATOS'!E495&amp;"")&lt;&gt;"Por decidir",TRIM('DATOS'!E495&amp;"")&lt;&gt;"Por comprobar")),NOT(AND(LEN(TRIM('DATOS'!F495&amp;""))&gt;0,TRIM('DATOS'!F495&amp;"")&lt;&gt;"Pendiente",TRIM('DATOS'!F495&amp;"")&lt;&gt;"Por confirmar",TRIM('DATOS'!F495&amp;"")&lt;&gt;"No consta",TRIM('DATOS'!F495&amp;"")&lt;&gt;"Desconocido",TRIM('DATOS'!F495&amp;"")&lt;&gt;"Sin confirmar",TRIM('DATOS'!F495&amp;"")&lt;&gt;"Por decidir",TRIM('DATOS'!F495&amp;"")&lt;&gt;"Por comprobar")),NOT(AND(LEN(TRIM('DATOS'!N495&amp;""))&gt;0,TRIM('DATOS'!N495&amp;"")&lt;&gt;"Pendiente",TRIM('DATOS'!N495&amp;"")&lt;&gt;"Por confirmar",TRIM('DATOS'!N495&amp;"")&lt;&gt;"No consta",TRIM('DATOS'!N495&amp;"")&lt;&gt;"Desconocido",TRIM('DATOS'!N495&amp;"")&lt;&gt;"Sin confirmar",TRIM('DATOS'!N495&amp;"")&lt;&gt;"Por decidir",TRIM('DATOS'!N495&amp;"")&lt;&gt;"Por comprobar")),NOT(Y495=1),W495&lt;&gt;1,X495&gt;1,NOT(OR(LEN(TRIM('DATOS'!K495&amp;""))=0,'DATOS'!K495="Sin valorar",'DATOS'!K495="Sin coste documentado",'DATOS'!K495="Incluido en otra partida",'DATOS'!K495="Por confirmar")),NOT(OR(LEN(TRIM('DATOS'!M495&amp;""))=0,'DATOS'!M495="Sí",'DATOS'!M495="No",'DATOS'!M495="Por confirmar")),NOT(OR(LEN(TRIM('DATOS'!O495&amp;""))=0,'DATOS'!O495="Comparamos",'DATOS'!O495="No existe",'DATOS'!O495="Por confirmar"))),2,IF(AND(OR('DATOS'!G495&lt;0,'DATOS'!H495&lt;0,'DATOS'!J495&lt;0),NOT(AND(LEN(TRIM('DATOS'!L495&amp;""))&gt;0,TRIM('DATOS'!L495&amp;"")&lt;&gt;"Pendiente",TRIM('DATOS'!L495&amp;"")&lt;&gt;"Por confirmar",TRIM('DATOS'!L495&amp;"")&lt;&gt;"No consta",TRIM('DATOS'!L495&amp;"")&lt;&gt;"Desconocido",TRIM('DATOS'!L495&amp;"")&lt;&gt;"Sin confirmar",TRIM('DATOS'!L495&amp;"")&lt;&gt;"Por decidir",TRIM('DATOS'!L495&amp;"")&lt;&gt;"Por comprobar"))),1,0))),2)</f>
      </c>
      <c r="P495" s="29">
        <f>IFERROR(IF(N495=0,"",IF(NOT(Y495=1),1,IF('REFERENCIAS'!$Q$8&lt;&gt;1,2,IF(ABS('DATOS'!J495-ROUND('DATOS'!G495*'DATOS'!H495,'REFERENCIAS'!$K$8))&gt;0.00000001,2,IF('DATOS'!O495="No existe",IF(LEN(TRIM('DATOS'!I495&amp;""))=0,0,2),IF('DATOS'!O495="Comparamos",IF(LEN(TRIM('DATOS'!I495&amp;""))=0,1,IF(ISNUMBER('DATOS'!I495),IF(ABS('DATOS'!H495-'DATOS'!I495)&gt;0.00000001,2,0),2)),1)))))),2)</f>
      </c>
      <c r="Q495" s="29">
        <f>IFERROR(IF(N495=0,"",IF(NOT(Y495=1),1,IF('DATOS'!K495="Sin valorar",2,IF('DATOS'!G495=0,1,IF(OR('DATOS'!H495=0,'DATOS'!J495=0),IF(AND(OR('DATOS'!K495="Sin coste documentado",'DATOS'!K495="Incluido en otra partida"),AND(LEN(TRIM('DATOS'!L495&amp;""))&gt;0,TRIM('DATOS'!L495&amp;"")&lt;&gt;"Pendiente",TRIM('DATOS'!L495&amp;"")&lt;&gt;"Por confirmar",TRIM('DATOS'!L495&amp;"")&lt;&gt;"No consta",TRIM('DATOS'!L495&amp;"")&lt;&gt;"Desconocido",TRIM('DATOS'!L495&amp;"")&lt;&gt;"Sin confirmar",TRIM('DATOS'!L495&amp;"")&lt;&gt;"Por decidir",TRIM('DATOS'!L495&amp;"")&lt;&gt;"Por comprobar")),0,1),0))))),2)</f>
      </c>
      <c r="R495" s="29">
        <f>IFERROR(IF(N495=0,"",IF(OR(NOT(AND(LEN(TRIM('DATOS'!D495&amp;""))&gt;0,TRIM('DATOS'!D495&amp;"")&lt;&gt;"Pendiente",TRIM('DATOS'!D495&amp;"")&lt;&gt;"Por confirmar",TRIM('DATOS'!D495&amp;"")&lt;&gt;"No consta",TRIM('DATOS'!D495&amp;"")&lt;&gt;"Desconocido",TRIM('DATOS'!D495&amp;"")&lt;&gt;"Sin confirmar",TRIM('DATOS'!D495&amp;"")&lt;&gt;"Por decidir",TRIM('DATOS'!D495&amp;"")&lt;&gt;"Por comprobar")),NOT(AND(LEN(TRIM('DATOS'!E495&amp;""))&gt;0,TRIM('DATOS'!E495&amp;"")&lt;&gt;"Pendiente",TRIM('DATOS'!E495&amp;"")&lt;&gt;"Por confirmar",TRIM('DATOS'!E495&amp;"")&lt;&gt;"No consta",TRIM('DATOS'!E495&amp;"")&lt;&gt;"Desconocido",TRIM('DATOS'!E495&amp;"")&lt;&gt;"Sin confirmar",TRIM('DATOS'!E495&amp;"")&lt;&gt;"Por decidir",TRIM('DATOS'!E495&amp;"")&lt;&gt;"Por comprobar"))),2,IF('DATOS'!M495="No",2,IF('DATOS'!M495="Sí",0,IF(OR('DATOS'!D495&lt;&gt;'DATOS'!E495,LEN('DATOS'!E495)&gt;300,RIGHT(TRIM('DATOS'!E495),3)="...",RIGHT(TRIM('DATOS'!E495),1)="…"),1,0))))),2)</f>
      </c>
      <c r="S495" s="29">
        <f>IFERROR(IF(N495=0,"",IF('REFERENCIAS'!$Q$8&lt;&gt;1,2,IF(NOT(Y495=1),1,IF(OR(ABS('DATOS'!G495-ROUND('DATOS'!G495,'REFERENCIAS'!$E$8))&gt;0.00000001,ABS('DATOS'!H495-ROUND('DATOS'!H495,'REFERENCIAS'!$H$8))&gt;0.00000001,ABS('DATOS'!J495-ROUND('DATOS'!J495,'REFERENCIAS'!$K$8))&gt;0.00000001,IF(ISNUMBER('DATOS'!I495),ABS('DATOS'!I495-ROUND('DATOS'!I495,'REFERENCIAS'!$H$8))&gt;0.00000001,FALSE)),1,0)))),2)</f>
      </c>
      <c r="T495" s="29">
        <f>IFERROR(IF(N495=0,"",IF(NOT(AND(LEN(TRIM('DATOS'!F495&amp;""))&gt;0,TRIM('DATOS'!F495&amp;"")&lt;&gt;"Pendiente",TRIM('DATOS'!F495&amp;"")&lt;&gt;"Por confirmar",TRIM('DATOS'!F495&amp;"")&lt;&gt;"No consta",TRIM('DATOS'!F495&amp;"")&lt;&gt;"Desconocido",TRIM('DATOS'!F495&amp;"")&lt;&gt;"Sin confirmar",TRIM('DATOS'!F495&amp;"")&lt;&gt;"Por decidir",TRIM('DATOS'!F495&amp;"")&lt;&gt;"Por comprobar")),2,IF(COUNTIFS('REFERENCIAS'!$T$15:$T$34,"ID:"&amp;SUBSTITUTE(SUBSTITUTE(SUBSTITUTE(SUBSTITUTE(UPPER(TRIM('DATOS'!F495&amp;"")),"!","!E"),"*","!A"),"?","!B"),"~","!C"),'REFERENCIAS'!$H$15:$H$34,"&lt;&gt;")&gt;0,0,1))),2)</f>
      </c>
      <c r="U495" s="29" t="str">
        <f>'DATOS'!R495</f>
        <v>ID:</v>
      </c>
      <c r="V495" s="29" t="str">
        <f>'DATOS'!S495</f>
        <v>ID:</v>
      </c>
      <c r="W495" s="29" t="n">
        <f>IF(N495=0,0,COUNTIFS('REFERENCIAS'!$R$15:$R$64,U495))</f>
        <v>0</v>
      </c>
      <c r="X495" s="29" t="n">
        <f>IF(N495=0,0,COUNTIFS('DATOS'!$R$10:$R$509,U495,'DATOS'!$S$10:$S$509,V495))</f>
        <v>0</v>
      </c>
      <c r="Y495" s="29" t="n">
        <f>IF(AND(ISNUMBER('DATOS'!G495),ISNUMBER('DATOS'!H495),ISNUMBER('DATOS'!J495)),1,0)</f>
        <v>0</v>
      </c>
    </row>
    <row r="496" ht="64" customHeight="1">
      <c r="B496" s="26">
        <f>IF(N496=1,487,"")</f>
      </c>
      <c r="C496" s="26">
        <f>IF(AND(N496=1,LEN(TRIM('DATOS'!B496&amp;""))&gt;0),'DATOS'!B496,"")</f>
      </c>
      <c r="D496" s="26">
        <f>IF(AND(N496=1,LEN(TRIM('DATOS'!C496&amp;""))&gt;0),'DATOS'!C496,"")</f>
      </c>
      <c r="E496" s="26">
        <f>IF(NOT(ISNUMBER(P496)),"",IF(P496=2,"ROJO",IF(P496=1,"ÁMBAR","VERDE")))</f>
      </c>
      <c r="F496" s="26">
        <f>IF(NOT(ISNUMBER(Q496)),"",IF(Q496=2,"ROJO",IF(Q496=1,"ÁMBAR","VERDE")))</f>
      </c>
      <c r="G496" s="26">
        <f>IF(NOT(ISNUMBER(R496)),"",IF(R496=2,"ROJO",IF(R496=1,"ÁMBAR","VERDE")))</f>
      </c>
      <c r="H496" s="26">
        <f>IF(NOT(ISNUMBER(S496)),"",IF(S496=2,"ROJO",IF(S496=1,"ÁMBAR","VERDE")))</f>
      </c>
      <c r="I496" s="26">
        <f>IF(NOT(ISNUMBER(T496)),"",IF(T496=2,"ROJO",IF(T496=1,"ÁMBAR","VERDE")))</f>
      </c>
      <c r="J496" s="26">
        <f>IF(NOT(ISNUMBER(O496)),"",IF(O496=2,"ROJO",IF(O496=1,"ÁMBAR","VERDE")))</f>
      </c>
      <c r="K496" s="26">
        <f>IFERROR(IF(AND(N496=1,LEN(TRIM('DATOS'!N496&amp;""))&gt;0),'DATOS'!N496,""),"Hay una entrada con error. Corregimos el dato antes de cerrar la comprobación.")</f>
      </c>
      <c r="L496" s="26">
        <f>IFERROR(IF(N496=0,"",IF(O496&gt;0,"Completamos datos, claves o motivo. ","")&amp;IF(P496&gt;0,"Cotejamos precios e importe. ","")&amp;IF(Q496&gt;0,"Aclaramos el cero. ","")&amp;IF(R496&gt;0,"Comprobamos el texto. ","")&amp;IF(S496&gt;0,"Revisamos decimales visibles. ","")&amp;IF(T496&gt;0,"Confirmamos la unidad.","")),"Hay una entrada con error. Corregimos el dato antes de cerrar la comprobación.")</f>
      </c>
      <c r="N496" s="29" t="n">
        <f>IF(COUNTA('DATOS'!B496:O496)&gt;0,1,0)</f>
        <v>0</v>
      </c>
      <c r="O496" s="29">
        <f>IFERROR(IF(N496=0,"",IF(OR(NOT(AND(LEN(TRIM('DATOS'!B496&amp;""))&gt;0,TRIM('DATOS'!B496&amp;"")&lt;&gt;"Pendiente",TRIM('DATOS'!B496&amp;"")&lt;&gt;"Por confirmar",TRIM('DATOS'!B496&amp;"")&lt;&gt;"No consta",TRIM('DATOS'!B496&amp;"")&lt;&gt;"Desconocido",TRIM('DATOS'!B496&amp;"")&lt;&gt;"Sin confirmar",TRIM('DATOS'!B496&amp;"")&lt;&gt;"Por decidir",TRIM('DATOS'!B496&amp;"")&lt;&gt;"Por comprobar")),NOT(AND(LEN(TRIM('DATOS'!C496&amp;""))&gt;0,TRIM('DATOS'!C496&amp;"")&lt;&gt;"Pendiente",TRIM('DATOS'!C496&amp;"")&lt;&gt;"Por confirmar",TRIM('DATOS'!C496&amp;"")&lt;&gt;"No consta",TRIM('DATOS'!C496&amp;"")&lt;&gt;"Desconocido",TRIM('DATOS'!C496&amp;"")&lt;&gt;"Sin confirmar",TRIM('DATOS'!C496&amp;"")&lt;&gt;"Por decidir",TRIM('DATOS'!C496&amp;"")&lt;&gt;"Por comprobar")),NOT(AND(LEN(TRIM('DATOS'!D496&amp;""))&gt;0,TRIM('DATOS'!D496&amp;"")&lt;&gt;"Pendiente",TRIM('DATOS'!D496&amp;"")&lt;&gt;"Por confirmar",TRIM('DATOS'!D496&amp;"")&lt;&gt;"No consta",TRIM('DATOS'!D496&amp;"")&lt;&gt;"Desconocido",TRIM('DATOS'!D496&amp;"")&lt;&gt;"Sin confirmar",TRIM('DATOS'!D496&amp;"")&lt;&gt;"Por decidir",TRIM('DATOS'!D496&amp;"")&lt;&gt;"Por comprobar")),NOT(AND(LEN(TRIM('DATOS'!E496&amp;""))&gt;0,TRIM('DATOS'!E496&amp;"")&lt;&gt;"Pendiente",TRIM('DATOS'!E496&amp;"")&lt;&gt;"Por confirmar",TRIM('DATOS'!E496&amp;"")&lt;&gt;"No consta",TRIM('DATOS'!E496&amp;"")&lt;&gt;"Desconocido",TRIM('DATOS'!E496&amp;"")&lt;&gt;"Sin confirmar",TRIM('DATOS'!E496&amp;"")&lt;&gt;"Por decidir",TRIM('DATOS'!E496&amp;"")&lt;&gt;"Por comprobar")),NOT(AND(LEN(TRIM('DATOS'!F496&amp;""))&gt;0,TRIM('DATOS'!F496&amp;"")&lt;&gt;"Pendiente",TRIM('DATOS'!F496&amp;"")&lt;&gt;"Por confirmar",TRIM('DATOS'!F496&amp;"")&lt;&gt;"No consta",TRIM('DATOS'!F496&amp;"")&lt;&gt;"Desconocido",TRIM('DATOS'!F496&amp;"")&lt;&gt;"Sin confirmar",TRIM('DATOS'!F496&amp;"")&lt;&gt;"Por decidir",TRIM('DATOS'!F496&amp;"")&lt;&gt;"Por comprobar")),NOT(AND(LEN(TRIM('DATOS'!N496&amp;""))&gt;0,TRIM('DATOS'!N496&amp;"")&lt;&gt;"Pendiente",TRIM('DATOS'!N496&amp;"")&lt;&gt;"Por confirmar",TRIM('DATOS'!N496&amp;"")&lt;&gt;"No consta",TRIM('DATOS'!N496&amp;"")&lt;&gt;"Desconocido",TRIM('DATOS'!N496&amp;"")&lt;&gt;"Sin confirmar",TRIM('DATOS'!N496&amp;"")&lt;&gt;"Por decidir",TRIM('DATOS'!N496&amp;"")&lt;&gt;"Por comprobar")),NOT(Y496=1),W496&lt;&gt;1,X496&gt;1,NOT(OR(LEN(TRIM('DATOS'!K496&amp;""))=0,'DATOS'!K496="Sin valorar",'DATOS'!K496="Sin coste documentado",'DATOS'!K496="Incluido en otra partida",'DATOS'!K496="Por confirmar")),NOT(OR(LEN(TRIM('DATOS'!M496&amp;""))=0,'DATOS'!M496="Sí",'DATOS'!M496="No",'DATOS'!M496="Por confirmar")),NOT(OR(LEN(TRIM('DATOS'!O496&amp;""))=0,'DATOS'!O496="Comparamos",'DATOS'!O496="No existe",'DATOS'!O496="Por confirmar"))),2,IF(AND(OR('DATOS'!G496&lt;0,'DATOS'!H496&lt;0,'DATOS'!J496&lt;0),NOT(AND(LEN(TRIM('DATOS'!L496&amp;""))&gt;0,TRIM('DATOS'!L496&amp;"")&lt;&gt;"Pendiente",TRIM('DATOS'!L496&amp;"")&lt;&gt;"Por confirmar",TRIM('DATOS'!L496&amp;"")&lt;&gt;"No consta",TRIM('DATOS'!L496&amp;"")&lt;&gt;"Desconocido",TRIM('DATOS'!L496&amp;"")&lt;&gt;"Sin confirmar",TRIM('DATOS'!L496&amp;"")&lt;&gt;"Por decidir",TRIM('DATOS'!L496&amp;"")&lt;&gt;"Por comprobar"))),1,0))),2)</f>
      </c>
      <c r="P496" s="29">
        <f>IFERROR(IF(N496=0,"",IF(NOT(Y496=1),1,IF('REFERENCIAS'!$Q$8&lt;&gt;1,2,IF(ABS('DATOS'!J496-ROUND('DATOS'!G496*'DATOS'!H496,'REFERENCIAS'!$K$8))&gt;0.00000001,2,IF('DATOS'!O496="No existe",IF(LEN(TRIM('DATOS'!I496&amp;""))=0,0,2),IF('DATOS'!O496="Comparamos",IF(LEN(TRIM('DATOS'!I496&amp;""))=0,1,IF(ISNUMBER('DATOS'!I496),IF(ABS('DATOS'!H496-'DATOS'!I496)&gt;0.00000001,2,0),2)),1)))))),2)</f>
      </c>
      <c r="Q496" s="29">
        <f>IFERROR(IF(N496=0,"",IF(NOT(Y496=1),1,IF('DATOS'!K496="Sin valorar",2,IF('DATOS'!G496=0,1,IF(OR('DATOS'!H496=0,'DATOS'!J496=0),IF(AND(OR('DATOS'!K496="Sin coste documentado",'DATOS'!K496="Incluido en otra partida"),AND(LEN(TRIM('DATOS'!L496&amp;""))&gt;0,TRIM('DATOS'!L496&amp;"")&lt;&gt;"Pendiente",TRIM('DATOS'!L496&amp;"")&lt;&gt;"Por confirmar",TRIM('DATOS'!L496&amp;"")&lt;&gt;"No consta",TRIM('DATOS'!L496&amp;"")&lt;&gt;"Desconocido",TRIM('DATOS'!L496&amp;"")&lt;&gt;"Sin confirmar",TRIM('DATOS'!L496&amp;"")&lt;&gt;"Por decidir",TRIM('DATOS'!L496&amp;"")&lt;&gt;"Por comprobar")),0,1),0))))),2)</f>
      </c>
      <c r="R496" s="29">
        <f>IFERROR(IF(N496=0,"",IF(OR(NOT(AND(LEN(TRIM('DATOS'!D496&amp;""))&gt;0,TRIM('DATOS'!D496&amp;"")&lt;&gt;"Pendiente",TRIM('DATOS'!D496&amp;"")&lt;&gt;"Por confirmar",TRIM('DATOS'!D496&amp;"")&lt;&gt;"No consta",TRIM('DATOS'!D496&amp;"")&lt;&gt;"Desconocido",TRIM('DATOS'!D496&amp;"")&lt;&gt;"Sin confirmar",TRIM('DATOS'!D496&amp;"")&lt;&gt;"Por decidir",TRIM('DATOS'!D496&amp;"")&lt;&gt;"Por comprobar")),NOT(AND(LEN(TRIM('DATOS'!E496&amp;""))&gt;0,TRIM('DATOS'!E496&amp;"")&lt;&gt;"Pendiente",TRIM('DATOS'!E496&amp;"")&lt;&gt;"Por confirmar",TRIM('DATOS'!E496&amp;"")&lt;&gt;"No consta",TRIM('DATOS'!E496&amp;"")&lt;&gt;"Desconocido",TRIM('DATOS'!E496&amp;"")&lt;&gt;"Sin confirmar",TRIM('DATOS'!E496&amp;"")&lt;&gt;"Por decidir",TRIM('DATOS'!E496&amp;"")&lt;&gt;"Por comprobar"))),2,IF('DATOS'!M496="No",2,IF('DATOS'!M496="Sí",0,IF(OR('DATOS'!D496&lt;&gt;'DATOS'!E496,LEN('DATOS'!E496)&gt;300,RIGHT(TRIM('DATOS'!E496),3)="...",RIGHT(TRIM('DATOS'!E496),1)="…"),1,0))))),2)</f>
      </c>
      <c r="S496" s="29">
        <f>IFERROR(IF(N496=0,"",IF('REFERENCIAS'!$Q$8&lt;&gt;1,2,IF(NOT(Y496=1),1,IF(OR(ABS('DATOS'!G496-ROUND('DATOS'!G496,'REFERENCIAS'!$E$8))&gt;0.00000001,ABS('DATOS'!H496-ROUND('DATOS'!H496,'REFERENCIAS'!$H$8))&gt;0.00000001,ABS('DATOS'!J496-ROUND('DATOS'!J496,'REFERENCIAS'!$K$8))&gt;0.00000001,IF(ISNUMBER('DATOS'!I496),ABS('DATOS'!I496-ROUND('DATOS'!I496,'REFERENCIAS'!$H$8))&gt;0.00000001,FALSE)),1,0)))),2)</f>
      </c>
      <c r="T496" s="29">
        <f>IFERROR(IF(N496=0,"",IF(NOT(AND(LEN(TRIM('DATOS'!F496&amp;""))&gt;0,TRIM('DATOS'!F496&amp;"")&lt;&gt;"Pendiente",TRIM('DATOS'!F496&amp;"")&lt;&gt;"Por confirmar",TRIM('DATOS'!F496&amp;"")&lt;&gt;"No consta",TRIM('DATOS'!F496&amp;"")&lt;&gt;"Desconocido",TRIM('DATOS'!F496&amp;"")&lt;&gt;"Sin confirmar",TRIM('DATOS'!F496&amp;"")&lt;&gt;"Por decidir",TRIM('DATOS'!F496&amp;"")&lt;&gt;"Por comprobar")),2,IF(COUNTIFS('REFERENCIAS'!$T$15:$T$34,"ID:"&amp;SUBSTITUTE(SUBSTITUTE(SUBSTITUTE(SUBSTITUTE(UPPER(TRIM('DATOS'!F496&amp;"")),"!","!E"),"*","!A"),"?","!B"),"~","!C"),'REFERENCIAS'!$H$15:$H$34,"&lt;&gt;")&gt;0,0,1))),2)</f>
      </c>
      <c r="U496" s="29" t="str">
        <f>'DATOS'!R496</f>
        <v>ID:</v>
      </c>
      <c r="V496" s="29" t="str">
        <f>'DATOS'!S496</f>
        <v>ID:</v>
      </c>
      <c r="W496" s="29" t="n">
        <f>IF(N496=0,0,COUNTIFS('REFERENCIAS'!$R$15:$R$64,U496))</f>
        <v>0</v>
      </c>
      <c r="X496" s="29" t="n">
        <f>IF(N496=0,0,COUNTIFS('DATOS'!$R$10:$R$509,U496,'DATOS'!$S$10:$S$509,V496))</f>
        <v>0</v>
      </c>
      <c r="Y496" s="29" t="n">
        <f>IF(AND(ISNUMBER('DATOS'!G496),ISNUMBER('DATOS'!H496),ISNUMBER('DATOS'!J496)),1,0)</f>
        <v>0</v>
      </c>
    </row>
    <row r="497" ht="64" customHeight="1">
      <c r="B497" s="26">
        <f>IF(N497=1,488,"")</f>
      </c>
      <c r="C497" s="26">
        <f>IF(AND(N497=1,LEN(TRIM('DATOS'!B497&amp;""))&gt;0),'DATOS'!B497,"")</f>
      </c>
      <c r="D497" s="26">
        <f>IF(AND(N497=1,LEN(TRIM('DATOS'!C497&amp;""))&gt;0),'DATOS'!C497,"")</f>
      </c>
      <c r="E497" s="26">
        <f>IF(NOT(ISNUMBER(P497)),"",IF(P497=2,"ROJO",IF(P497=1,"ÁMBAR","VERDE")))</f>
      </c>
      <c r="F497" s="26">
        <f>IF(NOT(ISNUMBER(Q497)),"",IF(Q497=2,"ROJO",IF(Q497=1,"ÁMBAR","VERDE")))</f>
      </c>
      <c r="G497" s="26">
        <f>IF(NOT(ISNUMBER(R497)),"",IF(R497=2,"ROJO",IF(R497=1,"ÁMBAR","VERDE")))</f>
      </c>
      <c r="H497" s="26">
        <f>IF(NOT(ISNUMBER(S497)),"",IF(S497=2,"ROJO",IF(S497=1,"ÁMBAR","VERDE")))</f>
      </c>
      <c r="I497" s="26">
        <f>IF(NOT(ISNUMBER(T497)),"",IF(T497=2,"ROJO",IF(T497=1,"ÁMBAR","VERDE")))</f>
      </c>
      <c r="J497" s="26">
        <f>IF(NOT(ISNUMBER(O497)),"",IF(O497=2,"ROJO",IF(O497=1,"ÁMBAR","VERDE")))</f>
      </c>
      <c r="K497" s="26">
        <f>IFERROR(IF(AND(N497=1,LEN(TRIM('DATOS'!N497&amp;""))&gt;0),'DATOS'!N497,""),"Hay una entrada con error. Corregimos el dato antes de cerrar la comprobación.")</f>
      </c>
      <c r="L497" s="26">
        <f>IFERROR(IF(N497=0,"",IF(O497&gt;0,"Completamos datos, claves o motivo. ","")&amp;IF(P497&gt;0,"Cotejamos precios e importe. ","")&amp;IF(Q497&gt;0,"Aclaramos el cero. ","")&amp;IF(R497&gt;0,"Comprobamos el texto. ","")&amp;IF(S497&gt;0,"Revisamos decimales visibles. ","")&amp;IF(T497&gt;0,"Confirmamos la unidad.","")),"Hay una entrada con error. Corregimos el dato antes de cerrar la comprobación.")</f>
      </c>
      <c r="N497" s="29" t="n">
        <f>IF(COUNTA('DATOS'!B497:O497)&gt;0,1,0)</f>
        <v>0</v>
      </c>
      <c r="O497" s="29">
        <f>IFERROR(IF(N497=0,"",IF(OR(NOT(AND(LEN(TRIM('DATOS'!B497&amp;""))&gt;0,TRIM('DATOS'!B497&amp;"")&lt;&gt;"Pendiente",TRIM('DATOS'!B497&amp;"")&lt;&gt;"Por confirmar",TRIM('DATOS'!B497&amp;"")&lt;&gt;"No consta",TRIM('DATOS'!B497&amp;"")&lt;&gt;"Desconocido",TRIM('DATOS'!B497&amp;"")&lt;&gt;"Sin confirmar",TRIM('DATOS'!B497&amp;"")&lt;&gt;"Por decidir",TRIM('DATOS'!B497&amp;"")&lt;&gt;"Por comprobar")),NOT(AND(LEN(TRIM('DATOS'!C497&amp;""))&gt;0,TRIM('DATOS'!C497&amp;"")&lt;&gt;"Pendiente",TRIM('DATOS'!C497&amp;"")&lt;&gt;"Por confirmar",TRIM('DATOS'!C497&amp;"")&lt;&gt;"No consta",TRIM('DATOS'!C497&amp;"")&lt;&gt;"Desconocido",TRIM('DATOS'!C497&amp;"")&lt;&gt;"Sin confirmar",TRIM('DATOS'!C497&amp;"")&lt;&gt;"Por decidir",TRIM('DATOS'!C497&amp;"")&lt;&gt;"Por comprobar")),NOT(AND(LEN(TRIM('DATOS'!D497&amp;""))&gt;0,TRIM('DATOS'!D497&amp;"")&lt;&gt;"Pendiente",TRIM('DATOS'!D497&amp;"")&lt;&gt;"Por confirmar",TRIM('DATOS'!D497&amp;"")&lt;&gt;"No consta",TRIM('DATOS'!D497&amp;"")&lt;&gt;"Desconocido",TRIM('DATOS'!D497&amp;"")&lt;&gt;"Sin confirmar",TRIM('DATOS'!D497&amp;"")&lt;&gt;"Por decidir",TRIM('DATOS'!D497&amp;"")&lt;&gt;"Por comprobar")),NOT(AND(LEN(TRIM('DATOS'!E497&amp;""))&gt;0,TRIM('DATOS'!E497&amp;"")&lt;&gt;"Pendiente",TRIM('DATOS'!E497&amp;"")&lt;&gt;"Por confirmar",TRIM('DATOS'!E497&amp;"")&lt;&gt;"No consta",TRIM('DATOS'!E497&amp;"")&lt;&gt;"Desconocido",TRIM('DATOS'!E497&amp;"")&lt;&gt;"Sin confirmar",TRIM('DATOS'!E497&amp;"")&lt;&gt;"Por decidir",TRIM('DATOS'!E497&amp;"")&lt;&gt;"Por comprobar")),NOT(AND(LEN(TRIM('DATOS'!F497&amp;""))&gt;0,TRIM('DATOS'!F497&amp;"")&lt;&gt;"Pendiente",TRIM('DATOS'!F497&amp;"")&lt;&gt;"Por confirmar",TRIM('DATOS'!F497&amp;"")&lt;&gt;"No consta",TRIM('DATOS'!F497&amp;"")&lt;&gt;"Desconocido",TRIM('DATOS'!F497&amp;"")&lt;&gt;"Sin confirmar",TRIM('DATOS'!F497&amp;"")&lt;&gt;"Por decidir",TRIM('DATOS'!F497&amp;"")&lt;&gt;"Por comprobar")),NOT(AND(LEN(TRIM('DATOS'!N497&amp;""))&gt;0,TRIM('DATOS'!N497&amp;"")&lt;&gt;"Pendiente",TRIM('DATOS'!N497&amp;"")&lt;&gt;"Por confirmar",TRIM('DATOS'!N497&amp;"")&lt;&gt;"No consta",TRIM('DATOS'!N497&amp;"")&lt;&gt;"Desconocido",TRIM('DATOS'!N497&amp;"")&lt;&gt;"Sin confirmar",TRIM('DATOS'!N497&amp;"")&lt;&gt;"Por decidir",TRIM('DATOS'!N497&amp;"")&lt;&gt;"Por comprobar")),NOT(Y497=1),W497&lt;&gt;1,X497&gt;1,NOT(OR(LEN(TRIM('DATOS'!K497&amp;""))=0,'DATOS'!K497="Sin valorar",'DATOS'!K497="Sin coste documentado",'DATOS'!K497="Incluido en otra partida",'DATOS'!K497="Por confirmar")),NOT(OR(LEN(TRIM('DATOS'!M497&amp;""))=0,'DATOS'!M497="Sí",'DATOS'!M497="No",'DATOS'!M497="Por confirmar")),NOT(OR(LEN(TRIM('DATOS'!O497&amp;""))=0,'DATOS'!O497="Comparamos",'DATOS'!O497="No existe",'DATOS'!O497="Por confirmar"))),2,IF(AND(OR('DATOS'!G497&lt;0,'DATOS'!H497&lt;0,'DATOS'!J497&lt;0),NOT(AND(LEN(TRIM('DATOS'!L497&amp;""))&gt;0,TRIM('DATOS'!L497&amp;"")&lt;&gt;"Pendiente",TRIM('DATOS'!L497&amp;"")&lt;&gt;"Por confirmar",TRIM('DATOS'!L497&amp;"")&lt;&gt;"No consta",TRIM('DATOS'!L497&amp;"")&lt;&gt;"Desconocido",TRIM('DATOS'!L497&amp;"")&lt;&gt;"Sin confirmar",TRIM('DATOS'!L497&amp;"")&lt;&gt;"Por decidir",TRIM('DATOS'!L497&amp;"")&lt;&gt;"Por comprobar"))),1,0))),2)</f>
      </c>
      <c r="P497" s="29">
        <f>IFERROR(IF(N497=0,"",IF(NOT(Y497=1),1,IF('REFERENCIAS'!$Q$8&lt;&gt;1,2,IF(ABS('DATOS'!J497-ROUND('DATOS'!G497*'DATOS'!H497,'REFERENCIAS'!$K$8))&gt;0.00000001,2,IF('DATOS'!O497="No existe",IF(LEN(TRIM('DATOS'!I497&amp;""))=0,0,2),IF('DATOS'!O497="Comparamos",IF(LEN(TRIM('DATOS'!I497&amp;""))=0,1,IF(ISNUMBER('DATOS'!I497),IF(ABS('DATOS'!H497-'DATOS'!I497)&gt;0.00000001,2,0),2)),1)))))),2)</f>
      </c>
      <c r="Q497" s="29">
        <f>IFERROR(IF(N497=0,"",IF(NOT(Y497=1),1,IF('DATOS'!K497="Sin valorar",2,IF('DATOS'!G497=0,1,IF(OR('DATOS'!H497=0,'DATOS'!J497=0),IF(AND(OR('DATOS'!K497="Sin coste documentado",'DATOS'!K497="Incluido en otra partida"),AND(LEN(TRIM('DATOS'!L497&amp;""))&gt;0,TRIM('DATOS'!L497&amp;"")&lt;&gt;"Pendiente",TRIM('DATOS'!L497&amp;"")&lt;&gt;"Por confirmar",TRIM('DATOS'!L497&amp;"")&lt;&gt;"No consta",TRIM('DATOS'!L497&amp;"")&lt;&gt;"Desconocido",TRIM('DATOS'!L497&amp;"")&lt;&gt;"Sin confirmar",TRIM('DATOS'!L497&amp;"")&lt;&gt;"Por decidir",TRIM('DATOS'!L497&amp;"")&lt;&gt;"Por comprobar")),0,1),0))))),2)</f>
      </c>
      <c r="R497" s="29">
        <f>IFERROR(IF(N497=0,"",IF(OR(NOT(AND(LEN(TRIM('DATOS'!D497&amp;""))&gt;0,TRIM('DATOS'!D497&amp;"")&lt;&gt;"Pendiente",TRIM('DATOS'!D497&amp;"")&lt;&gt;"Por confirmar",TRIM('DATOS'!D497&amp;"")&lt;&gt;"No consta",TRIM('DATOS'!D497&amp;"")&lt;&gt;"Desconocido",TRIM('DATOS'!D497&amp;"")&lt;&gt;"Sin confirmar",TRIM('DATOS'!D497&amp;"")&lt;&gt;"Por decidir",TRIM('DATOS'!D497&amp;"")&lt;&gt;"Por comprobar")),NOT(AND(LEN(TRIM('DATOS'!E497&amp;""))&gt;0,TRIM('DATOS'!E497&amp;"")&lt;&gt;"Pendiente",TRIM('DATOS'!E497&amp;"")&lt;&gt;"Por confirmar",TRIM('DATOS'!E497&amp;"")&lt;&gt;"No consta",TRIM('DATOS'!E497&amp;"")&lt;&gt;"Desconocido",TRIM('DATOS'!E497&amp;"")&lt;&gt;"Sin confirmar",TRIM('DATOS'!E497&amp;"")&lt;&gt;"Por decidir",TRIM('DATOS'!E497&amp;"")&lt;&gt;"Por comprobar"))),2,IF('DATOS'!M497="No",2,IF('DATOS'!M497="Sí",0,IF(OR('DATOS'!D497&lt;&gt;'DATOS'!E497,LEN('DATOS'!E497)&gt;300,RIGHT(TRIM('DATOS'!E497),3)="...",RIGHT(TRIM('DATOS'!E497),1)="…"),1,0))))),2)</f>
      </c>
      <c r="S497" s="29">
        <f>IFERROR(IF(N497=0,"",IF('REFERENCIAS'!$Q$8&lt;&gt;1,2,IF(NOT(Y497=1),1,IF(OR(ABS('DATOS'!G497-ROUND('DATOS'!G497,'REFERENCIAS'!$E$8))&gt;0.00000001,ABS('DATOS'!H497-ROUND('DATOS'!H497,'REFERENCIAS'!$H$8))&gt;0.00000001,ABS('DATOS'!J497-ROUND('DATOS'!J497,'REFERENCIAS'!$K$8))&gt;0.00000001,IF(ISNUMBER('DATOS'!I497),ABS('DATOS'!I497-ROUND('DATOS'!I497,'REFERENCIAS'!$H$8))&gt;0.00000001,FALSE)),1,0)))),2)</f>
      </c>
      <c r="T497" s="29">
        <f>IFERROR(IF(N497=0,"",IF(NOT(AND(LEN(TRIM('DATOS'!F497&amp;""))&gt;0,TRIM('DATOS'!F497&amp;"")&lt;&gt;"Pendiente",TRIM('DATOS'!F497&amp;"")&lt;&gt;"Por confirmar",TRIM('DATOS'!F497&amp;"")&lt;&gt;"No consta",TRIM('DATOS'!F497&amp;"")&lt;&gt;"Desconocido",TRIM('DATOS'!F497&amp;"")&lt;&gt;"Sin confirmar",TRIM('DATOS'!F497&amp;"")&lt;&gt;"Por decidir",TRIM('DATOS'!F497&amp;"")&lt;&gt;"Por comprobar")),2,IF(COUNTIFS('REFERENCIAS'!$T$15:$T$34,"ID:"&amp;SUBSTITUTE(SUBSTITUTE(SUBSTITUTE(SUBSTITUTE(UPPER(TRIM('DATOS'!F497&amp;"")),"!","!E"),"*","!A"),"?","!B"),"~","!C"),'REFERENCIAS'!$H$15:$H$34,"&lt;&gt;")&gt;0,0,1))),2)</f>
      </c>
      <c r="U497" s="29" t="str">
        <f>'DATOS'!R497</f>
        <v>ID:</v>
      </c>
      <c r="V497" s="29" t="str">
        <f>'DATOS'!S497</f>
        <v>ID:</v>
      </c>
      <c r="W497" s="29" t="n">
        <f>IF(N497=0,0,COUNTIFS('REFERENCIAS'!$R$15:$R$64,U497))</f>
        <v>0</v>
      </c>
      <c r="X497" s="29" t="n">
        <f>IF(N497=0,0,COUNTIFS('DATOS'!$R$10:$R$509,U497,'DATOS'!$S$10:$S$509,V497))</f>
        <v>0</v>
      </c>
      <c r="Y497" s="29" t="n">
        <f>IF(AND(ISNUMBER('DATOS'!G497),ISNUMBER('DATOS'!H497),ISNUMBER('DATOS'!J497)),1,0)</f>
        <v>0</v>
      </c>
    </row>
    <row r="498" ht="64" customHeight="1">
      <c r="B498" s="26">
        <f>IF(N498=1,489,"")</f>
      </c>
      <c r="C498" s="26">
        <f>IF(AND(N498=1,LEN(TRIM('DATOS'!B498&amp;""))&gt;0),'DATOS'!B498,"")</f>
      </c>
      <c r="D498" s="26">
        <f>IF(AND(N498=1,LEN(TRIM('DATOS'!C498&amp;""))&gt;0),'DATOS'!C498,"")</f>
      </c>
      <c r="E498" s="26">
        <f>IF(NOT(ISNUMBER(P498)),"",IF(P498=2,"ROJO",IF(P498=1,"ÁMBAR","VERDE")))</f>
      </c>
      <c r="F498" s="26">
        <f>IF(NOT(ISNUMBER(Q498)),"",IF(Q498=2,"ROJO",IF(Q498=1,"ÁMBAR","VERDE")))</f>
      </c>
      <c r="G498" s="26">
        <f>IF(NOT(ISNUMBER(R498)),"",IF(R498=2,"ROJO",IF(R498=1,"ÁMBAR","VERDE")))</f>
      </c>
      <c r="H498" s="26">
        <f>IF(NOT(ISNUMBER(S498)),"",IF(S498=2,"ROJO",IF(S498=1,"ÁMBAR","VERDE")))</f>
      </c>
      <c r="I498" s="26">
        <f>IF(NOT(ISNUMBER(T498)),"",IF(T498=2,"ROJO",IF(T498=1,"ÁMBAR","VERDE")))</f>
      </c>
      <c r="J498" s="26">
        <f>IF(NOT(ISNUMBER(O498)),"",IF(O498=2,"ROJO",IF(O498=1,"ÁMBAR","VERDE")))</f>
      </c>
      <c r="K498" s="26">
        <f>IFERROR(IF(AND(N498=1,LEN(TRIM('DATOS'!N498&amp;""))&gt;0),'DATOS'!N498,""),"Hay una entrada con error. Corregimos el dato antes de cerrar la comprobación.")</f>
      </c>
      <c r="L498" s="26">
        <f>IFERROR(IF(N498=0,"",IF(O498&gt;0,"Completamos datos, claves o motivo. ","")&amp;IF(P498&gt;0,"Cotejamos precios e importe. ","")&amp;IF(Q498&gt;0,"Aclaramos el cero. ","")&amp;IF(R498&gt;0,"Comprobamos el texto. ","")&amp;IF(S498&gt;0,"Revisamos decimales visibles. ","")&amp;IF(T498&gt;0,"Confirmamos la unidad.","")),"Hay una entrada con error. Corregimos el dato antes de cerrar la comprobación.")</f>
      </c>
      <c r="N498" s="29" t="n">
        <f>IF(COUNTA('DATOS'!B498:O498)&gt;0,1,0)</f>
        <v>0</v>
      </c>
      <c r="O498" s="29">
        <f>IFERROR(IF(N498=0,"",IF(OR(NOT(AND(LEN(TRIM('DATOS'!B498&amp;""))&gt;0,TRIM('DATOS'!B498&amp;"")&lt;&gt;"Pendiente",TRIM('DATOS'!B498&amp;"")&lt;&gt;"Por confirmar",TRIM('DATOS'!B498&amp;"")&lt;&gt;"No consta",TRIM('DATOS'!B498&amp;"")&lt;&gt;"Desconocido",TRIM('DATOS'!B498&amp;"")&lt;&gt;"Sin confirmar",TRIM('DATOS'!B498&amp;"")&lt;&gt;"Por decidir",TRIM('DATOS'!B498&amp;"")&lt;&gt;"Por comprobar")),NOT(AND(LEN(TRIM('DATOS'!C498&amp;""))&gt;0,TRIM('DATOS'!C498&amp;"")&lt;&gt;"Pendiente",TRIM('DATOS'!C498&amp;"")&lt;&gt;"Por confirmar",TRIM('DATOS'!C498&amp;"")&lt;&gt;"No consta",TRIM('DATOS'!C498&amp;"")&lt;&gt;"Desconocido",TRIM('DATOS'!C498&amp;"")&lt;&gt;"Sin confirmar",TRIM('DATOS'!C498&amp;"")&lt;&gt;"Por decidir",TRIM('DATOS'!C498&amp;"")&lt;&gt;"Por comprobar")),NOT(AND(LEN(TRIM('DATOS'!D498&amp;""))&gt;0,TRIM('DATOS'!D498&amp;"")&lt;&gt;"Pendiente",TRIM('DATOS'!D498&amp;"")&lt;&gt;"Por confirmar",TRIM('DATOS'!D498&amp;"")&lt;&gt;"No consta",TRIM('DATOS'!D498&amp;"")&lt;&gt;"Desconocido",TRIM('DATOS'!D498&amp;"")&lt;&gt;"Sin confirmar",TRIM('DATOS'!D498&amp;"")&lt;&gt;"Por decidir",TRIM('DATOS'!D498&amp;"")&lt;&gt;"Por comprobar")),NOT(AND(LEN(TRIM('DATOS'!E498&amp;""))&gt;0,TRIM('DATOS'!E498&amp;"")&lt;&gt;"Pendiente",TRIM('DATOS'!E498&amp;"")&lt;&gt;"Por confirmar",TRIM('DATOS'!E498&amp;"")&lt;&gt;"No consta",TRIM('DATOS'!E498&amp;"")&lt;&gt;"Desconocido",TRIM('DATOS'!E498&amp;"")&lt;&gt;"Sin confirmar",TRIM('DATOS'!E498&amp;"")&lt;&gt;"Por decidir",TRIM('DATOS'!E498&amp;"")&lt;&gt;"Por comprobar")),NOT(AND(LEN(TRIM('DATOS'!F498&amp;""))&gt;0,TRIM('DATOS'!F498&amp;"")&lt;&gt;"Pendiente",TRIM('DATOS'!F498&amp;"")&lt;&gt;"Por confirmar",TRIM('DATOS'!F498&amp;"")&lt;&gt;"No consta",TRIM('DATOS'!F498&amp;"")&lt;&gt;"Desconocido",TRIM('DATOS'!F498&amp;"")&lt;&gt;"Sin confirmar",TRIM('DATOS'!F498&amp;"")&lt;&gt;"Por decidir",TRIM('DATOS'!F498&amp;"")&lt;&gt;"Por comprobar")),NOT(AND(LEN(TRIM('DATOS'!N498&amp;""))&gt;0,TRIM('DATOS'!N498&amp;"")&lt;&gt;"Pendiente",TRIM('DATOS'!N498&amp;"")&lt;&gt;"Por confirmar",TRIM('DATOS'!N498&amp;"")&lt;&gt;"No consta",TRIM('DATOS'!N498&amp;"")&lt;&gt;"Desconocido",TRIM('DATOS'!N498&amp;"")&lt;&gt;"Sin confirmar",TRIM('DATOS'!N498&amp;"")&lt;&gt;"Por decidir",TRIM('DATOS'!N498&amp;"")&lt;&gt;"Por comprobar")),NOT(Y498=1),W498&lt;&gt;1,X498&gt;1,NOT(OR(LEN(TRIM('DATOS'!K498&amp;""))=0,'DATOS'!K498="Sin valorar",'DATOS'!K498="Sin coste documentado",'DATOS'!K498="Incluido en otra partida",'DATOS'!K498="Por confirmar")),NOT(OR(LEN(TRIM('DATOS'!M498&amp;""))=0,'DATOS'!M498="Sí",'DATOS'!M498="No",'DATOS'!M498="Por confirmar")),NOT(OR(LEN(TRIM('DATOS'!O498&amp;""))=0,'DATOS'!O498="Comparamos",'DATOS'!O498="No existe",'DATOS'!O498="Por confirmar"))),2,IF(AND(OR('DATOS'!G498&lt;0,'DATOS'!H498&lt;0,'DATOS'!J498&lt;0),NOT(AND(LEN(TRIM('DATOS'!L498&amp;""))&gt;0,TRIM('DATOS'!L498&amp;"")&lt;&gt;"Pendiente",TRIM('DATOS'!L498&amp;"")&lt;&gt;"Por confirmar",TRIM('DATOS'!L498&amp;"")&lt;&gt;"No consta",TRIM('DATOS'!L498&amp;"")&lt;&gt;"Desconocido",TRIM('DATOS'!L498&amp;"")&lt;&gt;"Sin confirmar",TRIM('DATOS'!L498&amp;"")&lt;&gt;"Por decidir",TRIM('DATOS'!L498&amp;"")&lt;&gt;"Por comprobar"))),1,0))),2)</f>
      </c>
      <c r="P498" s="29">
        <f>IFERROR(IF(N498=0,"",IF(NOT(Y498=1),1,IF('REFERENCIAS'!$Q$8&lt;&gt;1,2,IF(ABS('DATOS'!J498-ROUND('DATOS'!G498*'DATOS'!H498,'REFERENCIAS'!$K$8))&gt;0.00000001,2,IF('DATOS'!O498="No existe",IF(LEN(TRIM('DATOS'!I498&amp;""))=0,0,2),IF('DATOS'!O498="Comparamos",IF(LEN(TRIM('DATOS'!I498&amp;""))=0,1,IF(ISNUMBER('DATOS'!I498),IF(ABS('DATOS'!H498-'DATOS'!I498)&gt;0.00000001,2,0),2)),1)))))),2)</f>
      </c>
      <c r="Q498" s="29">
        <f>IFERROR(IF(N498=0,"",IF(NOT(Y498=1),1,IF('DATOS'!K498="Sin valorar",2,IF('DATOS'!G498=0,1,IF(OR('DATOS'!H498=0,'DATOS'!J498=0),IF(AND(OR('DATOS'!K498="Sin coste documentado",'DATOS'!K498="Incluido en otra partida"),AND(LEN(TRIM('DATOS'!L498&amp;""))&gt;0,TRIM('DATOS'!L498&amp;"")&lt;&gt;"Pendiente",TRIM('DATOS'!L498&amp;"")&lt;&gt;"Por confirmar",TRIM('DATOS'!L498&amp;"")&lt;&gt;"No consta",TRIM('DATOS'!L498&amp;"")&lt;&gt;"Desconocido",TRIM('DATOS'!L498&amp;"")&lt;&gt;"Sin confirmar",TRIM('DATOS'!L498&amp;"")&lt;&gt;"Por decidir",TRIM('DATOS'!L498&amp;"")&lt;&gt;"Por comprobar")),0,1),0))))),2)</f>
      </c>
      <c r="R498" s="29">
        <f>IFERROR(IF(N498=0,"",IF(OR(NOT(AND(LEN(TRIM('DATOS'!D498&amp;""))&gt;0,TRIM('DATOS'!D498&amp;"")&lt;&gt;"Pendiente",TRIM('DATOS'!D498&amp;"")&lt;&gt;"Por confirmar",TRIM('DATOS'!D498&amp;"")&lt;&gt;"No consta",TRIM('DATOS'!D498&amp;"")&lt;&gt;"Desconocido",TRIM('DATOS'!D498&amp;"")&lt;&gt;"Sin confirmar",TRIM('DATOS'!D498&amp;"")&lt;&gt;"Por decidir",TRIM('DATOS'!D498&amp;"")&lt;&gt;"Por comprobar")),NOT(AND(LEN(TRIM('DATOS'!E498&amp;""))&gt;0,TRIM('DATOS'!E498&amp;"")&lt;&gt;"Pendiente",TRIM('DATOS'!E498&amp;"")&lt;&gt;"Por confirmar",TRIM('DATOS'!E498&amp;"")&lt;&gt;"No consta",TRIM('DATOS'!E498&amp;"")&lt;&gt;"Desconocido",TRIM('DATOS'!E498&amp;"")&lt;&gt;"Sin confirmar",TRIM('DATOS'!E498&amp;"")&lt;&gt;"Por decidir",TRIM('DATOS'!E498&amp;"")&lt;&gt;"Por comprobar"))),2,IF('DATOS'!M498="No",2,IF('DATOS'!M498="Sí",0,IF(OR('DATOS'!D498&lt;&gt;'DATOS'!E498,LEN('DATOS'!E498)&gt;300,RIGHT(TRIM('DATOS'!E498),3)="...",RIGHT(TRIM('DATOS'!E498),1)="…"),1,0))))),2)</f>
      </c>
      <c r="S498" s="29">
        <f>IFERROR(IF(N498=0,"",IF('REFERENCIAS'!$Q$8&lt;&gt;1,2,IF(NOT(Y498=1),1,IF(OR(ABS('DATOS'!G498-ROUND('DATOS'!G498,'REFERENCIAS'!$E$8))&gt;0.00000001,ABS('DATOS'!H498-ROUND('DATOS'!H498,'REFERENCIAS'!$H$8))&gt;0.00000001,ABS('DATOS'!J498-ROUND('DATOS'!J498,'REFERENCIAS'!$K$8))&gt;0.00000001,IF(ISNUMBER('DATOS'!I498),ABS('DATOS'!I498-ROUND('DATOS'!I498,'REFERENCIAS'!$H$8))&gt;0.00000001,FALSE)),1,0)))),2)</f>
      </c>
      <c r="T498" s="29">
        <f>IFERROR(IF(N498=0,"",IF(NOT(AND(LEN(TRIM('DATOS'!F498&amp;""))&gt;0,TRIM('DATOS'!F498&amp;"")&lt;&gt;"Pendiente",TRIM('DATOS'!F498&amp;"")&lt;&gt;"Por confirmar",TRIM('DATOS'!F498&amp;"")&lt;&gt;"No consta",TRIM('DATOS'!F498&amp;"")&lt;&gt;"Desconocido",TRIM('DATOS'!F498&amp;"")&lt;&gt;"Sin confirmar",TRIM('DATOS'!F498&amp;"")&lt;&gt;"Por decidir",TRIM('DATOS'!F498&amp;"")&lt;&gt;"Por comprobar")),2,IF(COUNTIFS('REFERENCIAS'!$T$15:$T$34,"ID:"&amp;SUBSTITUTE(SUBSTITUTE(SUBSTITUTE(SUBSTITUTE(UPPER(TRIM('DATOS'!F498&amp;"")),"!","!E"),"*","!A"),"?","!B"),"~","!C"),'REFERENCIAS'!$H$15:$H$34,"&lt;&gt;")&gt;0,0,1))),2)</f>
      </c>
      <c r="U498" s="29" t="str">
        <f>'DATOS'!R498</f>
        <v>ID:</v>
      </c>
      <c r="V498" s="29" t="str">
        <f>'DATOS'!S498</f>
        <v>ID:</v>
      </c>
      <c r="W498" s="29" t="n">
        <f>IF(N498=0,0,COUNTIFS('REFERENCIAS'!$R$15:$R$64,U498))</f>
        <v>0</v>
      </c>
      <c r="X498" s="29" t="n">
        <f>IF(N498=0,0,COUNTIFS('DATOS'!$R$10:$R$509,U498,'DATOS'!$S$10:$S$509,V498))</f>
        <v>0</v>
      </c>
      <c r="Y498" s="29" t="n">
        <f>IF(AND(ISNUMBER('DATOS'!G498),ISNUMBER('DATOS'!H498),ISNUMBER('DATOS'!J498)),1,0)</f>
        <v>0</v>
      </c>
    </row>
    <row r="499" ht="64" customHeight="1">
      <c r="B499" s="26">
        <f>IF(N499=1,490,"")</f>
      </c>
      <c r="C499" s="26">
        <f>IF(AND(N499=1,LEN(TRIM('DATOS'!B499&amp;""))&gt;0),'DATOS'!B499,"")</f>
      </c>
      <c r="D499" s="26">
        <f>IF(AND(N499=1,LEN(TRIM('DATOS'!C499&amp;""))&gt;0),'DATOS'!C499,"")</f>
      </c>
      <c r="E499" s="26">
        <f>IF(NOT(ISNUMBER(P499)),"",IF(P499=2,"ROJO",IF(P499=1,"ÁMBAR","VERDE")))</f>
      </c>
      <c r="F499" s="26">
        <f>IF(NOT(ISNUMBER(Q499)),"",IF(Q499=2,"ROJO",IF(Q499=1,"ÁMBAR","VERDE")))</f>
      </c>
      <c r="G499" s="26">
        <f>IF(NOT(ISNUMBER(R499)),"",IF(R499=2,"ROJO",IF(R499=1,"ÁMBAR","VERDE")))</f>
      </c>
      <c r="H499" s="26">
        <f>IF(NOT(ISNUMBER(S499)),"",IF(S499=2,"ROJO",IF(S499=1,"ÁMBAR","VERDE")))</f>
      </c>
      <c r="I499" s="26">
        <f>IF(NOT(ISNUMBER(T499)),"",IF(T499=2,"ROJO",IF(T499=1,"ÁMBAR","VERDE")))</f>
      </c>
      <c r="J499" s="26">
        <f>IF(NOT(ISNUMBER(O499)),"",IF(O499=2,"ROJO",IF(O499=1,"ÁMBAR","VERDE")))</f>
      </c>
      <c r="K499" s="26">
        <f>IFERROR(IF(AND(N499=1,LEN(TRIM('DATOS'!N499&amp;""))&gt;0),'DATOS'!N499,""),"Hay una entrada con error. Corregimos el dato antes de cerrar la comprobación.")</f>
      </c>
      <c r="L499" s="26">
        <f>IFERROR(IF(N499=0,"",IF(O499&gt;0,"Completamos datos, claves o motivo. ","")&amp;IF(P499&gt;0,"Cotejamos precios e importe. ","")&amp;IF(Q499&gt;0,"Aclaramos el cero. ","")&amp;IF(R499&gt;0,"Comprobamos el texto. ","")&amp;IF(S499&gt;0,"Revisamos decimales visibles. ","")&amp;IF(T499&gt;0,"Confirmamos la unidad.","")),"Hay una entrada con error. Corregimos el dato antes de cerrar la comprobación.")</f>
      </c>
      <c r="N499" s="29" t="n">
        <f>IF(COUNTA('DATOS'!B499:O499)&gt;0,1,0)</f>
        <v>0</v>
      </c>
      <c r="O499" s="29">
        <f>IFERROR(IF(N499=0,"",IF(OR(NOT(AND(LEN(TRIM('DATOS'!B499&amp;""))&gt;0,TRIM('DATOS'!B499&amp;"")&lt;&gt;"Pendiente",TRIM('DATOS'!B499&amp;"")&lt;&gt;"Por confirmar",TRIM('DATOS'!B499&amp;"")&lt;&gt;"No consta",TRIM('DATOS'!B499&amp;"")&lt;&gt;"Desconocido",TRIM('DATOS'!B499&amp;"")&lt;&gt;"Sin confirmar",TRIM('DATOS'!B499&amp;"")&lt;&gt;"Por decidir",TRIM('DATOS'!B499&amp;"")&lt;&gt;"Por comprobar")),NOT(AND(LEN(TRIM('DATOS'!C499&amp;""))&gt;0,TRIM('DATOS'!C499&amp;"")&lt;&gt;"Pendiente",TRIM('DATOS'!C499&amp;"")&lt;&gt;"Por confirmar",TRIM('DATOS'!C499&amp;"")&lt;&gt;"No consta",TRIM('DATOS'!C499&amp;"")&lt;&gt;"Desconocido",TRIM('DATOS'!C499&amp;"")&lt;&gt;"Sin confirmar",TRIM('DATOS'!C499&amp;"")&lt;&gt;"Por decidir",TRIM('DATOS'!C499&amp;"")&lt;&gt;"Por comprobar")),NOT(AND(LEN(TRIM('DATOS'!D499&amp;""))&gt;0,TRIM('DATOS'!D499&amp;"")&lt;&gt;"Pendiente",TRIM('DATOS'!D499&amp;"")&lt;&gt;"Por confirmar",TRIM('DATOS'!D499&amp;"")&lt;&gt;"No consta",TRIM('DATOS'!D499&amp;"")&lt;&gt;"Desconocido",TRIM('DATOS'!D499&amp;"")&lt;&gt;"Sin confirmar",TRIM('DATOS'!D499&amp;"")&lt;&gt;"Por decidir",TRIM('DATOS'!D499&amp;"")&lt;&gt;"Por comprobar")),NOT(AND(LEN(TRIM('DATOS'!E499&amp;""))&gt;0,TRIM('DATOS'!E499&amp;"")&lt;&gt;"Pendiente",TRIM('DATOS'!E499&amp;"")&lt;&gt;"Por confirmar",TRIM('DATOS'!E499&amp;"")&lt;&gt;"No consta",TRIM('DATOS'!E499&amp;"")&lt;&gt;"Desconocido",TRIM('DATOS'!E499&amp;"")&lt;&gt;"Sin confirmar",TRIM('DATOS'!E499&amp;"")&lt;&gt;"Por decidir",TRIM('DATOS'!E499&amp;"")&lt;&gt;"Por comprobar")),NOT(AND(LEN(TRIM('DATOS'!F499&amp;""))&gt;0,TRIM('DATOS'!F499&amp;"")&lt;&gt;"Pendiente",TRIM('DATOS'!F499&amp;"")&lt;&gt;"Por confirmar",TRIM('DATOS'!F499&amp;"")&lt;&gt;"No consta",TRIM('DATOS'!F499&amp;"")&lt;&gt;"Desconocido",TRIM('DATOS'!F499&amp;"")&lt;&gt;"Sin confirmar",TRIM('DATOS'!F499&amp;"")&lt;&gt;"Por decidir",TRIM('DATOS'!F499&amp;"")&lt;&gt;"Por comprobar")),NOT(AND(LEN(TRIM('DATOS'!N499&amp;""))&gt;0,TRIM('DATOS'!N499&amp;"")&lt;&gt;"Pendiente",TRIM('DATOS'!N499&amp;"")&lt;&gt;"Por confirmar",TRIM('DATOS'!N499&amp;"")&lt;&gt;"No consta",TRIM('DATOS'!N499&amp;"")&lt;&gt;"Desconocido",TRIM('DATOS'!N499&amp;"")&lt;&gt;"Sin confirmar",TRIM('DATOS'!N499&amp;"")&lt;&gt;"Por decidir",TRIM('DATOS'!N499&amp;"")&lt;&gt;"Por comprobar")),NOT(Y499=1),W499&lt;&gt;1,X499&gt;1,NOT(OR(LEN(TRIM('DATOS'!K499&amp;""))=0,'DATOS'!K499="Sin valorar",'DATOS'!K499="Sin coste documentado",'DATOS'!K499="Incluido en otra partida",'DATOS'!K499="Por confirmar")),NOT(OR(LEN(TRIM('DATOS'!M499&amp;""))=0,'DATOS'!M499="Sí",'DATOS'!M499="No",'DATOS'!M499="Por confirmar")),NOT(OR(LEN(TRIM('DATOS'!O499&amp;""))=0,'DATOS'!O499="Comparamos",'DATOS'!O499="No existe",'DATOS'!O499="Por confirmar"))),2,IF(AND(OR('DATOS'!G499&lt;0,'DATOS'!H499&lt;0,'DATOS'!J499&lt;0),NOT(AND(LEN(TRIM('DATOS'!L499&amp;""))&gt;0,TRIM('DATOS'!L499&amp;"")&lt;&gt;"Pendiente",TRIM('DATOS'!L499&amp;"")&lt;&gt;"Por confirmar",TRIM('DATOS'!L499&amp;"")&lt;&gt;"No consta",TRIM('DATOS'!L499&amp;"")&lt;&gt;"Desconocido",TRIM('DATOS'!L499&amp;"")&lt;&gt;"Sin confirmar",TRIM('DATOS'!L499&amp;"")&lt;&gt;"Por decidir",TRIM('DATOS'!L499&amp;"")&lt;&gt;"Por comprobar"))),1,0))),2)</f>
      </c>
      <c r="P499" s="29">
        <f>IFERROR(IF(N499=0,"",IF(NOT(Y499=1),1,IF('REFERENCIAS'!$Q$8&lt;&gt;1,2,IF(ABS('DATOS'!J499-ROUND('DATOS'!G499*'DATOS'!H499,'REFERENCIAS'!$K$8))&gt;0.00000001,2,IF('DATOS'!O499="No existe",IF(LEN(TRIM('DATOS'!I499&amp;""))=0,0,2),IF('DATOS'!O499="Comparamos",IF(LEN(TRIM('DATOS'!I499&amp;""))=0,1,IF(ISNUMBER('DATOS'!I499),IF(ABS('DATOS'!H499-'DATOS'!I499)&gt;0.00000001,2,0),2)),1)))))),2)</f>
      </c>
      <c r="Q499" s="29">
        <f>IFERROR(IF(N499=0,"",IF(NOT(Y499=1),1,IF('DATOS'!K499="Sin valorar",2,IF('DATOS'!G499=0,1,IF(OR('DATOS'!H499=0,'DATOS'!J499=0),IF(AND(OR('DATOS'!K499="Sin coste documentado",'DATOS'!K499="Incluido en otra partida"),AND(LEN(TRIM('DATOS'!L499&amp;""))&gt;0,TRIM('DATOS'!L499&amp;"")&lt;&gt;"Pendiente",TRIM('DATOS'!L499&amp;"")&lt;&gt;"Por confirmar",TRIM('DATOS'!L499&amp;"")&lt;&gt;"No consta",TRIM('DATOS'!L499&amp;"")&lt;&gt;"Desconocido",TRIM('DATOS'!L499&amp;"")&lt;&gt;"Sin confirmar",TRIM('DATOS'!L499&amp;"")&lt;&gt;"Por decidir",TRIM('DATOS'!L499&amp;"")&lt;&gt;"Por comprobar")),0,1),0))))),2)</f>
      </c>
      <c r="R499" s="29">
        <f>IFERROR(IF(N499=0,"",IF(OR(NOT(AND(LEN(TRIM('DATOS'!D499&amp;""))&gt;0,TRIM('DATOS'!D499&amp;"")&lt;&gt;"Pendiente",TRIM('DATOS'!D499&amp;"")&lt;&gt;"Por confirmar",TRIM('DATOS'!D499&amp;"")&lt;&gt;"No consta",TRIM('DATOS'!D499&amp;"")&lt;&gt;"Desconocido",TRIM('DATOS'!D499&amp;"")&lt;&gt;"Sin confirmar",TRIM('DATOS'!D499&amp;"")&lt;&gt;"Por decidir",TRIM('DATOS'!D499&amp;"")&lt;&gt;"Por comprobar")),NOT(AND(LEN(TRIM('DATOS'!E499&amp;""))&gt;0,TRIM('DATOS'!E499&amp;"")&lt;&gt;"Pendiente",TRIM('DATOS'!E499&amp;"")&lt;&gt;"Por confirmar",TRIM('DATOS'!E499&amp;"")&lt;&gt;"No consta",TRIM('DATOS'!E499&amp;"")&lt;&gt;"Desconocido",TRIM('DATOS'!E499&amp;"")&lt;&gt;"Sin confirmar",TRIM('DATOS'!E499&amp;"")&lt;&gt;"Por decidir",TRIM('DATOS'!E499&amp;"")&lt;&gt;"Por comprobar"))),2,IF('DATOS'!M499="No",2,IF('DATOS'!M499="Sí",0,IF(OR('DATOS'!D499&lt;&gt;'DATOS'!E499,LEN('DATOS'!E499)&gt;300,RIGHT(TRIM('DATOS'!E499),3)="...",RIGHT(TRIM('DATOS'!E499),1)="…"),1,0))))),2)</f>
      </c>
      <c r="S499" s="29">
        <f>IFERROR(IF(N499=0,"",IF('REFERENCIAS'!$Q$8&lt;&gt;1,2,IF(NOT(Y499=1),1,IF(OR(ABS('DATOS'!G499-ROUND('DATOS'!G499,'REFERENCIAS'!$E$8))&gt;0.00000001,ABS('DATOS'!H499-ROUND('DATOS'!H499,'REFERENCIAS'!$H$8))&gt;0.00000001,ABS('DATOS'!J499-ROUND('DATOS'!J499,'REFERENCIAS'!$K$8))&gt;0.00000001,IF(ISNUMBER('DATOS'!I499),ABS('DATOS'!I499-ROUND('DATOS'!I499,'REFERENCIAS'!$H$8))&gt;0.00000001,FALSE)),1,0)))),2)</f>
      </c>
      <c r="T499" s="29">
        <f>IFERROR(IF(N499=0,"",IF(NOT(AND(LEN(TRIM('DATOS'!F499&amp;""))&gt;0,TRIM('DATOS'!F499&amp;"")&lt;&gt;"Pendiente",TRIM('DATOS'!F499&amp;"")&lt;&gt;"Por confirmar",TRIM('DATOS'!F499&amp;"")&lt;&gt;"No consta",TRIM('DATOS'!F499&amp;"")&lt;&gt;"Desconocido",TRIM('DATOS'!F499&amp;"")&lt;&gt;"Sin confirmar",TRIM('DATOS'!F499&amp;"")&lt;&gt;"Por decidir",TRIM('DATOS'!F499&amp;"")&lt;&gt;"Por comprobar")),2,IF(COUNTIFS('REFERENCIAS'!$T$15:$T$34,"ID:"&amp;SUBSTITUTE(SUBSTITUTE(SUBSTITUTE(SUBSTITUTE(UPPER(TRIM('DATOS'!F499&amp;"")),"!","!E"),"*","!A"),"?","!B"),"~","!C"),'REFERENCIAS'!$H$15:$H$34,"&lt;&gt;")&gt;0,0,1))),2)</f>
      </c>
      <c r="U499" s="29" t="str">
        <f>'DATOS'!R499</f>
        <v>ID:</v>
      </c>
      <c r="V499" s="29" t="str">
        <f>'DATOS'!S499</f>
        <v>ID:</v>
      </c>
      <c r="W499" s="29" t="n">
        <f>IF(N499=0,0,COUNTIFS('REFERENCIAS'!$R$15:$R$64,U499))</f>
        <v>0</v>
      </c>
      <c r="X499" s="29" t="n">
        <f>IF(N499=0,0,COUNTIFS('DATOS'!$R$10:$R$509,U499,'DATOS'!$S$10:$S$509,V499))</f>
        <v>0</v>
      </c>
      <c r="Y499" s="29" t="n">
        <f>IF(AND(ISNUMBER('DATOS'!G499),ISNUMBER('DATOS'!H499),ISNUMBER('DATOS'!J499)),1,0)</f>
        <v>0</v>
      </c>
    </row>
    <row r="500" ht="64" customHeight="1">
      <c r="B500" s="26">
        <f>IF(N500=1,491,"")</f>
      </c>
      <c r="C500" s="26">
        <f>IF(AND(N500=1,LEN(TRIM('DATOS'!B500&amp;""))&gt;0),'DATOS'!B500,"")</f>
      </c>
      <c r="D500" s="26">
        <f>IF(AND(N500=1,LEN(TRIM('DATOS'!C500&amp;""))&gt;0),'DATOS'!C500,"")</f>
      </c>
      <c r="E500" s="26">
        <f>IF(NOT(ISNUMBER(P500)),"",IF(P500=2,"ROJO",IF(P500=1,"ÁMBAR","VERDE")))</f>
      </c>
      <c r="F500" s="26">
        <f>IF(NOT(ISNUMBER(Q500)),"",IF(Q500=2,"ROJO",IF(Q500=1,"ÁMBAR","VERDE")))</f>
      </c>
      <c r="G500" s="26">
        <f>IF(NOT(ISNUMBER(R500)),"",IF(R500=2,"ROJO",IF(R500=1,"ÁMBAR","VERDE")))</f>
      </c>
      <c r="H500" s="26">
        <f>IF(NOT(ISNUMBER(S500)),"",IF(S500=2,"ROJO",IF(S500=1,"ÁMBAR","VERDE")))</f>
      </c>
      <c r="I500" s="26">
        <f>IF(NOT(ISNUMBER(T500)),"",IF(T500=2,"ROJO",IF(T500=1,"ÁMBAR","VERDE")))</f>
      </c>
      <c r="J500" s="26">
        <f>IF(NOT(ISNUMBER(O500)),"",IF(O500=2,"ROJO",IF(O500=1,"ÁMBAR","VERDE")))</f>
      </c>
      <c r="K500" s="26">
        <f>IFERROR(IF(AND(N500=1,LEN(TRIM('DATOS'!N500&amp;""))&gt;0),'DATOS'!N500,""),"Hay una entrada con error. Corregimos el dato antes de cerrar la comprobación.")</f>
      </c>
      <c r="L500" s="26">
        <f>IFERROR(IF(N500=0,"",IF(O500&gt;0,"Completamos datos, claves o motivo. ","")&amp;IF(P500&gt;0,"Cotejamos precios e importe. ","")&amp;IF(Q500&gt;0,"Aclaramos el cero. ","")&amp;IF(R500&gt;0,"Comprobamos el texto. ","")&amp;IF(S500&gt;0,"Revisamos decimales visibles. ","")&amp;IF(T500&gt;0,"Confirmamos la unidad.","")),"Hay una entrada con error. Corregimos el dato antes de cerrar la comprobación.")</f>
      </c>
      <c r="N500" s="29" t="n">
        <f>IF(COUNTA('DATOS'!B500:O500)&gt;0,1,0)</f>
        <v>0</v>
      </c>
      <c r="O500" s="29">
        <f>IFERROR(IF(N500=0,"",IF(OR(NOT(AND(LEN(TRIM('DATOS'!B500&amp;""))&gt;0,TRIM('DATOS'!B500&amp;"")&lt;&gt;"Pendiente",TRIM('DATOS'!B500&amp;"")&lt;&gt;"Por confirmar",TRIM('DATOS'!B500&amp;"")&lt;&gt;"No consta",TRIM('DATOS'!B500&amp;"")&lt;&gt;"Desconocido",TRIM('DATOS'!B500&amp;"")&lt;&gt;"Sin confirmar",TRIM('DATOS'!B500&amp;"")&lt;&gt;"Por decidir",TRIM('DATOS'!B500&amp;"")&lt;&gt;"Por comprobar")),NOT(AND(LEN(TRIM('DATOS'!C500&amp;""))&gt;0,TRIM('DATOS'!C500&amp;"")&lt;&gt;"Pendiente",TRIM('DATOS'!C500&amp;"")&lt;&gt;"Por confirmar",TRIM('DATOS'!C500&amp;"")&lt;&gt;"No consta",TRIM('DATOS'!C500&amp;"")&lt;&gt;"Desconocido",TRIM('DATOS'!C500&amp;"")&lt;&gt;"Sin confirmar",TRIM('DATOS'!C500&amp;"")&lt;&gt;"Por decidir",TRIM('DATOS'!C500&amp;"")&lt;&gt;"Por comprobar")),NOT(AND(LEN(TRIM('DATOS'!D500&amp;""))&gt;0,TRIM('DATOS'!D500&amp;"")&lt;&gt;"Pendiente",TRIM('DATOS'!D500&amp;"")&lt;&gt;"Por confirmar",TRIM('DATOS'!D500&amp;"")&lt;&gt;"No consta",TRIM('DATOS'!D500&amp;"")&lt;&gt;"Desconocido",TRIM('DATOS'!D500&amp;"")&lt;&gt;"Sin confirmar",TRIM('DATOS'!D500&amp;"")&lt;&gt;"Por decidir",TRIM('DATOS'!D500&amp;"")&lt;&gt;"Por comprobar")),NOT(AND(LEN(TRIM('DATOS'!E500&amp;""))&gt;0,TRIM('DATOS'!E500&amp;"")&lt;&gt;"Pendiente",TRIM('DATOS'!E500&amp;"")&lt;&gt;"Por confirmar",TRIM('DATOS'!E500&amp;"")&lt;&gt;"No consta",TRIM('DATOS'!E500&amp;"")&lt;&gt;"Desconocido",TRIM('DATOS'!E500&amp;"")&lt;&gt;"Sin confirmar",TRIM('DATOS'!E500&amp;"")&lt;&gt;"Por decidir",TRIM('DATOS'!E500&amp;"")&lt;&gt;"Por comprobar")),NOT(AND(LEN(TRIM('DATOS'!F500&amp;""))&gt;0,TRIM('DATOS'!F500&amp;"")&lt;&gt;"Pendiente",TRIM('DATOS'!F500&amp;"")&lt;&gt;"Por confirmar",TRIM('DATOS'!F500&amp;"")&lt;&gt;"No consta",TRIM('DATOS'!F500&amp;"")&lt;&gt;"Desconocido",TRIM('DATOS'!F500&amp;"")&lt;&gt;"Sin confirmar",TRIM('DATOS'!F500&amp;"")&lt;&gt;"Por decidir",TRIM('DATOS'!F500&amp;"")&lt;&gt;"Por comprobar")),NOT(AND(LEN(TRIM('DATOS'!N500&amp;""))&gt;0,TRIM('DATOS'!N500&amp;"")&lt;&gt;"Pendiente",TRIM('DATOS'!N500&amp;"")&lt;&gt;"Por confirmar",TRIM('DATOS'!N500&amp;"")&lt;&gt;"No consta",TRIM('DATOS'!N500&amp;"")&lt;&gt;"Desconocido",TRIM('DATOS'!N500&amp;"")&lt;&gt;"Sin confirmar",TRIM('DATOS'!N500&amp;"")&lt;&gt;"Por decidir",TRIM('DATOS'!N500&amp;"")&lt;&gt;"Por comprobar")),NOT(Y500=1),W500&lt;&gt;1,X500&gt;1,NOT(OR(LEN(TRIM('DATOS'!K500&amp;""))=0,'DATOS'!K500="Sin valorar",'DATOS'!K500="Sin coste documentado",'DATOS'!K500="Incluido en otra partida",'DATOS'!K500="Por confirmar")),NOT(OR(LEN(TRIM('DATOS'!M500&amp;""))=0,'DATOS'!M500="Sí",'DATOS'!M500="No",'DATOS'!M500="Por confirmar")),NOT(OR(LEN(TRIM('DATOS'!O500&amp;""))=0,'DATOS'!O500="Comparamos",'DATOS'!O500="No existe",'DATOS'!O500="Por confirmar"))),2,IF(AND(OR('DATOS'!G500&lt;0,'DATOS'!H500&lt;0,'DATOS'!J500&lt;0),NOT(AND(LEN(TRIM('DATOS'!L500&amp;""))&gt;0,TRIM('DATOS'!L500&amp;"")&lt;&gt;"Pendiente",TRIM('DATOS'!L500&amp;"")&lt;&gt;"Por confirmar",TRIM('DATOS'!L500&amp;"")&lt;&gt;"No consta",TRIM('DATOS'!L500&amp;"")&lt;&gt;"Desconocido",TRIM('DATOS'!L500&amp;"")&lt;&gt;"Sin confirmar",TRIM('DATOS'!L500&amp;"")&lt;&gt;"Por decidir",TRIM('DATOS'!L500&amp;"")&lt;&gt;"Por comprobar"))),1,0))),2)</f>
      </c>
      <c r="P500" s="29">
        <f>IFERROR(IF(N500=0,"",IF(NOT(Y500=1),1,IF('REFERENCIAS'!$Q$8&lt;&gt;1,2,IF(ABS('DATOS'!J500-ROUND('DATOS'!G500*'DATOS'!H500,'REFERENCIAS'!$K$8))&gt;0.00000001,2,IF('DATOS'!O500="No existe",IF(LEN(TRIM('DATOS'!I500&amp;""))=0,0,2),IF('DATOS'!O500="Comparamos",IF(LEN(TRIM('DATOS'!I500&amp;""))=0,1,IF(ISNUMBER('DATOS'!I500),IF(ABS('DATOS'!H500-'DATOS'!I500)&gt;0.00000001,2,0),2)),1)))))),2)</f>
      </c>
      <c r="Q500" s="29">
        <f>IFERROR(IF(N500=0,"",IF(NOT(Y500=1),1,IF('DATOS'!K500="Sin valorar",2,IF('DATOS'!G500=0,1,IF(OR('DATOS'!H500=0,'DATOS'!J500=0),IF(AND(OR('DATOS'!K500="Sin coste documentado",'DATOS'!K500="Incluido en otra partida"),AND(LEN(TRIM('DATOS'!L500&amp;""))&gt;0,TRIM('DATOS'!L500&amp;"")&lt;&gt;"Pendiente",TRIM('DATOS'!L500&amp;"")&lt;&gt;"Por confirmar",TRIM('DATOS'!L500&amp;"")&lt;&gt;"No consta",TRIM('DATOS'!L500&amp;"")&lt;&gt;"Desconocido",TRIM('DATOS'!L500&amp;"")&lt;&gt;"Sin confirmar",TRIM('DATOS'!L500&amp;"")&lt;&gt;"Por decidir",TRIM('DATOS'!L500&amp;"")&lt;&gt;"Por comprobar")),0,1),0))))),2)</f>
      </c>
      <c r="R500" s="29">
        <f>IFERROR(IF(N500=0,"",IF(OR(NOT(AND(LEN(TRIM('DATOS'!D500&amp;""))&gt;0,TRIM('DATOS'!D500&amp;"")&lt;&gt;"Pendiente",TRIM('DATOS'!D500&amp;"")&lt;&gt;"Por confirmar",TRIM('DATOS'!D500&amp;"")&lt;&gt;"No consta",TRIM('DATOS'!D500&amp;"")&lt;&gt;"Desconocido",TRIM('DATOS'!D500&amp;"")&lt;&gt;"Sin confirmar",TRIM('DATOS'!D500&amp;"")&lt;&gt;"Por decidir",TRIM('DATOS'!D500&amp;"")&lt;&gt;"Por comprobar")),NOT(AND(LEN(TRIM('DATOS'!E500&amp;""))&gt;0,TRIM('DATOS'!E500&amp;"")&lt;&gt;"Pendiente",TRIM('DATOS'!E500&amp;"")&lt;&gt;"Por confirmar",TRIM('DATOS'!E500&amp;"")&lt;&gt;"No consta",TRIM('DATOS'!E500&amp;"")&lt;&gt;"Desconocido",TRIM('DATOS'!E500&amp;"")&lt;&gt;"Sin confirmar",TRIM('DATOS'!E500&amp;"")&lt;&gt;"Por decidir",TRIM('DATOS'!E500&amp;"")&lt;&gt;"Por comprobar"))),2,IF('DATOS'!M500="No",2,IF('DATOS'!M500="Sí",0,IF(OR('DATOS'!D500&lt;&gt;'DATOS'!E500,LEN('DATOS'!E500)&gt;300,RIGHT(TRIM('DATOS'!E500),3)="...",RIGHT(TRIM('DATOS'!E500),1)="…"),1,0))))),2)</f>
      </c>
      <c r="S500" s="29">
        <f>IFERROR(IF(N500=0,"",IF('REFERENCIAS'!$Q$8&lt;&gt;1,2,IF(NOT(Y500=1),1,IF(OR(ABS('DATOS'!G500-ROUND('DATOS'!G500,'REFERENCIAS'!$E$8))&gt;0.00000001,ABS('DATOS'!H500-ROUND('DATOS'!H500,'REFERENCIAS'!$H$8))&gt;0.00000001,ABS('DATOS'!J500-ROUND('DATOS'!J500,'REFERENCIAS'!$K$8))&gt;0.00000001,IF(ISNUMBER('DATOS'!I500),ABS('DATOS'!I500-ROUND('DATOS'!I500,'REFERENCIAS'!$H$8))&gt;0.00000001,FALSE)),1,0)))),2)</f>
      </c>
      <c r="T500" s="29">
        <f>IFERROR(IF(N500=0,"",IF(NOT(AND(LEN(TRIM('DATOS'!F500&amp;""))&gt;0,TRIM('DATOS'!F500&amp;"")&lt;&gt;"Pendiente",TRIM('DATOS'!F500&amp;"")&lt;&gt;"Por confirmar",TRIM('DATOS'!F500&amp;"")&lt;&gt;"No consta",TRIM('DATOS'!F500&amp;"")&lt;&gt;"Desconocido",TRIM('DATOS'!F500&amp;"")&lt;&gt;"Sin confirmar",TRIM('DATOS'!F500&amp;"")&lt;&gt;"Por decidir",TRIM('DATOS'!F500&amp;"")&lt;&gt;"Por comprobar")),2,IF(COUNTIFS('REFERENCIAS'!$T$15:$T$34,"ID:"&amp;SUBSTITUTE(SUBSTITUTE(SUBSTITUTE(SUBSTITUTE(UPPER(TRIM('DATOS'!F500&amp;"")),"!","!E"),"*","!A"),"?","!B"),"~","!C"),'REFERENCIAS'!$H$15:$H$34,"&lt;&gt;")&gt;0,0,1))),2)</f>
      </c>
      <c r="U500" s="29" t="str">
        <f>'DATOS'!R500</f>
        <v>ID:</v>
      </c>
      <c r="V500" s="29" t="str">
        <f>'DATOS'!S500</f>
        <v>ID:</v>
      </c>
      <c r="W500" s="29" t="n">
        <f>IF(N500=0,0,COUNTIFS('REFERENCIAS'!$R$15:$R$64,U500))</f>
        <v>0</v>
      </c>
      <c r="X500" s="29" t="n">
        <f>IF(N500=0,0,COUNTIFS('DATOS'!$R$10:$R$509,U500,'DATOS'!$S$10:$S$509,V500))</f>
        <v>0</v>
      </c>
      <c r="Y500" s="29" t="n">
        <f>IF(AND(ISNUMBER('DATOS'!G500),ISNUMBER('DATOS'!H500),ISNUMBER('DATOS'!J500)),1,0)</f>
        <v>0</v>
      </c>
    </row>
    <row r="501" ht="64" customHeight="1">
      <c r="B501" s="26">
        <f>IF(N501=1,492,"")</f>
      </c>
      <c r="C501" s="26">
        <f>IF(AND(N501=1,LEN(TRIM('DATOS'!B501&amp;""))&gt;0),'DATOS'!B501,"")</f>
      </c>
      <c r="D501" s="26">
        <f>IF(AND(N501=1,LEN(TRIM('DATOS'!C501&amp;""))&gt;0),'DATOS'!C501,"")</f>
      </c>
      <c r="E501" s="26">
        <f>IF(NOT(ISNUMBER(P501)),"",IF(P501=2,"ROJO",IF(P501=1,"ÁMBAR","VERDE")))</f>
      </c>
      <c r="F501" s="26">
        <f>IF(NOT(ISNUMBER(Q501)),"",IF(Q501=2,"ROJO",IF(Q501=1,"ÁMBAR","VERDE")))</f>
      </c>
      <c r="G501" s="26">
        <f>IF(NOT(ISNUMBER(R501)),"",IF(R501=2,"ROJO",IF(R501=1,"ÁMBAR","VERDE")))</f>
      </c>
      <c r="H501" s="26">
        <f>IF(NOT(ISNUMBER(S501)),"",IF(S501=2,"ROJO",IF(S501=1,"ÁMBAR","VERDE")))</f>
      </c>
      <c r="I501" s="26">
        <f>IF(NOT(ISNUMBER(T501)),"",IF(T501=2,"ROJO",IF(T501=1,"ÁMBAR","VERDE")))</f>
      </c>
      <c r="J501" s="26">
        <f>IF(NOT(ISNUMBER(O501)),"",IF(O501=2,"ROJO",IF(O501=1,"ÁMBAR","VERDE")))</f>
      </c>
      <c r="K501" s="26">
        <f>IFERROR(IF(AND(N501=1,LEN(TRIM('DATOS'!N501&amp;""))&gt;0),'DATOS'!N501,""),"Hay una entrada con error. Corregimos el dato antes de cerrar la comprobación.")</f>
      </c>
      <c r="L501" s="26">
        <f>IFERROR(IF(N501=0,"",IF(O501&gt;0,"Completamos datos, claves o motivo. ","")&amp;IF(P501&gt;0,"Cotejamos precios e importe. ","")&amp;IF(Q501&gt;0,"Aclaramos el cero. ","")&amp;IF(R501&gt;0,"Comprobamos el texto. ","")&amp;IF(S501&gt;0,"Revisamos decimales visibles. ","")&amp;IF(T501&gt;0,"Confirmamos la unidad.","")),"Hay una entrada con error. Corregimos el dato antes de cerrar la comprobación.")</f>
      </c>
      <c r="N501" s="29" t="n">
        <f>IF(COUNTA('DATOS'!B501:O501)&gt;0,1,0)</f>
        <v>0</v>
      </c>
      <c r="O501" s="29">
        <f>IFERROR(IF(N501=0,"",IF(OR(NOT(AND(LEN(TRIM('DATOS'!B501&amp;""))&gt;0,TRIM('DATOS'!B501&amp;"")&lt;&gt;"Pendiente",TRIM('DATOS'!B501&amp;"")&lt;&gt;"Por confirmar",TRIM('DATOS'!B501&amp;"")&lt;&gt;"No consta",TRIM('DATOS'!B501&amp;"")&lt;&gt;"Desconocido",TRIM('DATOS'!B501&amp;"")&lt;&gt;"Sin confirmar",TRIM('DATOS'!B501&amp;"")&lt;&gt;"Por decidir",TRIM('DATOS'!B501&amp;"")&lt;&gt;"Por comprobar")),NOT(AND(LEN(TRIM('DATOS'!C501&amp;""))&gt;0,TRIM('DATOS'!C501&amp;"")&lt;&gt;"Pendiente",TRIM('DATOS'!C501&amp;"")&lt;&gt;"Por confirmar",TRIM('DATOS'!C501&amp;"")&lt;&gt;"No consta",TRIM('DATOS'!C501&amp;"")&lt;&gt;"Desconocido",TRIM('DATOS'!C501&amp;"")&lt;&gt;"Sin confirmar",TRIM('DATOS'!C501&amp;"")&lt;&gt;"Por decidir",TRIM('DATOS'!C501&amp;"")&lt;&gt;"Por comprobar")),NOT(AND(LEN(TRIM('DATOS'!D501&amp;""))&gt;0,TRIM('DATOS'!D501&amp;"")&lt;&gt;"Pendiente",TRIM('DATOS'!D501&amp;"")&lt;&gt;"Por confirmar",TRIM('DATOS'!D501&amp;"")&lt;&gt;"No consta",TRIM('DATOS'!D501&amp;"")&lt;&gt;"Desconocido",TRIM('DATOS'!D501&amp;"")&lt;&gt;"Sin confirmar",TRIM('DATOS'!D501&amp;"")&lt;&gt;"Por decidir",TRIM('DATOS'!D501&amp;"")&lt;&gt;"Por comprobar")),NOT(AND(LEN(TRIM('DATOS'!E501&amp;""))&gt;0,TRIM('DATOS'!E501&amp;"")&lt;&gt;"Pendiente",TRIM('DATOS'!E501&amp;"")&lt;&gt;"Por confirmar",TRIM('DATOS'!E501&amp;"")&lt;&gt;"No consta",TRIM('DATOS'!E501&amp;"")&lt;&gt;"Desconocido",TRIM('DATOS'!E501&amp;"")&lt;&gt;"Sin confirmar",TRIM('DATOS'!E501&amp;"")&lt;&gt;"Por decidir",TRIM('DATOS'!E501&amp;"")&lt;&gt;"Por comprobar")),NOT(AND(LEN(TRIM('DATOS'!F501&amp;""))&gt;0,TRIM('DATOS'!F501&amp;"")&lt;&gt;"Pendiente",TRIM('DATOS'!F501&amp;"")&lt;&gt;"Por confirmar",TRIM('DATOS'!F501&amp;"")&lt;&gt;"No consta",TRIM('DATOS'!F501&amp;"")&lt;&gt;"Desconocido",TRIM('DATOS'!F501&amp;"")&lt;&gt;"Sin confirmar",TRIM('DATOS'!F501&amp;"")&lt;&gt;"Por decidir",TRIM('DATOS'!F501&amp;"")&lt;&gt;"Por comprobar")),NOT(AND(LEN(TRIM('DATOS'!N501&amp;""))&gt;0,TRIM('DATOS'!N501&amp;"")&lt;&gt;"Pendiente",TRIM('DATOS'!N501&amp;"")&lt;&gt;"Por confirmar",TRIM('DATOS'!N501&amp;"")&lt;&gt;"No consta",TRIM('DATOS'!N501&amp;"")&lt;&gt;"Desconocido",TRIM('DATOS'!N501&amp;"")&lt;&gt;"Sin confirmar",TRIM('DATOS'!N501&amp;"")&lt;&gt;"Por decidir",TRIM('DATOS'!N501&amp;"")&lt;&gt;"Por comprobar")),NOT(Y501=1),W501&lt;&gt;1,X501&gt;1,NOT(OR(LEN(TRIM('DATOS'!K501&amp;""))=0,'DATOS'!K501="Sin valorar",'DATOS'!K501="Sin coste documentado",'DATOS'!K501="Incluido en otra partida",'DATOS'!K501="Por confirmar")),NOT(OR(LEN(TRIM('DATOS'!M501&amp;""))=0,'DATOS'!M501="Sí",'DATOS'!M501="No",'DATOS'!M501="Por confirmar")),NOT(OR(LEN(TRIM('DATOS'!O501&amp;""))=0,'DATOS'!O501="Comparamos",'DATOS'!O501="No existe",'DATOS'!O501="Por confirmar"))),2,IF(AND(OR('DATOS'!G501&lt;0,'DATOS'!H501&lt;0,'DATOS'!J501&lt;0),NOT(AND(LEN(TRIM('DATOS'!L501&amp;""))&gt;0,TRIM('DATOS'!L501&amp;"")&lt;&gt;"Pendiente",TRIM('DATOS'!L501&amp;"")&lt;&gt;"Por confirmar",TRIM('DATOS'!L501&amp;"")&lt;&gt;"No consta",TRIM('DATOS'!L501&amp;"")&lt;&gt;"Desconocido",TRIM('DATOS'!L501&amp;"")&lt;&gt;"Sin confirmar",TRIM('DATOS'!L501&amp;"")&lt;&gt;"Por decidir",TRIM('DATOS'!L501&amp;"")&lt;&gt;"Por comprobar"))),1,0))),2)</f>
      </c>
      <c r="P501" s="29">
        <f>IFERROR(IF(N501=0,"",IF(NOT(Y501=1),1,IF('REFERENCIAS'!$Q$8&lt;&gt;1,2,IF(ABS('DATOS'!J501-ROUND('DATOS'!G501*'DATOS'!H501,'REFERENCIAS'!$K$8))&gt;0.00000001,2,IF('DATOS'!O501="No existe",IF(LEN(TRIM('DATOS'!I501&amp;""))=0,0,2),IF('DATOS'!O501="Comparamos",IF(LEN(TRIM('DATOS'!I501&amp;""))=0,1,IF(ISNUMBER('DATOS'!I501),IF(ABS('DATOS'!H501-'DATOS'!I501)&gt;0.00000001,2,0),2)),1)))))),2)</f>
      </c>
      <c r="Q501" s="29">
        <f>IFERROR(IF(N501=0,"",IF(NOT(Y501=1),1,IF('DATOS'!K501="Sin valorar",2,IF('DATOS'!G501=0,1,IF(OR('DATOS'!H501=0,'DATOS'!J501=0),IF(AND(OR('DATOS'!K501="Sin coste documentado",'DATOS'!K501="Incluido en otra partida"),AND(LEN(TRIM('DATOS'!L501&amp;""))&gt;0,TRIM('DATOS'!L501&amp;"")&lt;&gt;"Pendiente",TRIM('DATOS'!L501&amp;"")&lt;&gt;"Por confirmar",TRIM('DATOS'!L501&amp;"")&lt;&gt;"No consta",TRIM('DATOS'!L501&amp;"")&lt;&gt;"Desconocido",TRIM('DATOS'!L501&amp;"")&lt;&gt;"Sin confirmar",TRIM('DATOS'!L501&amp;"")&lt;&gt;"Por decidir",TRIM('DATOS'!L501&amp;"")&lt;&gt;"Por comprobar")),0,1),0))))),2)</f>
      </c>
      <c r="R501" s="29">
        <f>IFERROR(IF(N501=0,"",IF(OR(NOT(AND(LEN(TRIM('DATOS'!D501&amp;""))&gt;0,TRIM('DATOS'!D501&amp;"")&lt;&gt;"Pendiente",TRIM('DATOS'!D501&amp;"")&lt;&gt;"Por confirmar",TRIM('DATOS'!D501&amp;"")&lt;&gt;"No consta",TRIM('DATOS'!D501&amp;"")&lt;&gt;"Desconocido",TRIM('DATOS'!D501&amp;"")&lt;&gt;"Sin confirmar",TRIM('DATOS'!D501&amp;"")&lt;&gt;"Por decidir",TRIM('DATOS'!D501&amp;"")&lt;&gt;"Por comprobar")),NOT(AND(LEN(TRIM('DATOS'!E501&amp;""))&gt;0,TRIM('DATOS'!E501&amp;"")&lt;&gt;"Pendiente",TRIM('DATOS'!E501&amp;"")&lt;&gt;"Por confirmar",TRIM('DATOS'!E501&amp;"")&lt;&gt;"No consta",TRIM('DATOS'!E501&amp;"")&lt;&gt;"Desconocido",TRIM('DATOS'!E501&amp;"")&lt;&gt;"Sin confirmar",TRIM('DATOS'!E501&amp;"")&lt;&gt;"Por decidir",TRIM('DATOS'!E501&amp;"")&lt;&gt;"Por comprobar"))),2,IF('DATOS'!M501="No",2,IF('DATOS'!M501="Sí",0,IF(OR('DATOS'!D501&lt;&gt;'DATOS'!E501,LEN('DATOS'!E501)&gt;300,RIGHT(TRIM('DATOS'!E501),3)="...",RIGHT(TRIM('DATOS'!E501),1)="…"),1,0))))),2)</f>
      </c>
      <c r="S501" s="29">
        <f>IFERROR(IF(N501=0,"",IF('REFERENCIAS'!$Q$8&lt;&gt;1,2,IF(NOT(Y501=1),1,IF(OR(ABS('DATOS'!G501-ROUND('DATOS'!G501,'REFERENCIAS'!$E$8))&gt;0.00000001,ABS('DATOS'!H501-ROUND('DATOS'!H501,'REFERENCIAS'!$H$8))&gt;0.00000001,ABS('DATOS'!J501-ROUND('DATOS'!J501,'REFERENCIAS'!$K$8))&gt;0.00000001,IF(ISNUMBER('DATOS'!I501),ABS('DATOS'!I501-ROUND('DATOS'!I501,'REFERENCIAS'!$H$8))&gt;0.00000001,FALSE)),1,0)))),2)</f>
      </c>
      <c r="T501" s="29">
        <f>IFERROR(IF(N501=0,"",IF(NOT(AND(LEN(TRIM('DATOS'!F501&amp;""))&gt;0,TRIM('DATOS'!F501&amp;"")&lt;&gt;"Pendiente",TRIM('DATOS'!F501&amp;"")&lt;&gt;"Por confirmar",TRIM('DATOS'!F501&amp;"")&lt;&gt;"No consta",TRIM('DATOS'!F501&amp;"")&lt;&gt;"Desconocido",TRIM('DATOS'!F501&amp;"")&lt;&gt;"Sin confirmar",TRIM('DATOS'!F501&amp;"")&lt;&gt;"Por decidir",TRIM('DATOS'!F501&amp;"")&lt;&gt;"Por comprobar")),2,IF(COUNTIFS('REFERENCIAS'!$T$15:$T$34,"ID:"&amp;SUBSTITUTE(SUBSTITUTE(SUBSTITUTE(SUBSTITUTE(UPPER(TRIM('DATOS'!F501&amp;"")),"!","!E"),"*","!A"),"?","!B"),"~","!C"),'REFERENCIAS'!$H$15:$H$34,"&lt;&gt;")&gt;0,0,1))),2)</f>
      </c>
      <c r="U501" s="29" t="str">
        <f>'DATOS'!R501</f>
        <v>ID:</v>
      </c>
      <c r="V501" s="29" t="str">
        <f>'DATOS'!S501</f>
        <v>ID:</v>
      </c>
      <c r="W501" s="29" t="n">
        <f>IF(N501=0,0,COUNTIFS('REFERENCIAS'!$R$15:$R$64,U501))</f>
        <v>0</v>
      </c>
      <c r="X501" s="29" t="n">
        <f>IF(N501=0,0,COUNTIFS('DATOS'!$R$10:$R$509,U501,'DATOS'!$S$10:$S$509,V501))</f>
        <v>0</v>
      </c>
      <c r="Y501" s="29" t="n">
        <f>IF(AND(ISNUMBER('DATOS'!G501),ISNUMBER('DATOS'!H501),ISNUMBER('DATOS'!J501)),1,0)</f>
        <v>0</v>
      </c>
    </row>
    <row r="502" ht="64" customHeight="1">
      <c r="B502" s="26">
        <f>IF(N502=1,493,"")</f>
      </c>
      <c r="C502" s="26">
        <f>IF(AND(N502=1,LEN(TRIM('DATOS'!B502&amp;""))&gt;0),'DATOS'!B502,"")</f>
      </c>
      <c r="D502" s="26">
        <f>IF(AND(N502=1,LEN(TRIM('DATOS'!C502&amp;""))&gt;0),'DATOS'!C502,"")</f>
      </c>
      <c r="E502" s="26">
        <f>IF(NOT(ISNUMBER(P502)),"",IF(P502=2,"ROJO",IF(P502=1,"ÁMBAR","VERDE")))</f>
      </c>
      <c r="F502" s="26">
        <f>IF(NOT(ISNUMBER(Q502)),"",IF(Q502=2,"ROJO",IF(Q502=1,"ÁMBAR","VERDE")))</f>
      </c>
      <c r="G502" s="26">
        <f>IF(NOT(ISNUMBER(R502)),"",IF(R502=2,"ROJO",IF(R502=1,"ÁMBAR","VERDE")))</f>
      </c>
      <c r="H502" s="26">
        <f>IF(NOT(ISNUMBER(S502)),"",IF(S502=2,"ROJO",IF(S502=1,"ÁMBAR","VERDE")))</f>
      </c>
      <c r="I502" s="26">
        <f>IF(NOT(ISNUMBER(T502)),"",IF(T502=2,"ROJO",IF(T502=1,"ÁMBAR","VERDE")))</f>
      </c>
      <c r="J502" s="26">
        <f>IF(NOT(ISNUMBER(O502)),"",IF(O502=2,"ROJO",IF(O502=1,"ÁMBAR","VERDE")))</f>
      </c>
      <c r="K502" s="26">
        <f>IFERROR(IF(AND(N502=1,LEN(TRIM('DATOS'!N502&amp;""))&gt;0),'DATOS'!N502,""),"Hay una entrada con error. Corregimos el dato antes de cerrar la comprobación.")</f>
      </c>
      <c r="L502" s="26">
        <f>IFERROR(IF(N502=0,"",IF(O502&gt;0,"Completamos datos, claves o motivo. ","")&amp;IF(P502&gt;0,"Cotejamos precios e importe. ","")&amp;IF(Q502&gt;0,"Aclaramos el cero. ","")&amp;IF(R502&gt;0,"Comprobamos el texto. ","")&amp;IF(S502&gt;0,"Revisamos decimales visibles. ","")&amp;IF(T502&gt;0,"Confirmamos la unidad.","")),"Hay una entrada con error. Corregimos el dato antes de cerrar la comprobación.")</f>
      </c>
      <c r="N502" s="29" t="n">
        <f>IF(COUNTA('DATOS'!B502:O502)&gt;0,1,0)</f>
        <v>0</v>
      </c>
      <c r="O502" s="29">
        <f>IFERROR(IF(N502=0,"",IF(OR(NOT(AND(LEN(TRIM('DATOS'!B502&amp;""))&gt;0,TRIM('DATOS'!B502&amp;"")&lt;&gt;"Pendiente",TRIM('DATOS'!B502&amp;"")&lt;&gt;"Por confirmar",TRIM('DATOS'!B502&amp;"")&lt;&gt;"No consta",TRIM('DATOS'!B502&amp;"")&lt;&gt;"Desconocido",TRIM('DATOS'!B502&amp;"")&lt;&gt;"Sin confirmar",TRIM('DATOS'!B502&amp;"")&lt;&gt;"Por decidir",TRIM('DATOS'!B502&amp;"")&lt;&gt;"Por comprobar")),NOT(AND(LEN(TRIM('DATOS'!C502&amp;""))&gt;0,TRIM('DATOS'!C502&amp;"")&lt;&gt;"Pendiente",TRIM('DATOS'!C502&amp;"")&lt;&gt;"Por confirmar",TRIM('DATOS'!C502&amp;"")&lt;&gt;"No consta",TRIM('DATOS'!C502&amp;"")&lt;&gt;"Desconocido",TRIM('DATOS'!C502&amp;"")&lt;&gt;"Sin confirmar",TRIM('DATOS'!C502&amp;"")&lt;&gt;"Por decidir",TRIM('DATOS'!C502&amp;"")&lt;&gt;"Por comprobar")),NOT(AND(LEN(TRIM('DATOS'!D502&amp;""))&gt;0,TRIM('DATOS'!D502&amp;"")&lt;&gt;"Pendiente",TRIM('DATOS'!D502&amp;"")&lt;&gt;"Por confirmar",TRIM('DATOS'!D502&amp;"")&lt;&gt;"No consta",TRIM('DATOS'!D502&amp;"")&lt;&gt;"Desconocido",TRIM('DATOS'!D502&amp;"")&lt;&gt;"Sin confirmar",TRIM('DATOS'!D502&amp;"")&lt;&gt;"Por decidir",TRIM('DATOS'!D502&amp;"")&lt;&gt;"Por comprobar")),NOT(AND(LEN(TRIM('DATOS'!E502&amp;""))&gt;0,TRIM('DATOS'!E502&amp;"")&lt;&gt;"Pendiente",TRIM('DATOS'!E502&amp;"")&lt;&gt;"Por confirmar",TRIM('DATOS'!E502&amp;"")&lt;&gt;"No consta",TRIM('DATOS'!E502&amp;"")&lt;&gt;"Desconocido",TRIM('DATOS'!E502&amp;"")&lt;&gt;"Sin confirmar",TRIM('DATOS'!E502&amp;"")&lt;&gt;"Por decidir",TRIM('DATOS'!E502&amp;"")&lt;&gt;"Por comprobar")),NOT(AND(LEN(TRIM('DATOS'!F502&amp;""))&gt;0,TRIM('DATOS'!F502&amp;"")&lt;&gt;"Pendiente",TRIM('DATOS'!F502&amp;"")&lt;&gt;"Por confirmar",TRIM('DATOS'!F502&amp;"")&lt;&gt;"No consta",TRIM('DATOS'!F502&amp;"")&lt;&gt;"Desconocido",TRIM('DATOS'!F502&amp;"")&lt;&gt;"Sin confirmar",TRIM('DATOS'!F502&amp;"")&lt;&gt;"Por decidir",TRIM('DATOS'!F502&amp;"")&lt;&gt;"Por comprobar")),NOT(AND(LEN(TRIM('DATOS'!N502&amp;""))&gt;0,TRIM('DATOS'!N502&amp;"")&lt;&gt;"Pendiente",TRIM('DATOS'!N502&amp;"")&lt;&gt;"Por confirmar",TRIM('DATOS'!N502&amp;"")&lt;&gt;"No consta",TRIM('DATOS'!N502&amp;"")&lt;&gt;"Desconocido",TRIM('DATOS'!N502&amp;"")&lt;&gt;"Sin confirmar",TRIM('DATOS'!N502&amp;"")&lt;&gt;"Por decidir",TRIM('DATOS'!N502&amp;"")&lt;&gt;"Por comprobar")),NOT(Y502=1),W502&lt;&gt;1,X502&gt;1,NOT(OR(LEN(TRIM('DATOS'!K502&amp;""))=0,'DATOS'!K502="Sin valorar",'DATOS'!K502="Sin coste documentado",'DATOS'!K502="Incluido en otra partida",'DATOS'!K502="Por confirmar")),NOT(OR(LEN(TRIM('DATOS'!M502&amp;""))=0,'DATOS'!M502="Sí",'DATOS'!M502="No",'DATOS'!M502="Por confirmar")),NOT(OR(LEN(TRIM('DATOS'!O502&amp;""))=0,'DATOS'!O502="Comparamos",'DATOS'!O502="No existe",'DATOS'!O502="Por confirmar"))),2,IF(AND(OR('DATOS'!G502&lt;0,'DATOS'!H502&lt;0,'DATOS'!J502&lt;0),NOT(AND(LEN(TRIM('DATOS'!L502&amp;""))&gt;0,TRIM('DATOS'!L502&amp;"")&lt;&gt;"Pendiente",TRIM('DATOS'!L502&amp;"")&lt;&gt;"Por confirmar",TRIM('DATOS'!L502&amp;"")&lt;&gt;"No consta",TRIM('DATOS'!L502&amp;"")&lt;&gt;"Desconocido",TRIM('DATOS'!L502&amp;"")&lt;&gt;"Sin confirmar",TRIM('DATOS'!L502&amp;"")&lt;&gt;"Por decidir",TRIM('DATOS'!L502&amp;"")&lt;&gt;"Por comprobar"))),1,0))),2)</f>
      </c>
      <c r="P502" s="29">
        <f>IFERROR(IF(N502=0,"",IF(NOT(Y502=1),1,IF('REFERENCIAS'!$Q$8&lt;&gt;1,2,IF(ABS('DATOS'!J502-ROUND('DATOS'!G502*'DATOS'!H502,'REFERENCIAS'!$K$8))&gt;0.00000001,2,IF('DATOS'!O502="No existe",IF(LEN(TRIM('DATOS'!I502&amp;""))=0,0,2),IF('DATOS'!O502="Comparamos",IF(LEN(TRIM('DATOS'!I502&amp;""))=0,1,IF(ISNUMBER('DATOS'!I502),IF(ABS('DATOS'!H502-'DATOS'!I502)&gt;0.00000001,2,0),2)),1)))))),2)</f>
      </c>
      <c r="Q502" s="29">
        <f>IFERROR(IF(N502=0,"",IF(NOT(Y502=1),1,IF('DATOS'!K502="Sin valorar",2,IF('DATOS'!G502=0,1,IF(OR('DATOS'!H502=0,'DATOS'!J502=0),IF(AND(OR('DATOS'!K502="Sin coste documentado",'DATOS'!K502="Incluido en otra partida"),AND(LEN(TRIM('DATOS'!L502&amp;""))&gt;0,TRIM('DATOS'!L502&amp;"")&lt;&gt;"Pendiente",TRIM('DATOS'!L502&amp;"")&lt;&gt;"Por confirmar",TRIM('DATOS'!L502&amp;"")&lt;&gt;"No consta",TRIM('DATOS'!L502&amp;"")&lt;&gt;"Desconocido",TRIM('DATOS'!L502&amp;"")&lt;&gt;"Sin confirmar",TRIM('DATOS'!L502&amp;"")&lt;&gt;"Por decidir",TRIM('DATOS'!L502&amp;"")&lt;&gt;"Por comprobar")),0,1),0))))),2)</f>
      </c>
      <c r="R502" s="29">
        <f>IFERROR(IF(N502=0,"",IF(OR(NOT(AND(LEN(TRIM('DATOS'!D502&amp;""))&gt;0,TRIM('DATOS'!D502&amp;"")&lt;&gt;"Pendiente",TRIM('DATOS'!D502&amp;"")&lt;&gt;"Por confirmar",TRIM('DATOS'!D502&amp;"")&lt;&gt;"No consta",TRIM('DATOS'!D502&amp;"")&lt;&gt;"Desconocido",TRIM('DATOS'!D502&amp;"")&lt;&gt;"Sin confirmar",TRIM('DATOS'!D502&amp;"")&lt;&gt;"Por decidir",TRIM('DATOS'!D502&amp;"")&lt;&gt;"Por comprobar")),NOT(AND(LEN(TRIM('DATOS'!E502&amp;""))&gt;0,TRIM('DATOS'!E502&amp;"")&lt;&gt;"Pendiente",TRIM('DATOS'!E502&amp;"")&lt;&gt;"Por confirmar",TRIM('DATOS'!E502&amp;"")&lt;&gt;"No consta",TRIM('DATOS'!E502&amp;"")&lt;&gt;"Desconocido",TRIM('DATOS'!E502&amp;"")&lt;&gt;"Sin confirmar",TRIM('DATOS'!E502&amp;"")&lt;&gt;"Por decidir",TRIM('DATOS'!E502&amp;"")&lt;&gt;"Por comprobar"))),2,IF('DATOS'!M502="No",2,IF('DATOS'!M502="Sí",0,IF(OR('DATOS'!D502&lt;&gt;'DATOS'!E502,LEN('DATOS'!E502)&gt;300,RIGHT(TRIM('DATOS'!E502),3)="...",RIGHT(TRIM('DATOS'!E502),1)="…"),1,0))))),2)</f>
      </c>
      <c r="S502" s="29">
        <f>IFERROR(IF(N502=0,"",IF('REFERENCIAS'!$Q$8&lt;&gt;1,2,IF(NOT(Y502=1),1,IF(OR(ABS('DATOS'!G502-ROUND('DATOS'!G502,'REFERENCIAS'!$E$8))&gt;0.00000001,ABS('DATOS'!H502-ROUND('DATOS'!H502,'REFERENCIAS'!$H$8))&gt;0.00000001,ABS('DATOS'!J502-ROUND('DATOS'!J502,'REFERENCIAS'!$K$8))&gt;0.00000001,IF(ISNUMBER('DATOS'!I502),ABS('DATOS'!I502-ROUND('DATOS'!I502,'REFERENCIAS'!$H$8))&gt;0.00000001,FALSE)),1,0)))),2)</f>
      </c>
      <c r="T502" s="29">
        <f>IFERROR(IF(N502=0,"",IF(NOT(AND(LEN(TRIM('DATOS'!F502&amp;""))&gt;0,TRIM('DATOS'!F502&amp;"")&lt;&gt;"Pendiente",TRIM('DATOS'!F502&amp;"")&lt;&gt;"Por confirmar",TRIM('DATOS'!F502&amp;"")&lt;&gt;"No consta",TRIM('DATOS'!F502&amp;"")&lt;&gt;"Desconocido",TRIM('DATOS'!F502&amp;"")&lt;&gt;"Sin confirmar",TRIM('DATOS'!F502&amp;"")&lt;&gt;"Por decidir",TRIM('DATOS'!F502&amp;"")&lt;&gt;"Por comprobar")),2,IF(COUNTIFS('REFERENCIAS'!$T$15:$T$34,"ID:"&amp;SUBSTITUTE(SUBSTITUTE(SUBSTITUTE(SUBSTITUTE(UPPER(TRIM('DATOS'!F502&amp;"")),"!","!E"),"*","!A"),"?","!B"),"~","!C"),'REFERENCIAS'!$H$15:$H$34,"&lt;&gt;")&gt;0,0,1))),2)</f>
      </c>
      <c r="U502" s="29" t="str">
        <f>'DATOS'!R502</f>
        <v>ID:</v>
      </c>
      <c r="V502" s="29" t="str">
        <f>'DATOS'!S502</f>
        <v>ID:</v>
      </c>
      <c r="W502" s="29" t="n">
        <f>IF(N502=0,0,COUNTIFS('REFERENCIAS'!$R$15:$R$64,U502))</f>
        <v>0</v>
      </c>
      <c r="X502" s="29" t="n">
        <f>IF(N502=0,0,COUNTIFS('DATOS'!$R$10:$R$509,U502,'DATOS'!$S$10:$S$509,V502))</f>
        <v>0</v>
      </c>
      <c r="Y502" s="29" t="n">
        <f>IF(AND(ISNUMBER('DATOS'!G502),ISNUMBER('DATOS'!H502),ISNUMBER('DATOS'!J502)),1,0)</f>
        <v>0</v>
      </c>
    </row>
    <row r="503" ht="64" customHeight="1">
      <c r="B503" s="26">
        <f>IF(N503=1,494,"")</f>
      </c>
      <c r="C503" s="26">
        <f>IF(AND(N503=1,LEN(TRIM('DATOS'!B503&amp;""))&gt;0),'DATOS'!B503,"")</f>
      </c>
      <c r="D503" s="26">
        <f>IF(AND(N503=1,LEN(TRIM('DATOS'!C503&amp;""))&gt;0),'DATOS'!C503,"")</f>
      </c>
      <c r="E503" s="26">
        <f>IF(NOT(ISNUMBER(P503)),"",IF(P503=2,"ROJO",IF(P503=1,"ÁMBAR","VERDE")))</f>
      </c>
      <c r="F503" s="26">
        <f>IF(NOT(ISNUMBER(Q503)),"",IF(Q503=2,"ROJO",IF(Q503=1,"ÁMBAR","VERDE")))</f>
      </c>
      <c r="G503" s="26">
        <f>IF(NOT(ISNUMBER(R503)),"",IF(R503=2,"ROJO",IF(R503=1,"ÁMBAR","VERDE")))</f>
      </c>
      <c r="H503" s="26">
        <f>IF(NOT(ISNUMBER(S503)),"",IF(S503=2,"ROJO",IF(S503=1,"ÁMBAR","VERDE")))</f>
      </c>
      <c r="I503" s="26">
        <f>IF(NOT(ISNUMBER(T503)),"",IF(T503=2,"ROJO",IF(T503=1,"ÁMBAR","VERDE")))</f>
      </c>
      <c r="J503" s="26">
        <f>IF(NOT(ISNUMBER(O503)),"",IF(O503=2,"ROJO",IF(O503=1,"ÁMBAR","VERDE")))</f>
      </c>
      <c r="K503" s="26">
        <f>IFERROR(IF(AND(N503=1,LEN(TRIM('DATOS'!N503&amp;""))&gt;0),'DATOS'!N503,""),"Hay una entrada con error. Corregimos el dato antes de cerrar la comprobación.")</f>
      </c>
      <c r="L503" s="26">
        <f>IFERROR(IF(N503=0,"",IF(O503&gt;0,"Completamos datos, claves o motivo. ","")&amp;IF(P503&gt;0,"Cotejamos precios e importe. ","")&amp;IF(Q503&gt;0,"Aclaramos el cero. ","")&amp;IF(R503&gt;0,"Comprobamos el texto. ","")&amp;IF(S503&gt;0,"Revisamos decimales visibles. ","")&amp;IF(T503&gt;0,"Confirmamos la unidad.","")),"Hay una entrada con error. Corregimos el dato antes de cerrar la comprobación.")</f>
      </c>
      <c r="N503" s="29" t="n">
        <f>IF(COUNTA('DATOS'!B503:O503)&gt;0,1,0)</f>
        <v>0</v>
      </c>
      <c r="O503" s="29">
        <f>IFERROR(IF(N503=0,"",IF(OR(NOT(AND(LEN(TRIM('DATOS'!B503&amp;""))&gt;0,TRIM('DATOS'!B503&amp;"")&lt;&gt;"Pendiente",TRIM('DATOS'!B503&amp;"")&lt;&gt;"Por confirmar",TRIM('DATOS'!B503&amp;"")&lt;&gt;"No consta",TRIM('DATOS'!B503&amp;"")&lt;&gt;"Desconocido",TRIM('DATOS'!B503&amp;"")&lt;&gt;"Sin confirmar",TRIM('DATOS'!B503&amp;"")&lt;&gt;"Por decidir",TRIM('DATOS'!B503&amp;"")&lt;&gt;"Por comprobar")),NOT(AND(LEN(TRIM('DATOS'!C503&amp;""))&gt;0,TRIM('DATOS'!C503&amp;"")&lt;&gt;"Pendiente",TRIM('DATOS'!C503&amp;"")&lt;&gt;"Por confirmar",TRIM('DATOS'!C503&amp;"")&lt;&gt;"No consta",TRIM('DATOS'!C503&amp;"")&lt;&gt;"Desconocido",TRIM('DATOS'!C503&amp;"")&lt;&gt;"Sin confirmar",TRIM('DATOS'!C503&amp;"")&lt;&gt;"Por decidir",TRIM('DATOS'!C503&amp;"")&lt;&gt;"Por comprobar")),NOT(AND(LEN(TRIM('DATOS'!D503&amp;""))&gt;0,TRIM('DATOS'!D503&amp;"")&lt;&gt;"Pendiente",TRIM('DATOS'!D503&amp;"")&lt;&gt;"Por confirmar",TRIM('DATOS'!D503&amp;"")&lt;&gt;"No consta",TRIM('DATOS'!D503&amp;"")&lt;&gt;"Desconocido",TRIM('DATOS'!D503&amp;"")&lt;&gt;"Sin confirmar",TRIM('DATOS'!D503&amp;"")&lt;&gt;"Por decidir",TRIM('DATOS'!D503&amp;"")&lt;&gt;"Por comprobar")),NOT(AND(LEN(TRIM('DATOS'!E503&amp;""))&gt;0,TRIM('DATOS'!E503&amp;"")&lt;&gt;"Pendiente",TRIM('DATOS'!E503&amp;"")&lt;&gt;"Por confirmar",TRIM('DATOS'!E503&amp;"")&lt;&gt;"No consta",TRIM('DATOS'!E503&amp;"")&lt;&gt;"Desconocido",TRIM('DATOS'!E503&amp;"")&lt;&gt;"Sin confirmar",TRIM('DATOS'!E503&amp;"")&lt;&gt;"Por decidir",TRIM('DATOS'!E503&amp;"")&lt;&gt;"Por comprobar")),NOT(AND(LEN(TRIM('DATOS'!F503&amp;""))&gt;0,TRIM('DATOS'!F503&amp;"")&lt;&gt;"Pendiente",TRIM('DATOS'!F503&amp;"")&lt;&gt;"Por confirmar",TRIM('DATOS'!F503&amp;"")&lt;&gt;"No consta",TRIM('DATOS'!F503&amp;"")&lt;&gt;"Desconocido",TRIM('DATOS'!F503&amp;"")&lt;&gt;"Sin confirmar",TRIM('DATOS'!F503&amp;"")&lt;&gt;"Por decidir",TRIM('DATOS'!F503&amp;"")&lt;&gt;"Por comprobar")),NOT(AND(LEN(TRIM('DATOS'!N503&amp;""))&gt;0,TRIM('DATOS'!N503&amp;"")&lt;&gt;"Pendiente",TRIM('DATOS'!N503&amp;"")&lt;&gt;"Por confirmar",TRIM('DATOS'!N503&amp;"")&lt;&gt;"No consta",TRIM('DATOS'!N503&amp;"")&lt;&gt;"Desconocido",TRIM('DATOS'!N503&amp;"")&lt;&gt;"Sin confirmar",TRIM('DATOS'!N503&amp;"")&lt;&gt;"Por decidir",TRIM('DATOS'!N503&amp;"")&lt;&gt;"Por comprobar")),NOT(Y503=1),W503&lt;&gt;1,X503&gt;1,NOT(OR(LEN(TRIM('DATOS'!K503&amp;""))=0,'DATOS'!K503="Sin valorar",'DATOS'!K503="Sin coste documentado",'DATOS'!K503="Incluido en otra partida",'DATOS'!K503="Por confirmar")),NOT(OR(LEN(TRIM('DATOS'!M503&amp;""))=0,'DATOS'!M503="Sí",'DATOS'!M503="No",'DATOS'!M503="Por confirmar")),NOT(OR(LEN(TRIM('DATOS'!O503&amp;""))=0,'DATOS'!O503="Comparamos",'DATOS'!O503="No existe",'DATOS'!O503="Por confirmar"))),2,IF(AND(OR('DATOS'!G503&lt;0,'DATOS'!H503&lt;0,'DATOS'!J503&lt;0),NOT(AND(LEN(TRIM('DATOS'!L503&amp;""))&gt;0,TRIM('DATOS'!L503&amp;"")&lt;&gt;"Pendiente",TRIM('DATOS'!L503&amp;"")&lt;&gt;"Por confirmar",TRIM('DATOS'!L503&amp;"")&lt;&gt;"No consta",TRIM('DATOS'!L503&amp;"")&lt;&gt;"Desconocido",TRIM('DATOS'!L503&amp;"")&lt;&gt;"Sin confirmar",TRIM('DATOS'!L503&amp;"")&lt;&gt;"Por decidir",TRIM('DATOS'!L503&amp;"")&lt;&gt;"Por comprobar"))),1,0))),2)</f>
      </c>
      <c r="P503" s="29">
        <f>IFERROR(IF(N503=0,"",IF(NOT(Y503=1),1,IF('REFERENCIAS'!$Q$8&lt;&gt;1,2,IF(ABS('DATOS'!J503-ROUND('DATOS'!G503*'DATOS'!H503,'REFERENCIAS'!$K$8))&gt;0.00000001,2,IF('DATOS'!O503="No existe",IF(LEN(TRIM('DATOS'!I503&amp;""))=0,0,2),IF('DATOS'!O503="Comparamos",IF(LEN(TRIM('DATOS'!I503&amp;""))=0,1,IF(ISNUMBER('DATOS'!I503),IF(ABS('DATOS'!H503-'DATOS'!I503)&gt;0.00000001,2,0),2)),1)))))),2)</f>
      </c>
      <c r="Q503" s="29">
        <f>IFERROR(IF(N503=0,"",IF(NOT(Y503=1),1,IF('DATOS'!K503="Sin valorar",2,IF('DATOS'!G503=0,1,IF(OR('DATOS'!H503=0,'DATOS'!J503=0),IF(AND(OR('DATOS'!K503="Sin coste documentado",'DATOS'!K503="Incluido en otra partida"),AND(LEN(TRIM('DATOS'!L503&amp;""))&gt;0,TRIM('DATOS'!L503&amp;"")&lt;&gt;"Pendiente",TRIM('DATOS'!L503&amp;"")&lt;&gt;"Por confirmar",TRIM('DATOS'!L503&amp;"")&lt;&gt;"No consta",TRIM('DATOS'!L503&amp;"")&lt;&gt;"Desconocido",TRIM('DATOS'!L503&amp;"")&lt;&gt;"Sin confirmar",TRIM('DATOS'!L503&amp;"")&lt;&gt;"Por decidir",TRIM('DATOS'!L503&amp;"")&lt;&gt;"Por comprobar")),0,1),0))))),2)</f>
      </c>
      <c r="R503" s="29">
        <f>IFERROR(IF(N503=0,"",IF(OR(NOT(AND(LEN(TRIM('DATOS'!D503&amp;""))&gt;0,TRIM('DATOS'!D503&amp;"")&lt;&gt;"Pendiente",TRIM('DATOS'!D503&amp;"")&lt;&gt;"Por confirmar",TRIM('DATOS'!D503&amp;"")&lt;&gt;"No consta",TRIM('DATOS'!D503&amp;"")&lt;&gt;"Desconocido",TRIM('DATOS'!D503&amp;"")&lt;&gt;"Sin confirmar",TRIM('DATOS'!D503&amp;"")&lt;&gt;"Por decidir",TRIM('DATOS'!D503&amp;"")&lt;&gt;"Por comprobar")),NOT(AND(LEN(TRIM('DATOS'!E503&amp;""))&gt;0,TRIM('DATOS'!E503&amp;"")&lt;&gt;"Pendiente",TRIM('DATOS'!E503&amp;"")&lt;&gt;"Por confirmar",TRIM('DATOS'!E503&amp;"")&lt;&gt;"No consta",TRIM('DATOS'!E503&amp;"")&lt;&gt;"Desconocido",TRIM('DATOS'!E503&amp;"")&lt;&gt;"Sin confirmar",TRIM('DATOS'!E503&amp;"")&lt;&gt;"Por decidir",TRIM('DATOS'!E503&amp;"")&lt;&gt;"Por comprobar"))),2,IF('DATOS'!M503="No",2,IF('DATOS'!M503="Sí",0,IF(OR('DATOS'!D503&lt;&gt;'DATOS'!E503,LEN('DATOS'!E503)&gt;300,RIGHT(TRIM('DATOS'!E503),3)="...",RIGHT(TRIM('DATOS'!E503),1)="…"),1,0))))),2)</f>
      </c>
      <c r="S503" s="29">
        <f>IFERROR(IF(N503=0,"",IF('REFERENCIAS'!$Q$8&lt;&gt;1,2,IF(NOT(Y503=1),1,IF(OR(ABS('DATOS'!G503-ROUND('DATOS'!G503,'REFERENCIAS'!$E$8))&gt;0.00000001,ABS('DATOS'!H503-ROUND('DATOS'!H503,'REFERENCIAS'!$H$8))&gt;0.00000001,ABS('DATOS'!J503-ROUND('DATOS'!J503,'REFERENCIAS'!$K$8))&gt;0.00000001,IF(ISNUMBER('DATOS'!I503),ABS('DATOS'!I503-ROUND('DATOS'!I503,'REFERENCIAS'!$H$8))&gt;0.00000001,FALSE)),1,0)))),2)</f>
      </c>
      <c r="T503" s="29">
        <f>IFERROR(IF(N503=0,"",IF(NOT(AND(LEN(TRIM('DATOS'!F503&amp;""))&gt;0,TRIM('DATOS'!F503&amp;"")&lt;&gt;"Pendiente",TRIM('DATOS'!F503&amp;"")&lt;&gt;"Por confirmar",TRIM('DATOS'!F503&amp;"")&lt;&gt;"No consta",TRIM('DATOS'!F503&amp;"")&lt;&gt;"Desconocido",TRIM('DATOS'!F503&amp;"")&lt;&gt;"Sin confirmar",TRIM('DATOS'!F503&amp;"")&lt;&gt;"Por decidir",TRIM('DATOS'!F503&amp;"")&lt;&gt;"Por comprobar")),2,IF(COUNTIFS('REFERENCIAS'!$T$15:$T$34,"ID:"&amp;SUBSTITUTE(SUBSTITUTE(SUBSTITUTE(SUBSTITUTE(UPPER(TRIM('DATOS'!F503&amp;"")),"!","!E"),"*","!A"),"?","!B"),"~","!C"),'REFERENCIAS'!$H$15:$H$34,"&lt;&gt;")&gt;0,0,1))),2)</f>
      </c>
      <c r="U503" s="29" t="str">
        <f>'DATOS'!R503</f>
        <v>ID:</v>
      </c>
      <c r="V503" s="29" t="str">
        <f>'DATOS'!S503</f>
        <v>ID:</v>
      </c>
      <c r="W503" s="29" t="n">
        <f>IF(N503=0,0,COUNTIFS('REFERENCIAS'!$R$15:$R$64,U503))</f>
        <v>0</v>
      </c>
      <c r="X503" s="29" t="n">
        <f>IF(N503=0,0,COUNTIFS('DATOS'!$R$10:$R$509,U503,'DATOS'!$S$10:$S$509,V503))</f>
        <v>0</v>
      </c>
      <c r="Y503" s="29" t="n">
        <f>IF(AND(ISNUMBER('DATOS'!G503),ISNUMBER('DATOS'!H503),ISNUMBER('DATOS'!J503)),1,0)</f>
        <v>0</v>
      </c>
    </row>
    <row r="504" ht="64" customHeight="1">
      <c r="B504" s="26">
        <f>IF(N504=1,495,"")</f>
      </c>
      <c r="C504" s="26">
        <f>IF(AND(N504=1,LEN(TRIM('DATOS'!B504&amp;""))&gt;0),'DATOS'!B504,"")</f>
      </c>
      <c r="D504" s="26">
        <f>IF(AND(N504=1,LEN(TRIM('DATOS'!C504&amp;""))&gt;0),'DATOS'!C504,"")</f>
      </c>
      <c r="E504" s="26">
        <f>IF(NOT(ISNUMBER(P504)),"",IF(P504=2,"ROJO",IF(P504=1,"ÁMBAR","VERDE")))</f>
      </c>
      <c r="F504" s="26">
        <f>IF(NOT(ISNUMBER(Q504)),"",IF(Q504=2,"ROJO",IF(Q504=1,"ÁMBAR","VERDE")))</f>
      </c>
      <c r="G504" s="26">
        <f>IF(NOT(ISNUMBER(R504)),"",IF(R504=2,"ROJO",IF(R504=1,"ÁMBAR","VERDE")))</f>
      </c>
      <c r="H504" s="26">
        <f>IF(NOT(ISNUMBER(S504)),"",IF(S504=2,"ROJO",IF(S504=1,"ÁMBAR","VERDE")))</f>
      </c>
      <c r="I504" s="26">
        <f>IF(NOT(ISNUMBER(T504)),"",IF(T504=2,"ROJO",IF(T504=1,"ÁMBAR","VERDE")))</f>
      </c>
      <c r="J504" s="26">
        <f>IF(NOT(ISNUMBER(O504)),"",IF(O504=2,"ROJO",IF(O504=1,"ÁMBAR","VERDE")))</f>
      </c>
      <c r="K504" s="26">
        <f>IFERROR(IF(AND(N504=1,LEN(TRIM('DATOS'!N504&amp;""))&gt;0),'DATOS'!N504,""),"Hay una entrada con error. Corregimos el dato antes de cerrar la comprobación.")</f>
      </c>
      <c r="L504" s="26">
        <f>IFERROR(IF(N504=0,"",IF(O504&gt;0,"Completamos datos, claves o motivo. ","")&amp;IF(P504&gt;0,"Cotejamos precios e importe. ","")&amp;IF(Q504&gt;0,"Aclaramos el cero. ","")&amp;IF(R504&gt;0,"Comprobamos el texto. ","")&amp;IF(S504&gt;0,"Revisamos decimales visibles. ","")&amp;IF(T504&gt;0,"Confirmamos la unidad.","")),"Hay una entrada con error. Corregimos el dato antes de cerrar la comprobación.")</f>
      </c>
      <c r="N504" s="29" t="n">
        <f>IF(COUNTA('DATOS'!B504:O504)&gt;0,1,0)</f>
        <v>0</v>
      </c>
      <c r="O504" s="29">
        <f>IFERROR(IF(N504=0,"",IF(OR(NOT(AND(LEN(TRIM('DATOS'!B504&amp;""))&gt;0,TRIM('DATOS'!B504&amp;"")&lt;&gt;"Pendiente",TRIM('DATOS'!B504&amp;"")&lt;&gt;"Por confirmar",TRIM('DATOS'!B504&amp;"")&lt;&gt;"No consta",TRIM('DATOS'!B504&amp;"")&lt;&gt;"Desconocido",TRIM('DATOS'!B504&amp;"")&lt;&gt;"Sin confirmar",TRIM('DATOS'!B504&amp;"")&lt;&gt;"Por decidir",TRIM('DATOS'!B504&amp;"")&lt;&gt;"Por comprobar")),NOT(AND(LEN(TRIM('DATOS'!C504&amp;""))&gt;0,TRIM('DATOS'!C504&amp;"")&lt;&gt;"Pendiente",TRIM('DATOS'!C504&amp;"")&lt;&gt;"Por confirmar",TRIM('DATOS'!C504&amp;"")&lt;&gt;"No consta",TRIM('DATOS'!C504&amp;"")&lt;&gt;"Desconocido",TRIM('DATOS'!C504&amp;"")&lt;&gt;"Sin confirmar",TRIM('DATOS'!C504&amp;"")&lt;&gt;"Por decidir",TRIM('DATOS'!C504&amp;"")&lt;&gt;"Por comprobar")),NOT(AND(LEN(TRIM('DATOS'!D504&amp;""))&gt;0,TRIM('DATOS'!D504&amp;"")&lt;&gt;"Pendiente",TRIM('DATOS'!D504&amp;"")&lt;&gt;"Por confirmar",TRIM('DATOS'!D504&amp;"")&lt;&gt;"No consta",TRIM('DATOS'!D504&amp;"")&lt;&gt;"Desconocido",TRIM('DATOS'!D504&amp;"")&lt;&gt;"Sin confirmar",TRIM('DATOS'!D504&amp;"")&lt;&gt;"Por decidir",TRIM('DATOS'!D504&amp;"")&lt;&gt;"Por comprobar")),NOT(AND(LEN(TRIM('DATOS'!E504&amp;""))&gt;0,TRIM('DATOS'!E504&amp;"")&lt;&gt;"Pendiente",TRIM('DATOS'!E504&amp;"")&lt;&gt;"Por confirmar",TRIM('DATOS'!E504&amp;"")&lt;&gt;"No consta",TRIM('DATOS'!E504&amp;"")&lt;&gt;"Desconocido",TRIM('DATOS'!E504&amp;"")&lt;&gt;"Sin confirmar",TRIM('DATOS'!E504&amp;"")&lt;&gt;"Por decidir",TRIM('DATOS'!E504&amp;"")&lt;&gt;"Por comprobar")),NOT(AND(LEN(TRIM('DATOS'!F504&amp;""))&gt;0,TRIM('DATOS'!F504&amp;"")&lt;&gt;"Pendiente",TRIM('DATOS'!F504&amp;"")&lt;&gt;"Por confirmar",TRIM('DATOS'!F504&amp;"")&lt;&gt;"No consta",TRIM('DATOS'!F504&amp;"")&lt;&gt;"Desconocido",TRIM('DATOS'!F504&amp;"")&lt;&gt;"Sin confirmar",TRIM('DATOS'!F504&amp;"")&lt;&gt;"Por decidir",TRIM('DATOS'!F504&amp;"")&lt;&gt;"Por comprobar")),NOT(AND(LEN(TRIM('DATOS'!N504&amp;""))&gt;0,TRIM('DATOS'!N504&amp;"")&lt;&gt;"Pendiente",TRIM('DATOS'!N504&amp;"")&lt;&gt;"Por confirmar",TRIM('DATOS'!N504&amp;"")&lt;&gt;"No consta",TRIM('DATOS'!N504&amp;"")&lt;&gt;"Desconocido",TRIM('DATOS'!N504&amp;"")&lt;&gt;"Sin confirmar",TRIM('DATOS'!N504&amp;"")&lt;&gt;"Por decidir",TRIM('DATOS'!N504&amp;"")&lt;&gt;"Por comprobar")),NOT(Y504=1),W504&lt;&gt;1,X504&gt;1,NOT(OR(LEN(TRIM('DATOS'!K504&amp;""))=0,'DATOS'!K504="Sin valorar",'DATOS'!K504="Sin coste documentado",'DATOS'!K504="Incluido en otra partida",'DATOS'!K504="Por confirmar")),NOT(OR(LEN(TRIM('DATOS'!M504&amp;""))=0,'DATOS'!M504="Sí",'DATOS'!M504="No",'DATOS'!M504="Por confirmar")),NOT(OR(LEN(TRIM('DATOS'!O504&amp;""))=0,'DATOS'!O504="Comparamos",'DATOS'!O504="No existe",'DATOS'!O504="Por confirmar"))),2,IF(AND(OR('DATOS'!G504&lt;0,'DATOS'!H504&lt;0,'DATOS'!J504&lt;0),NOT(AND(LEN(TRIM('DATOS'!L504&amp;""))&gt;0,TRIM('DATOS'!L504&amp;"")&lt;&gt;"Pendiente",TRIM('DATOS'!L504&amp;"")&lt;&gt;"Por confirmar",TRIM('DATOS'!L504&amp;"")&lt;&gt;"No consta",TRIM('DATOS'!L504&amp;"")&lt;&gt;"Desconocido",TRIM('DATOS'!L504&amp;"")&lt;&gt;"Sin confirmar",TRIM('DATOS'!L504&amp;"")&lt;&gt;"Por decidir",TRIM('DATOS'!L504&amp;"")&lt;&gt;"Por comprobar"))),1,0))),2)</f>
      </c>
      <c r="P504" s="29">
        <f>IFERROR(IF(N504=0,"",IF(NOT(Y504=1),1,IF('REFERENCIAS'!$Q$8&lt;&gt;1,2,IF(ABS('DATOS'!J504-ROUND('DATOS'!G504*'DATOS'!H504,'REFERENCIAS'!$K$8))&gt;0.00000001,2,IF('DATOS'!O504="No existe",IF(LEN(TRIM('DATOS'!I504&amp;""))=0,0,2),IF('DATOS'!O504="Comparamos",IF(LEN(TRIM('DATOS'!I504&amp;""))=0,1,IF(ISNUMBER('DATOS'!I504),IF(ABS('DATOS'!H504-'DATOS'!I504)&gt;0.00000001,2,0),2)),1)))))),2)</f>
      </c>
      <c r="Q504" s="29">
        <f>IFERROR(IF(N504=0,"",IF(NOT(Y504=1),1,IF('DATOS'!K504="Sin valorar",2,IF('DATOS'!G504=0,1,IF(OR('DATOS'!H504=0,'DATOS'!J504=0),IF(AND(OR('DATOS'!K504="Sin coste documentado",'DATOS'!K504="Incluido en otra partida"),AND(LEN(TRIM('DATOS'!L504&amp;""))&gt;0,TRIM('DATOS'!L504&amp;"")&lt;&gt;"Pendiente",TRIM('DATOS'!L504&amp;"")&lt;&gt;"Por confirmar",TRIM('DATOS'!L504&amp;"")&lt;&gt;"No consta",TRIM('DATOS'!L504&amp;"")&lt;&gt;"Desconocido",TRIM('DATOS'!L504&amp;"")&lt;&gt;"Sin confirmar",TRIM('DATOS'!L504&amp;"")&lt;&gt;"Por decidir",TRIM('DATOS'!L504&amp;"")&lt;&gt;"Por comprobar")),0,1),0))))),2)</f>
      </c>
      <c r="R504" s="29">
        <f>IFERROR(IF(N504=0,"",IF(OR(NOT(AND(LEN(TRIM('DATOS'!D504&amp;""))&gt;0,TRIM('DATOS'!D504&amp;"")&lt;&gt;"Pendiente",TRIM('DATOS'!D504&amp;"")&lt;&gt;"Por confirmar",TRIM('DATOS'!D504&amp;"")&lt;&gt;"No consta",TRIM('DATOS'!D504&amp;"")&lt;&gt;"Desconocido",TRIM('DATOS'!D504&amp;"")&lt;&gt;"Sin confirmar",TRIM('DATOS'!D504&amp;"")&lt;&gt;"Por decidir",TRIM('DATOS'!D504&amp;"")&lt;&gt;"Por comprobar")),NOT(AND(LEN(TRIM('DATOS'!E504&amp;""))&gt;0,TRIM('DATOS'!E504&amp;"")&lt;&gt;"Pendiente",TRIM('DATOS'!E504&amp;"")&lt;&gt;"Por confirmar",TRIM('DATOS'!E504&amp;"")&lt;&gt;"No consta",TRIM('DATOS'!E504&amp;"")&lt;&gt;"Desconocido",TRIM('DATOS'!E504&amp;"")&lt;&gt;"Sin confirmar",TRIM('DATOS'!E504&amp;"")&lt;&gt;"Por decidir",TRIM('DATOS'!E504&amp;"")&lt;&gt;"Por comprobar"))),2,IF('DATOS'!M504="No",2,IF('DATOS'!M504="Sí",0,IF(OR('DATOS'!D504&lt;&gt;'DATOS'!E504,LEN('DATOS'!E504)&gt;300,RIGHT(TRIM('DATOS'!E504),3)="...",RIGHT(TRIM('DATOS'!E504),1)="…"),1,0))))),2)</f>
      </c>
      <c r="S504" s="29">
        <f>IFERROR(IF(N504=0,"",IF('REFERENCIAS'!$Q$8&lt;&gt;1,2,IF(NOT(Y504=1),1,IF(OR(ABS('DATOS'!G504-ROUND('DATOS'!G504,'REFERENCIAS'!$E$8))&gt;0.00000001,ABS('DATOS'!H504-ROUND('DATOS'!H504,'REFERENCIAS'!$H$8))&gt;0.00000001,ABS('DATOS'!J504-ROUND('DATOS'!J504,'REFERENCIAS'!$K$8))&gt;0.00000001,IF(ISNUMBER('DATOS'!I504),ABS('DATOS'!I504-ROUND('DATOS'!I504,'REFERENCIAS'!$H$8))&gt;0.00000001,FALSE)),1,0)))),2)</f>
      </c>
      <c r="T504" s="29">
        <f>IFERROR(IF(N504=0,"",IF(NOT(AND(LEN(TRIM('DATOS'!F504&amp;""))&gt;0,TRIM('DATOS'!F504&amp;"")&lt;&gt;"Pendiente",TRIM('DATOS'!F504&amp;"")&lt;&gt;"Por confirmar",TRIM('DATOS'!F504&amp;"")&lt;&gt;"No consta",TRIM('DATOS'!F504&amp;"")&lt;&gt;"Desconocido",TRIM('DATOS'!F504&amp;"")&lt;&gt;"Sin confirmar",TRIM('DATOS'!F504&amp;"")&lt;&gt;"Por decidir",TRIM('DATOS'!F504&amp;"")&lt;&gt;"Por comprobar")),2,IF(COUNTIFS('REFERENCIAS'!$T$15:$T$34,"ID:"&amp;SUBSTITUTE(SUBSTITUTE(SUBSTITUTE(SUBSTITUTE(UPPER(TRIM('DATOS'!F504&amp;"")),"!","!E"),"*","!A"),"?","!B"),"~","!C"),'REFERENCIAS'!$H$15:$H$34,"&lt;&gt;")&gt;0,0,1))),2)</f>
      </c>
      <c r="U504" s="29" t="str">
        <f>'DATOS'!R504</f>
        <v>ID:</v>
      </c>
      <c r="V504" s="29" t="str">
        <f>'DATOS'!S504</f>
        <v>ID:</v>
      </c>
      <c r="W504" s="29" t="n">
        <f>IF(N504=0,0,COUNTIFS('REFERENCIAS'!$R$15:$R$64,U504))</f>
        <v>0</v>
      </c>
      <c r="X504" s="29" t="n">
        <f>IF(N504=0,0,COUNTIFS('DATOS'!$R$10:$R$509,U504,'DATOS'!$S$10:$S$509,V504))</f>
        <v>0</v>
      </c>
      <c r="Y504" s="29" t="n">
        <f>IF(AND(ISNUMBER('DATOS'!G504),ISNUMBER('DATOS'!H504),ISNUMBER('DATOS'!J504)),1,0)</f>
        <v>0</v>
      </c>
    </row>
    <row r="505" ht="64" customHeight="1">
      <c r="B505" s="26">
        <f>IF(N505=1,496,"")</f>
      </c>
      <c r="C505" s="26">
        <f>IF(AND(N505=1,LEN(TRIM('DATOS'!B505&amp;""))&gt;0),'DATOS'!B505,"")</f>
      </c>
      <c r="D505" s="26">
        <f>IF(AND(N505=1,LEN(TRIM('DATOS'!C505&amp;""))&gt;0),'DATOS'!C505,"")</f>
      </c>
      <c r="E505" s="26">
        <f>IF(NOT(ISNUMBER(P505)),"",IF(P505=2,"ROJO",IF(P505=1,"ÁMBAR","VERDE")))</f>
      </c>
      <c r="F505" s="26">
        <f>IF(NOT(ISNUMBER(Q505)),"",IF(Q505=2,"ROJO",IF(Q505=1,"ÁMBAR","VERDE")))</f>
      </c>
      <c r="G505" s="26">
        <f>IF(NOT(ISNUMBER(R505)),"",IF(R505=2,"ROJO",IF(R505=1,"ÁMBAR","VERDE")))</f>
      </c>
      <c r="H505" s="26">
        <f>IF(NOT(ISNUMBER(S505)),"",IF(S505=2,"ROJO",IF(S505=1,"ÁMBAR","VERDE")))</f>
      </c>
      <c r="I505" s="26">
        <f>IF(NOT(ISNUMBER(T505)),"",IF(T505=2,"ROJO",IF(T505=1,"ÁMBAR","VERDE")))</f>
      </c>
      <c r="J505" s="26">
        <f>IF(NOT(ISNUMBER(O505)),"",IF(O505=2,"ROJO",IF(O505=1,"ÁMBAR","VERDE")))</f>
      </c>
      <c r="K505" s="26">
        <f>IFERROR(IF(AND(N505=1,LEN(TRIM('DATOS'!N505&amp;""))&gt;0),'DATOS'!N505,""),"Hay una entrada con error. Corregimos el dato antes de cerrar la comprobación.")</f>
      </c>
      <c r="L505" s="26">
        <f>IFERROR(IF(N505=0,"",IF(O505&gt;0,"Completamos datos, claves o motivo. ","")&amp;IF(P505&gt;0,"Cotejamos precios e importe. ","")&amp;IF(Q505&gt;0,"Aclaramos el cero. ","")&amp;IF(R505&gt;0,"Comprobamos el texto. ","")&amp;IF(S505&gt;0,"Revisamos decimales visibles. ","")&amp;IF(T505&gt;0,"Confirmamos la unidad.","")),"Hay una entrada con error. Corregimos el dato antes de cerrar la comprobación.")</f>
      </c>
      <c r="N505" s="29" t="n">
        <f>IF(COUNTA('DATOS'!B505:O505)&gt;0,1,0)</f>
        <v>0</v>
      </c>
      <c r="O505" s="29">
        <f>IFERROR(IF(N505=0,"",IF(OR(NOT(AND(LEN(TRIM('DATOS'!B505&amp;""))&gt;0,TRIM('DATOS'!B505&amp;"")&lt;&gt;"Pendiente",TRIM('DATOS'!B505&amp;"")&lt;&gt;"Por confirmar",TRIM('DATOS'!B505&amp;"")&lt;&gt;"No consta",TRIM('DATOS'!B505&amp;"")&lt;&gt;"Desconocido",TRIM('DATOS'!B505&amp;"")&lt;&gt;"Sin confirmar",TRIM('DATOS'!B505&amp;"")&lt;&gt;"Por decidir",TRIM('DATOS'!B505&amp;"")&lt;&gt;"Por comprobar")),NOT(AND(LEN(TRIM('DATOS'!C505&amp;""))&gt;0,TRIM('DATOS'!C505&amp;"")&lt;&gt;"Pendiente",TRIM('DATOS'!C505&amp;"")&lt;&gt;"Por confirmar",TRIM('DATOS'!C505&amp;"")&lt;&gt;"No consta",TRIM('DATOS'!C505&amp;"")&lt;&gt;"Desconocido",TRIM('DATOS'!C505&amp;"")&lt;&gt;"Sin confirmar",TRIM('DATOS'!C505&amp;"")&lt;&gt;"Por decidir",TRIM('DATOS'!C505&amp;"")&lt;&gt;"Por comprobar")),NOT(AND(LEN(TRIM('DATOS'!D505&amp;""))&gt;0,TRIM('DATOS'!D505&amp;"")&lt;&gt;"Pendiente",TRIM('DATOS'!D505&amp;"")&lt;&gt;"Por confirmar",TRIM('DATOS'!D505&amp;"")&lt;&gt;"No consta",TRIM('DATOS'!D505&amp;"")&lt;&gt;"Desconocido",TRIM('DATOS'!D505&amp;"")&lt;&gt;"Sin confirmar",TRIM('DATOS'!D505&amp;"")&lt;&gt;"Por decidir",TRIM('DATOS'!D505&amp;"")&lt;&gt;"Por comprobar")),NOT(AND(LEN(TRIM('DATOS'!E505&amp;""))&gt;0,TRIM('DATOS'!E505&amp;"")&lt;&gt;"Pendiente",TRIM('DATOS'!E505&amp;"")&lt;&gt;"Por confirmar",TRIM('DATOS'!E505&amp;"")&lt;&gt;"No consta",TRIM('DATOS'!E505&amp;"")&lt;&gt;"Desconocido",TRIM('DATOS'!E505&amp;"")&lt;&gt;"Sin confirmar",TRIM('DATOS'!E505&amp;"")&lt;&gt;"Por decidir",TRIM('DATOS'!E505&amp;"")&lt;&gt;"Por comprobar")),NOT(AND(LEN(TRIM('DATOS'!F505&amp;""))&gt;0,TRIM('DATOS'!F505&amp;"")&lt;&gt;"Pendiente",TRIM('DATOS'!F505&amp;"")&lt;&gt;"Por confirmar",TRIM('DATOS'!F505&amp;"")&lt;&gt;"No consta",TRIM('DATOS'!F505&amp;"")&lt;&gt;"Desconocido",TRIM('DATOS'!F505&amp;"")&lt;&gt;"Sin confirmar",TRIM('DATOS'!F505&amp;"")&lt;&gt;"Por decidir",TRIM('DATOS'!F505&amp;"")&lt;&gt;"Por comprobar")),NOT(AND(LEN(TRIM('DATOS'!N505&amp;""))&gt;0,TRIM('DATOS'!N505&amp;"")&lt;&gt;"Pendiente",TRIM('DATOS'!N505&amp;"")&lt;&gt;"Por confirmar",TRIM('DATOS'!N505&amp;"")&lt;&gt;"No consta",TRIM('DATOS'!N505&amp;"")&lt;&gt;"Desconocido",TRIM('DATOS'!N505&amp;"")&lt;&gt;"Sin confirmar",TRIM('DATOS'!N505&amp;"")&lt;&gt;"Por decidir",TRIM('DATOS'!N505&amp;"")&lt;&gt;"Por comprobar")),NOT(Y505=1),W505&lt;&gt;1,X505&gt;1,NOT(OR(LEN(TRIM('DATOS'!K505&amp;""))=0,'DATOS'!K505="Sin valorar",'DATOS'!K505="Sin coste documentado",'DATOS'!K505="Incluido en otra partida",'DATOS'!K505="Por confirmar")),NOT(OR(LEN(TRIM('DATOS'!M505&amp;""))=0,'DATOS'!M505="Sí",'DATOS'!M505="No",'DATOS'!M505="Por confirmar")),NOT(OR(LEN(TRIM('DATOS'!O505&amp;""))=0,'DATOS'!O505="Comparamos",'DATOS'!O505="No existe",'DATOS'!O505="Por confirmar"))),2,IF(AND(OR('DATOS'!G505&lt;0,'DATOS'!H505&lt;0,'DATOS'!J505&lt;0),NOT(AND(LEN(TRIM('DATOS'!L505&amp;""))&gt;0,TRIM('DATOS'!L505&amp;"")&lt;&gt;"Pendiente",TRIM('DATOS'!L505&amp;"")&lt;&gt;"Por confirmar",TRIM('DATOS'!L505&amp;"")&lt;&gt;"No consta",TRIM('DATOS'!L505&amp;"")&lt;&gt;"Desconocido",TRIM('DATOS'!L505&amp;"")&lt;&gt;"Sin confirmar",TRIM('DATOS'!L505&amp;"")&lt;&gt;"Por decidir",TRIM('DATOS'!L505&amp;"")&lt;&gt;"Por comprobar"))),1,0))),2)</f>
      </c>
      <c r="P505" s="29">
        <f>IFERROR(IF(N505=0,"",IF(NOT(Y505=1),1,IF('REFERENCIAS'!$Q$8&lt;&gt;1,2,IF(ABS('DATOS'!J505-ROUND('DATOS'!G505*'DATOS'!H505,'REFERENCIAS'!$K$8))&gt;0.00000001,2,IF('DATOS'!O505="No existe",IF(LEN(TRIM('DATOS'!I505&amp;""))=0,0,2),IF('DATOS'!O505="Comparamos",IF(LEN(TRIM('DATOS'!I505&amp;""))=0,1,IF(ISNUMBER('DATOS'!I505),IF(ABS('DATOS'!H505-'DATOS'!I505)&gt;0.00000001,2,0),2)),1)))))),2)</f>
      </c>
      <c r="Q505" s="29">
        <f>IFERROR(IF(N505=0,"",IF(NOT(Y505=1),1,IF('DATOS'!K505="Sin valorar",2,IF('DATOS'!G505=0,1,IF(OR('DATOS'!H505=0,'DATOS'!J505=0),IF(AND(OR('DATOS'!K505="Sin coste documentado",'DATOS'!K505="Incluido en otra partida"),AND(LEN(TRIM('DATOS'!L505&amp;""))&gt;0,TRIM('DATOS'!L505&amp;"")&lt;&gt;"Pendiente",TRIM('DATOS'!L505&amp;"")&lt;&gt;"Por confirmar",TRIM('DATOS'!L505&amp;"")&lt;&gt;"No consta",TRIM('DATOS'!L505&amp;"")&lt;&gt;"Desconocido",TRIM('DATOS'!L505&amp;"")&lt;&gt;"Sin confirmar",TRIM('DATOS'!L505&amp;"")&lt;&gt;"Por decidir",TRIM('DATOS'!L505&amp;"")&lt;&gt;"Por comprobar")),0,1),0))))),2)</f>
      </c>
      <c r="R505" s="29">
        <f>IFERROR(IF(N505=0,"",IF(OR(NOT(AND(LEN(TRIM('DATOS'!D505&amp;""))&gt;0,TRIM('DATOS'!D505&amp;"")&lt;&gt;"Pendiente",TRIM('DATOS'!D505&amp;"")&lt;&gt;"Por confirmar",TRIM('DATOS'!D505&amp;"")&lt;&gt;"No consta",TRIM('DATOS'!D505&amp;"")&lt;&gt;"Desconocido",TRIM('DATOS'!D505&amp;"")&lt;&gt;"Sin confirmar",TRIM('DATOS'!D505&amp;"")&lt;&gt;"Por decidir",TRIM('DATOS'!D505&amp;"")&lt;&gt;"Por comprobar")),NOT(AND(LEN(TRIM('DATOS'!E505&amp;""))&gt;0,TRIM('DATOS'!E505&amp;"")&lt;&gt;"Pendiente",TRIM('DATOS'!E505&amp;"")&lt;&gt;"Por confirmar",TRIM('DATOS'!E505&amp;"")&lt;&gt;"No consta",TRIM('DATOS'!E505&amp;"")&lt;&gt;"Desconocido",TRIM('DATOS'!E505&amp;"")&lt;&gt;"Sin confirmar",TRIM('DATOS'!E505&amp;"")&lt;&gt;"Por decidir",TRIM('DATOS'!E505&amp;"")&lt;&gt;"Por comprobar"))),2,IF('DATOS'!M505="No",2,IF('DATOS'!M505="Sí",0,IF(OR('DATOS'!D505&lt;&gt;'DATOS'!E505,LEN('DATOS'!E505)&gt;300,RIGHT(TRIM('DATOS'!E505),3)="...",RIGHT(TRIM('DATOS'!E505),1)="…"),1,0))))),2)</f>
      </c>
      <c r="S505" s="29">
        <f>IFERROR(IF(N505=0,"",IF('REFERENCIAS'!$Q$8&lt;&gt;1,2,IF(NOT(Y505=1),1,IF(OR(ABS('DATOS'!G505-ROUND('DATOS'!G505,'REFERENCIAS'!$E$8))&gt;0.00000001,ABS('DATOS'!H505-ROUND('DATOS'!H505,'REFERENCIAS'!$H$8))&gt;0.00000001,ABS('DATOS'!J505-ROUND('DATOS'!J505,'REFERENCIAS'!$K$8))&gt;0.00000001,IF(ISNUMBER('DATOS'!I505),ABS('DATOS'!I505-ROUND('DATOS'!I505,'REFERENCIAS'!$H$8))&gt;0.00000001,FALSE)),1,0)))),2)</f>
      </c>
      <c r="T505" s="29">
        <f>IFERROR(IF(N505=0,"",IF(NOT(AND(LEN(TRIM('DATOS'!F505&amp;""))&gt;0,TRIM('DATOS'!F505&amp;"")&lt;&gt;"Pendiente",TRIM('DATOS'!F505&amp;"")&lt;&gt;"Por confirmar",TRIM('DATOS'!F505&amp;"")&lt;&gt;"No consta",TRIM('DATOS'!F505&amp;"")&lt;&gt;"Desconocido",TRIM('DATOS'!F505&amp;"")&lt;&gt;"Sin confirmar",TRIM('DATOS'!F505&amp;"")&lt;&gt;"Por decidir",TRIM('DATOS'!F505&amp;"")&lt;&gt;"Por comprobar")),2,IF(COUNTIFS('REFERENCIAS'!$T$15:$T$34,"ID:"&amp;SUBSTITUTE(SUBSTITUTE(SUBSTITUTE(SUBSTITUTE(UPPER(TRIM('DATOS'!F505&amp;"")),"!","!E"),"*","!A"),"?","!B"),"~","!C"),'REFERENCIAS'!$H$15:$H$34,"&lt;&gt;")&gt;0,0,1))),2)</f>
      </c>
      <c r="U505" s="29" t="str">
        <f>'DATOS'!R505</f>
        <v>ID:</v>
      </c>
      <c r="V505" s="29" t="str">
        <f>'DATOS'!S505</f>
        <v>ID:</v>
      </c>
      <c r="W505" s="29" t="n">
        <f>IF(N505=0,0,COUNTIFS('REFERENCIAS'!$R$15:$R$64,U505))</f>
        <v>0</v>
      </c>
      <c r="X505" s="29" t="n">
        <f>IF(N505=0,0,COUNTIFS('DATOS'!$R$10:$R$509,U505,'DATOS'!$S$10:$S$509,V505))</f>
        <v>0</v>
      </c>
      <c r="Y505" s="29" t="n">
        <f>IF(AND(ISNUMBER('DATOS'!G505),ISNUMBER('DATOS'!H505),ISNUMBER('DATOS'!J505)),1,0)</f>
        <v>0</v>
      </c>
    </row>
    <row r="506" ht="64" customHeight="1">
      <c r="B506" s="26">
        <f>IF(N506=1,497,"")</f>
      </c>
      <c r="C506" s="26">
        <f>IF(AND(N506=1,LEN(TRIM('DATOS'!B506&amp;""))&gt;0),'DATOS'!B506,"")</f>
      </c>
      <c r="D506" s="26">
        <f>IF(AND(N506=1,LEN(TRIM('DATOS'!C506&amp;""))&gt;0),'DATOS'!C506,"")</f>
      </c>
      <c r="E506" s="26">
        <f>IF(NOT(ISNUMBER(P506)),"",IF(P506=2,"ROJO",IF(P506=1,"ÁMBAR","VERDE")))</f>
      </c>
      <c r="F506" s="26">
        <f>IF(NOT(ISNUMBER(Q506)),"",IF(Q506=2,"ROJO",IF(Q506=1,"ÁMBAR","VERDE")))</f>
      </c>
      <c r="G506" s="26">
        <f>IF(NOT(ISNUMBER(R506)),"",IF(R506=2,"ROJO",IF(R506=1,"ÁMBAR","VERDE")))</f>
      </c>
      <c r="H506" s="26">
        <f>IF(NOT(ISNUMBER(S506)),"",IF(S506=2,"ROJO",IF(S506=1,"ÁMBAR","VERDE")))</f>
      </c>
      <c r="I506" s="26">
        <f>IF(NOT(ISNUMBER(T506)),"",IF(T506=2,"ROJO",IF(T506=1,"ÁMBAR","VERDE")))</f>
      </c>
      <c r="J506" s="26">
        <f>IF(NOT(ISNUMBER(O506)),"",IF(O506=2,"ROJO",IF(O506=1,"ÁMBAR","VERDE")))</f>
      </c>
      <c r="K506" s="26">
        <f>IFERROR(IF(AND(N506=1,LEN(TRIM('DATOS'!N506&amp;""))&gt;0),'DATOS'!N506,""),"Hay una entrada con error. Corregimos el dato antes de cerrar la comprobación.")</f>
      </c>
      <c r="L506" s="26">
        <f>IFERROR(IF(N506=0,"",IF(O506&gt;0,"Completamos datos, claves o motivo. ","")&amp;IF(P506&gt;0,"Cotejamos precios e importe. ","")&amp;IF(Q506&gt;0,"Aclaramos el cero. ","")&amp;IF(R506&gt;0,"Comprobamos el texto. ","")&amp;IF(S506&gt;0,"Revisamos decimales visibles. ","")&amp;IF(T506&gt;0,"Confirmamos la unidad.","")),"Hay una entrada con error. Corregimos el dato antes de cerrar la comprobación.")</f>
      </c>
      <c r="N506" s="29" t="n">
        <f>IF(COUNTA('DATOS'!B506:O506)&gt;0,1,0)</f>
        <v>0</v>
      </c>
      <c r="O506" s="29">
        <f>IFERROR(IF(N506=0,"",IF(OR(NOT(AND(LEN(TRIM('DATOS'!B506&amp;""))&gt;0,TRIM('DATOS'!B506&amp;"")&lt;&gt;"Pendiente",TRIM('DATOS'!B506&amp;"")&lt;&gt;"Por confirmar",TRIM('DATOS'!B506&amp;"")&lt;&gt;"No consta",TRIM('DATOS'!B506&amp;"")&lt;&gt;"Desconocido",TRIM('DATOS'!B506&amp;"")&lt;&gt;"Sin confirmar",TRIM('DATOS'!B506&amp;"")&lt;&gt;"Por decidir",TRIM('DATOS'!B506&amp;"")&lt;&gt;"Por comprobar")),NOT(AND(LEN(TRIM('DATOS'!C506&amp;""))&gt;0,TRIM('DATOS'!C506&amp;"")&lt;&gt;"Pendiente",TRIM('DATOS'!C506&amp;"")&lt;&gt;"Por confirmar",TRIM('DATOS'!C506&amp;"")&lt;&gt;"No consta",TRIM('DATOS'!C506&amp;"")&lt;&gt;"Desconocido",TRIM('DATOS'!C506&amp;"")&lt;&gt;"Sin confirmar",TRIM('DATOS'!C506&amp;"")&lt;&gt;"Por decidir",TRIM('DATOS'!C506&amp;"")&lt;&gt;"Por comprobar")),NOT(AND(LEN(TRIM('DATOS'!D506&amp;""))&gt;0,TRIM('DATOS'!D506&amp;"")&lt;&gt;"Pendiente",TRIM('DATOS'!D506&amp;"")&lt;&gt;"Por confirmar",TRIM('DATOS'!D506&amp;"")&lt;&gt;"No consta",TRIM('DATOS'!D506&amp;"")&lt;&gt;"Desconocido",TRIM('DATOS'!D506&amp;"")&lt;&gt;"Sin confirmar",TRIM('DATOS'!D506&amp;"")&lt;&gt;"Por decidir",TRIM('DATOS'!D506&amp;"")&lt;&gt;"Por comprobar")),NOT(AND(LEN(TRIM('DATOS'!E506&amp;""))&gt;0,TRIM('DATOS'!E506&amp;"")&lt;&gt;"Pendiente",TRIM('DATOS'!E506&amp;"")&lt;&gt;"Por confirmar",TRIM('DATOS'!E506&amp;"")&lt;&gt;"No consta",TRIM('DATOS'!E506&amp;"")&lt;&gt;"Desconocido",TRIM('DATOS'!E506&amp;"")&lt;&gt;"Sin confirmar",TRIM('DATOS'!E506&amp;"")&lt;&gt;"Por decidir",TRIM('DATOS'!E506&amp;"")&lt;&gt;"Por comprobar")),NOT(AND(LEN(TRIM('DATOS'!F506&amp;""))&gt;0,TRIM('DATOS'!F506&amp;"")&lt;&gt;"Pendiente",TRIM('DATOS'!F506&amp;"")&lt;&gt;"Por confirmar",TRIM('DATOS'!F506&amp;"")&lt;&gt;"No consta",TRIM('DATOS'!F506&amp;"")&lt;&gt;"Desconocido",TRIM('DATOS'!F506&amp;"")&lt;&gt;"Sin confirmar",TRIM('DATOS'!F506&amp;"")&lt;&gt;"Por decidir",TRIM('DATOS'!F506&amp;"")&lt;&gt;"Por comprobar")),NOT(AND(LEN(TRIM('DATOS'!N506&amp;""))&gt;0,TRIM('DATOS'!N506&amp;"")&lt;&gt;"Pendiente",TRIM('DATOS'!N506&amp;"")&lt;&gt;"Por confirmar",TRIM('DATOS'!N506&amp;"")&lt;&gt;"No consta",TRIM('DATOS'!N506&amp;"")&lt;&gt;"Desconocido",TRIM('DATOS'!N506&amp;"")&lt;&gt;"Sin confirmar",TRIM('DATOS'!N506&amp;"")&lt;&gt;"Por decidir",TRIM('DATOS'!N506&amp;"")&lt;&gt;"Por comprobar")),NOT(Y506=1),W506&lt;&gt;1,X506&gt;1,NOT(OR(LEN(TRIM('DATOS'!K506&amp;""))=0,'DATOS'!K506="Sin valorar",'DATOS'!K506="Sin coste documentado",'DATOS'!K506="Incluido en otra partida",'DATOS'!K506="Por confirmar")),NOT(OR(LEN(TRIM('DATOS'!M506&amp;""))=0,'DATOS'!M506="Sí",'DATOS'!M506="No",'DATOS'!M506="Por confirmar")),NOT(OR(LEN(TRIM('DATOS'!O506&amp;""))=0,'DATOS'!O506="Comparamos",'DATOS'!O506="No existe",'DATOS'!O506="Por confirmar"))),2,IF(AND(OR('DATOS'!G506&lt;0,'DATOS'!H506&lt;0,'DATOS'!J506&lt;0),NOT(AND(LEN(TRIM('DATOS'!L506&amp;""))&gt;0,TRIM('DATOS'!L506&amp;"")&lt;&gt;"Pendiente",TRIM('DATOS'!L506&amp;"")&lt;&gt;"Por confirmar",TRIM('DATOS'!L506&amp;"")&lt;&gt;"No consta",TRIM('DATOS'!L506&amp;"")&lt;&gt;"Desconocido",TRIM('DATOS'!L506&amp;"")&lt;&gt;"Sin confirmar",TRIM('DATOS'!L506&amp;"")&lt;&gt;"Por decidir",TRIM('DATOS'!L506&amp;"")&lt;&gt;"Por comprobar"))),1,0))),2)</f>
      </c>
      <c r="P506" s="29">
        <f>IFERROR(IF(N506=0,"",IF(NOT(Y506=1),1,IF('REFERENCIAS'!$Q$8&lt;&gt;1,2,IF(ABS('DATOS'!J506-ROUND('DATOS'!G506*'DATOS'!H506,'REFERENCIAS'!$K$8))&gt;0.00000001,2,IF('DATOS'!O506="No existe",IF(LEN(TRIM('DATOS'!I506&amp;""))=0,0,2),IF('DATOS'!O506="Comparamos",IF(LEN(TRIM('DATOS'!I506&amp;""))=0,1,IF(ISNUMBER('DATOS'!I506),IF(ABS('DATOS'!H506-'DATOS'!I506)&gt;0.00000001,2,0),2)),1)))))),2)</f>
      </c>
      <c r="Q506" s="29">
        <f>IFERROR(IF(N506=0,"",IF(NOT(Y506=1),1,IF('DATOS'!K506="Sin valorar",2,IF('DATOS'!G506=0,1,IF(OR('DATOS'!H506=0,'DATOS'!J506=0),IF(AND(OR('DATOS'!K506="Sin coste documentado",'DATOS'!K506="Incluido en otra partida"),AND(LEN(TRIM('DATOS'!L506&amp;""))&gt;0,TRIM('DATOS'!L506&amp;"")&lt;&gt;"Pendiente",TRIM('DATOS'!L506&amp;"")&lt;&gt;"Por confirmar",TRIM('DATOS'!L506&amp;"")&lt;&gt;"No consta",TRIM('DATOS'!L506&amp;"")&lt;&gt;"Desconocido",TRIM('DATOS'!L506&amp;"")&lt;&gt;"Sin confirmar",TRIM('DATOS'!L506&amp;"")&lt;&gt;"Por decidir",TRIM('DATOS'!L506&amp;"")&lt;&gt;"Por comprobar")),0,1),0))))),2)</f>
      </c>
      <c r="R506" s="29">
        <f>IFERROR(IF(N506=0,"",IF(OR(NOT(AND(LEN(TRIM('DATOS'!D506&amp;""))&gt;0,TRIM('DATOS'!D506&amp;"")&lt;&gt;"Pendiente",TRIM('DATOS'!D506&amp;"")&lt;&gt;"Por confirmar",TRIM('DATOS'!D506&amp;"")&lt;&gt;"No consta",TRIM('DATOS'!D506&amp;"")&lt;&gt;"Desconocido",TRIM('DATOS'!D506&amp;"")&lt;&gt;"Sin confirmar",TRIM('DATOS'!D506&amp;"")&lt;&gt;"Por decidir",TRIM('DATOS'!D506&amp;"")&lt;&gt;"Por comprobar")),NOT(AND(LEN(TRIM('DATOS'!E506&amp;""))&gt;0,TRIM('DATOS'!E506&amp;"")&lt;&gt;"Pendiente",TRIM('DATOS'!E506&amp;"")&lt;&gt;"Por confirmar",TRIM('DATOS'!E506&amp;"")&lt;&gt;"No consta",TRIM('DATOS'!E506&amp;"")&lt;&gt;"Desconocido",TRIM('DATOS'!E506&amp;"")&lt;&gt;"Sin confirmar",TRIM('DATOS'!E506&amp;"")&lt;&gt;"Por decidir",TRIM('DATOS'!E506&amp;"")&lt;&gt;"Por comprobar"))),2,IF('DATOS'!M506="No",2,IF('DATOS'!M506="Sí",0,IF(OR('DATOS'!D506&lt;&gt;'DATOS'!E506,LEN('DATOS'!E506)&gt;300,RIGHT(TRIM('DATOS'!E506),3)="...",RIGHT(TRIM('DATOS'!E506),1)="…"),1,0))))),2)</f>
      </c>
      <c r="S506" s="29">
        <f>IFERROR(IF(N506=0,"",IF('REFERENCIAS'!$Q$8&lt;&gt;1,2,IF(NOT(Y506=1),1,IF(OR(ABS('DATOS'!G506-ROUND('DATOS'!G506,'REFERENCIAS'!$E$8))&gt;0.00000001,ABS('DATOS'!H506-ROUND('DATOS'!H506,'REFERENCIAS'!$H$8))&gt;0.00000001,ABS('DATOS'!J506-ROUND('DATOS'!J506,'REFERENCIAS'!$K$8))&gt;0.00000001,IF(ISNUMBER('DATOS'!I506),ABS('DATOS'!I506-ROUND('DATOS'!I506,'REFERENCIAS'!$H$8))&gt;0.00000001,FALSE)),1,0)))),2)</f>
      </c>
      <c r="T506" s="29">
        <f>IFERROR(IF(N506=0,"",IF(NOT(AND(LEN(TRIM('DATOS'!F506&amp;""))&gt;0,TRIM('DATOS'!F506&amp;"")&lt;&gt;"Pendiente",TRIM('DATOS'!F506&amp;"")&lt;&gt;"Por confirmar",TRIM('DATOS'!F506&amp;"")&lt;&gt;"No consta",TRIM('DATOS'!F506&amp;"")&lt;&gt;"Desconocido",TRIM('DATOS'!F506&amp;"")&lt;&gt;"Sin confirmar",TRIM('DATOS'!F506&amp;"")&lt;&gt;"Por decidir",TRIM('DATOS'!F506&amp;"")&lt;&gt;"Por comprobar")),2,IF(COUNTIFS('REFERENCIAS'!$T$15:$T$34,"ID:"&amp;SUBSTITUTE(SUBSTITUTE(SUBSTITUTE(SUBSTITUTE(UPPER(TRIM('DATOS'!F506&amp;"")),"!","!E"),"*","!A"),"?","!B"),"~","!C"),'REFERENCIAS'!$H$15:$H$34,"&lt;&gt;")&gt;0,0,1))),2)</f>
      </c>
      <c r="U506" s="29" t="str">
        <f>'DATOS'!R506</f>
        <v>ID:</v>
      </c>
      <c r="V506" s="29" t="str">
        <f>'DATOS'!S506</f>
        <v>ID:</v>
      </c>
      <c r="W506" s="29" t="n">
        <f>IF(N506=0,0,COUNTIFS('REFERENCIAS'!$R$15:$R$64,U506))</f>
        <v>0</v>
      </c>
      <c r="X506" s="29" t="n">
        <f>IF(N506=0,0,COUNTIFS('DATOS'!$R$10:$R$509,U506,'DATOS'!$S$10:$S$509,V506))</f>
        <v>0</v>
      </c>
      <c r="Y506" s="29" t="n">
        <f>IF(AND(ISNUMBER('DATOS'!G506),ISNUMBER('DATOS'!H506),ISNUMBER('DATOS'!J506)),1,0)</f>
        <v>0</v>
      </c>
    </row>
    <row r="507" ht="64" customHeight="1">
      <c r="B507" s="26">
        <f>IF(N507=1,498,"")</f>
      </c>
      <c r="C507" s="26">
        <f>IF(AND(N507=1,LEN(TRIM('DATOS'!B507&amp;""))&gt;0),'DATOS'!B507,"")</f>
      </c>
      <c r="D507" s="26">
        <f>IF(AND(N507=1,LEN(TRIM('DATOS'!C507&amp;""))&gt;0),'DATOS'!C507,"")</f>
      </c>
      <c r="E507" s="26">
        <f>IF(NOT(ISNUMBER(P507)),"",IF(P507=2,"ROJO",IF(P507=1,"ÁMBAR","VERDE")))</f>
      </c>
      <c r="F507" s="26">
        <f>IF(NOT(ISNUMBER(Q507)),"",IF(Q507=2,"ROJO",IF(Q507=1,"ÁMBAR","VERDE")))</f>
      </c>
      <c r="G507" s="26">
        <f>IF(NOT(ISNUMBER(R507)),"",IF(R507=2,"ROJO",IF(R507=1,"ÁMBAR","VERDE")))</f>
      </c>
      <c r="H507" s="26">
        <f>IF(NOT(ISNUMBER(S507)),"",IF(S507=2,"ROJO",IF(S507=1,"ÁMBAR","VERDE")))</f>
      </c>
      <c r="I507" s="26">
        <f>IF(NOT(ISNUMBER(T507)),"",IF(T507=2,"ROJO",IF(T507=1,"ÁMBAR","VERDE")))</f>
      </c>
      <c r="J507" s="26">
        <f>IF(NOT(ISNUMBER(O507)),"",IF(O507=2,"ROJO",IF(O507=1,"ÁMBAR","VERDE")))</f>
      </c>
      <c r="K507" s="26">
        <f>IFERROR(IF(AND(N507=1,LEN(TRIM('DATOS'!N507&amp;""))&gt;0),'DATOS'!N507,""),"Hay una entrada con error. Corregimos el dato antes de cerrar la comprobación.")</f>
      </c>
      <c r="L507" s="26">
        <f>IFERROR(IF(N507=0,"",IF(O507&gt;0,"Completamos datos, claves o motivo. ","")&amp;IF(P507&gt;0,"Cotejamos precios e importe. ","")&amp;IF(Q507&gt;0,"Aclaramos el cero. ","")&amp;IF(R507&gt;0,"Comprobamos el texto. ","")&amp;IF(S507&gt;0,"Revisamos decimales visibles. ","")&amp;IF(T507&gt;0,"Confirmamos la unidad.","")),"Hay una entrada con error. Corregimos el dato antes de cerrar la comprobación.")</f>
      </c>
      <c r="N507" s="29" t="n">
        <f>IF(COUNTA('DATOS'!B507:O507)&gt;0,1,0)</f>
        <v>0</v>
      </c>
      <c r="O507" s="29">
        <f>IFERROR(IF(N507=0,"",IF(OR(NOT(AND(LEN(TRIM('DATOS'!B507&amp;""))&gt;0,TRIM('DATOS'!B507&amp;"")&lt;&gt;"Pendiente",TRIM('DATOS'!B507&amp;"")&lt;&gt;"Por confirmar",TRIM('DATOS'!B507&amp;"")&lt;&gt;"No consta",TRIM('DATOS'!B507&amp;"")&lt;&gt;"Desconocido",TRIM('DATOS'!B507&amp;"")&lt;&gt;"Sin confirmar",TRIM('DATOS'!B507&amp;"")&lt;&gt;"Por decidir",TRIM('DATOS'!B507&amp;"")&lt;&gt;"Por comprobar")),NOT(AND(LEN(TRIM('DATOS'!C507&amp;""))&gt;0,TRIM('DATOS'!C507&amp;"")&lt;&gt;"Pendiente",TRIM('DATOS'!C507&amp;"")&lt;&gt;"Por confirmar",TRIM('DATOS'!C507&amp;"")&lt;&gt;"No consta",TRIM('DATOS'!C507&amp;"")&lt;&gt;"Desconocido",TRIM('DATOS'!C507&amp;"")&lt;&gt;"Sin confirmar",TRIM('DATOS'!C507&amp;"")&lt;&gt;"Por decidir",TRIM('DATOS'!C507&amp;"")&lt;&gt;"Por comprobar")),NOT(AND(LEN(TRIM('DATOS'!D507&amp;""))&gt;0,TRIM('DATOS'!D507&amp;"")&lt;&gt;"Pendiente",TRIM('DATOS'!D507&amp;"")&lt;&gt;"Por confirmar",TRIM('DATOS'!D507&amp;"")&lt;&gt;"No consta",TRIM('DATOS'!D507&amp;"")&lt;&gt;"Desconocido",TRIM('DATOS'!D507&amp;"")&lt;&gt;"Sin confirmar",TRIM('DATOS'!D507&amp;"")&lt;&gt;"Por decidir",TRIM('DATOS'!D507&amp;"")&lt;&gt;"Por comprobar")),NOT(AND(LEN(TRIM('DATOS'!E507&amp;""))&gt;0,TRIM('DATOS'!E507&amp;"")&lt;&gt;"Pendiente",TRIM('DATOS'!E507&amp;"")&lt;&gt;"Por confirmar",TRIM('DATOS'!E507&amp;"")&lt;&gt;"No consta",TRIM('DATOS'!E507&amp;"")&lt;&gt;"Desconocido",TRIM('DATOS'!E507&amp;"")&lt;&gt;"Sin confirmar",TRIM('DATOS'!E507&amp;"")&lt;&gt;"Por decidir",TRIM('DATOS'!E507&amp;"")&lt;&gt;"Por comprobar")),NOT(AND(LEN(TRIM('DATOS'!F507&amp;""))&gt;0,TRIM('DATOS'!F507&amp;"")&lt;&gt;"Pendiente",TRIM('DATOS'!F507&amp;"")&lt;&gt;"Por confirmar",TRIM('DATOS'!F507&amp;"")&lt;&gt;"No consta",TRIM('DATOS'!F507&amp;"")&lt;&gt;"Desconocido",TRIM('DATOS'!F507&amp;"")&lt;&gt;"Sin confirmar",TRIM('DATOS'!F507&amp;"")&lt;&gt;"Por decidir",TRIM('DATOS'!F507&amp;"")&lt;&gt;"Por comprobar")),NOT(AND(LEN(TRIM('DATOS'!N507&amp;""))&gt;0,TRIM('DATOS'!N507&amp;"")&lt;&gt;"Pendiente",TRIM('DATOS'!N507&amp;"")&lt;&gt;"Por confirmar",TRIM('DATOS'!N507&amp;"")&lt;&gt;"No consta",TRIM('DATOS'!N507&amp;"")&lt;&gt;"Desconocido",TRIM('DATOS'!N507&amp;"")&lt;&gt;"Sin confirmar",TRIM('DATOS'!N507&amp;"")&lt;&gt;"Por decidir",TRIM('DATOS'!N507&amp;"")&lt;&gt;"Por comprobar")),NOT(Y507=1),W507&lt;&gt;1,X507&gt;1,NOT(OR(LEN(TRIM('DATOS'!K507&amp;""))=0,'DATOS'!K507="Sin valorar",'DATOS'!K507="Sin coste documentado",'DATOS'!K507="Incluido en otra partida",'DATOS'!K507="Por confirmar")),NOT(OR(LEN(TRIM('DATOS'!M507&amp;""))=0,'DATOS'!M507="Sí",'DATOS'!M507="No",'DATOS'!M507="Por confirmar")),NOT(OR(LEN(TRIM('DATOS'!O507&amp;""))=0,'DATOS'!O507="Comparamos",'DATOS'!O507="No existe",'DATOS'!O507="Por confirmar"))),2,IF(AND(OR('DATOS'!G507&lt;0,'DATOS'!H507&lt;0,'DATOS'!J507&lt;0),NOT(AND(LEN(TRIM('DATOS'!L507&amp;""))&gt;0,TRIM('DATOS'!L507&amp;"")&lt;&gt;"Pendiente",TRIM('DATOS'!L507&amp;"")&lt;&gt;"Por confirmar",TRIM('DATOS'!L507&amp;"")&lt;&gt;"No consta",TRIM('DATOS'!L507&amp;"")&lt;&gt;"Desconocido",TRIM('DATOS'!L507&amp;"")&lt;&gt;"Sin confirmar",TRIM('DATOS'!L507&amp;"")&lt;&gt;"Por decidir",TRIM('DATOS'!L507&amp;"")&lt;&gt;"Por comprobar"))),1,0))),2)</f>
      </c>
      <c r="P507" s="29">
        <f>IFERROR(IF(N507=0,"",IF(NOT(Y507=1),1,IF('REFERENCIAS'!$Q$8&lt;&gt;1,2,IF(ABS('DATOS'!J507-ROUND('DATOS'!G507*'DATOS'!H507,'REFERENCIAS'!$K$8))&gt;0.00000001,2,IF('DATOS'!O507="No existe",IF(LEN(TRIM('DATOS'!I507&amp;""))=0,0,2),IF('DATOS'!O507="Comparamos",IF(LEN(TRIM('DATOS'!I507&amp;""))=0,1,IF(ISNUMBER('DATOS'!I507),IF(ABS('DATOS'!H507-'DATOS'!I507)&gt;0.00000001,2,0),2)),1)))))),2)</f>
      </c>
      <c r="Q507" s="29">
        <f>IFERROR(IF(N507=0,"",IF(NOT(Y507=1),1,IF('DATOS'!K507="Sin valorar",2,IF('DATOS'!G507=0,1,IF(OR('DATOS'!H507=0,'DATOS'!J507=0),IF(AND(OR('DATOS'!K507="Sin coste documentado",'DATOS'!K507="Incluido en otra partida"),AND(LEN(TRIM('DATOS'!L507&amp;""))&gt;0,TRIM('DATOS'!L507&amp;"")&lt;&gt;"Pendiente",TRIM('DATOS'!L507&amp;"")&lt;&gt;"Por confirmar",TRIM('DATOS'!L507&amp;"")&lt;&gt;"No consta",TRIM('DATOS'!L507&amp;"")&lt;&gt;"Desconocido",TRIM('DATOS'!L507&amp;"")&lt;&gt;"Sin confirmar",TRIM('DATOS'!L507&amp;"")&lt;&gt;"Por decidir",TRIM('DATOS'!L507&amp;"")&lt;&gt;"Por comprobar")),0,1),0))))),2)</f>
      </c>
      <c r="R507" s="29">
        <f>IFERROR(IF(N507=0,"",IF(OR(NOT(AND(LEN(TRIM('DATOS'!D507&amp;""))&gt;0,TRIM('DATOS'!D507&amp;"")&lt;&gt;"Pendiente",TRIM('DATOS'!D507&amp;"")&lt;&gt;"Por confirmar",TRIM('DATOS'!D507&amp;"")&lt;&gt;"No consta",TRIM('DATOS'!D507&amp;"")&lt;&gt;"Desconocido",TRIM('DATOS'!D507&amp;"")&lt;&gt;"Sin confirmar",TRIM('DATOS'!D507&amp;"")&lt;&gt;"Por decidir",TRIM('DATOS'!D507&amp;"")&lt;&gt;"Por comprobar")),NOT(AND(LEN(TRIM('DATOS'!E507&amp;""))&gt;0,TRIM('DATOS'!E507&amp;"")&lt;&gt;"Pendiente",TRIM('DATOS'!E507&amp;"")&lt;&gt;"Por confirmar",TRIM('DATOS'!E507&amp;"")&lt;&gt;"No consta",TRIM('DATOS'!E507&amp;"")&lt;&gt;"Desconocido",TRIM('DATOS'!E507&amp;"")&lt;&gt;"Sin confirmar",TRIM('DATOS'!E507&amp;"")&lt;&gt;"Por decidir",TRIM('DATOS'!E507&amp;"")&lt;&gt;"Por comprobar"))),2,IF('DATOS'!M507="No",2,IF('DATOS'!M507="Sí",0,IF(OR('DATOS'!D507&lt;&gt;'DATOS'!E507,LEN('DATOS'!E507)&gt;300,RIGHT(TRIM('DATOS'!E507),3)="...",RIGHT(TRIM('DATOS'!E507),1)="…"),1,0))))),2)</f>
      </c>
      <c r="S507" s="29">
        <f>IFERROR(IF(N507=0,"",IF('REFERENCIAS'!$Q$8&lt;&gt;1,2,IF(NOT(Y507=1),1,IF(OR(ABS('DATOS'!G507-ROUND('DATOS'!G507,'REFERENCIAS'!$E$8))&gt;0.00000001,ABS('DATOS'!H507-ROUND('DATOS'!H507,'REFERENCIAS'!$H$8))&gt;0.00000001,ABS('DATOS'!J507-ROUND('DATOS'!J507,'REFERENCIAS'!$K$8))&gt;0.00000001,IF(ISNUMBER('DATOS'!I507),ABS('DATOS'!I507-ROUND('DATOS'!I507,'REFERENCIAS'!$H$8))&gt;0.00000001,FALSE)),1,0)))),2)</f>
      </c>
      <c r="T507" s="29">
        <f>IFERROR(IF(N507=0,"",IF(NOT(AND(LEN(TRIM('DATOS'!F507&amp;""))&gt;0,TRIM('DATOS'!F507&amp;"")&lt;&gt;"Pendiente",TRIM('DATOS'!F507&amp;"")&lt;&gt;"Por confirmar",TRIM('DATOS'!F507&amp;"")&lt;&gt;"No consta",TRIM('DATOS'!F507&amp;"")&lt;&gt;"Desconocido",TRIM('DATOS'!F507&amp;"")&lt;&gt;"Sin confirmar",TRIM('DATOS'!F507&amp;"")&lt;&gt;"Por decidir",TRIM('DATOS'!F507&amp;"")&lt;&gt;"Por comprobar")),2,IF(COUNTIFS('REFERENCIAS'!$T$15:$T$34,"ID:"&amp;SUBSTITUTE(SUBSTITUTE(SUBSTITUTE(SUBSTITUTE(UPPER(TRIM('DATOS'!F507&amp;"")),"!","!E"),"*","!A"),"?","!B"),"~","!C"),'REFERENCIAS'!$H$15:$H$34,"&lt;&gt;")&gt;0,0,1))),2)</f>
      </c>
      <c r="U507" s="29" t="str">
        <f>'DATOS'!R507</f>
        <v>ID:</v>
      </c>
      <c r="V507" s="29" t="str">
        <f>'DATOS'!S507</f>
        <v>ID:</v>
      </c>
      <c r="W507" s="29" t="n">
        <f>IF(N507=0,0,COUNTIFS('REFERENCIAS'!$R$15:$R$64,U507))</f>
        <v>0</v>
      </c>
      <c r="X507" s="29" t="n">
        <f>IF(N507=0,0,COUNTIFS('DATOS'!$R$10:$R$509,U507,'DATOS'!$S$10:$S$509,V507))</f>
        <v>0</v>
      </c>
      <c r="Y507" s="29" t="n">
        <f>IF(AND(ISNUMBER('DATOS'!G507),ISNUMBER('DATOS'!H507),ISNUMBER('DATOS'!J507)),1,0)</f>
        <v>0</v>
      </c>
    </row>
    <row r="508" ht="64" customHeight="1">
      <c r="B508" s="26">
        <f>IF(N508=1,499,"")</f>
      </c>
      <c r="C508" s="26">
        <f>IF(AND(N508=1,LEN(TRIM('DATOS'!B508&amp;""))&gt;0),'DATOS'!B508,"")</f>
      </c>
      <c r="D508" s="26">
        <f>IF(AND(N508=1,LEN(TRIM('DATOS'!C508&amp;""))&gt;0),'DATOS'!C508,"")</f>
      </c>
      <c r="E508" s="26">
        <f>IF(NOT(ISNUMBER(P508)),"",IF(P508=2,"ROJO",IF(P508=1,"ÁMBAR","VERDE")))</f>
      </c>
      <c r="F508" s="26">
        <f>IF(NOT(ISNUMBER(Q508)),"",IF(Q508=2,"ROJO",IF(Q508=1,"ÁMBAR","VERDE")))</f>
      </c>
      <c r="G508" s="26">
        <f>IF(NOT(ISNUMBER(R508)),"",IF(R508=2,"ROJO",IF(R508=1,"ÁMBAR","VERDE")))</f>
      </c>
      <c r="H508" s="26">
        <f>IF(NOT(ISNUMBER(S508)),"",IF(S508=2,"ROJO",IF(S508=1,"ÁMBAR","VERDE")))</f>
      </c>
      <c r="I508" s="26">
        <f>IF(NOT(ISNUMBER(T508)),"",IF(T508=2,"ROJO",IF(T508=1,"ÁMBAR","VERDE")))</f>
      </c>
      <c r="J508" s="26">
        <f>IF(NOT(ISNUMBER(O508)),"",IF(O508=2,"ROJO",IF(O508=1,"ÁMBAR","VERDE")))</f>
      </c>
      <c r="K508" s="26">
        <f>IFERROR(IF(AND(N508=1,LEN(TRIM('DATOS'!N508&amp;""))&gt;0),'DATOS'!N508,""),"Hay una entrada con error. Corregimos el dato antes de cerrar la comprobación.")</f>
      </c>
      <c r="L508" s="26">
        <f>IFERROR(IF(N508=0,"",IF(O508&gt;0,"Completamos datos, claves o motivo. ","")&amp;IF(P508&gt;0,"Cotejamos precios e importe. ","")&amp;IF(Q508&gt;0,"Aclaramos el cero. ","")&amp;IF(R508&gt;0,"Comprobamos el texto. ","")&amp;IF(S508&gt;0,"Revisamos decimales visibles. ","")&amp;IF(T508&gt;0,"Confirmamos la unidad.","")),"Hay una entrada con error. Corregimos el dato antes de cerrar la comprobación.")</f>
      </c>
      <c r="N508" s="29" t="n">
        <f>IF(COUNTA('DATOS'!B508:O508)&gt;0,1,0)</f>
        <v>0</v>
      </c>
      <c r="O508" s="29">
        <f>IFERROR(IF(N508=0,"",IF(OR(NOT(AND(LEN(TRIM('DATOS'!B508&amp;""))&gt;0,TRIM('DATOS'!B508&amp;"")&lt;&gt;"Pendiente",TRIM('DATOS'!B508&amp;"")&lt;&gt;"Por confirmar",TRIM('DATOS'!B508&amp;"")&lt;&gt;"No consta",TRIM('DATOS'!B508&amp;"")&lt;&gt;"Desconocido",TRIM('DATOS'!B508&amp;"")&lt;&gt;"Sin confirmar",TRIM('DATOS'!B508&amp;"")&lt;&gt;"Por decidir",TRIM('DATOS'!B508&amp;"")&lt;&gt;"Por comprobar")),NOT(AND(LEN(TRIM('DATOS'!C508&amp;""))&gt;0,TRIM('DATOS'!C508&amp;"")&lt;&gt;"Pendiente",TRIM('DATOS'!C508&amp;"")&lt;&gt;"Por confirmar",TRIM('DATOS'!C508&amp;"")&lt;&gt;"No consta",TRIM('DATOS'!C508&amp;"")&lt;&gt;"Desconocido",TRIM('DATOS'!C508&amp;"")&lt;&gt;"Sin confirmar",TRIM('DATOS'!C508&amp;"")&lt;&gt;"Por decidir",TRIM('DATOS'!C508&amp;"")&lt;&gt;"Por comprobar")),NOT(AND(LEN(TRIM('DATOS'!D508&amp;""))&gt;0,TRIM('DATOS'!D508&amp;"")&lt;&gt;"Pendiente",TRIM('DATOS'!D508&amp;"")&lt;&gt;"Por confirmar",TRIM('DATOS'!D508&amp;"")&lt;&gt;"No consta",TRIM('DATOS'!D508&amp;"")&lt;&gt;"Desconocido",TRIM('DATOS'!D508&amp;"")&lt;&gt;"Sin confirmar",TRIM('DATOS'!D508&amp;"")&lt;&gt;"Por decidir",TRIM('DATOS'!D508&amp;"")&lt;&gt;"Por comprobar")),NOT(AND(LEN(TRIM('DATOS'!E508&amp;""))&gt;0,TRIM('DATOS'!E508&amp;"")&lt;&gt;"Pendiente",TRIM('DATOS'!E508&amp;"")&lt;&gt;"Por confirmar",TRIM('DATOS'!E508&amp;"")&lt;&gt;"No consta",TRIM('DATOS'!E508&amp;"")&lt;&gt;"Desconocido",TRIM('DATOS'!E508&amp;"")&lt;&gt;"Sin confirmar",TRIM('DATOS'!E508&amp;"")&lt;&gt;"Por decidir",TRIM('DATOS'!E508&amp;"")&lt;&gt;"Por comprobar")),NOT(AND(LEN(TRIM('DATOS'!F508&amp;""))&gt;0,TRIM('DATOS'!F508&amp;"")&lt;&gt;"Pendiente",TRIM('DATOS'!F508&amp;"")&lt;&gt;"Por confirmar",TRIM('DATOS'!F508&amp;"")&lt;&gt;"No consta",TRIM('DATOS'!F508&amp;"")&lt;&gt;"Desconocido",TRIM('DATOS'!F508&amp;"")&lt;&gt;"Sin confirmar",TRIM('DATOS'!F508&amp;"")&lt;&gt;"Por decidir",TRIM('DATOS'!F508&amp;"")&lt;&gt;"Por comprobar")),NOT(AND(LEN(TRIM('DATOS'!N508&amp;""))&gt;0,TRIM('DATOS'!N508&amp;"")&lt;&gt;"Pendiente",TRIM('DATOS'!N508&amp;"")&lt;&gt;"Por confirmar",TRIM('DATOS'!N508&amp;"")&lt;&gt;"No consta",TRIM('DATOS'!N508&amp;"")&lt;&gt;"Desconocido",TRIM('DATOS'!N508&amp;"")&lt;&gt;"Sin confirmar",TRIM('DATOS'!N508&amp;"")&lt;&gt;"Por decidir",TRIM('DATOS'!N508&amp;"")&lt;&gt;"Por comprobar")),NOT(Y508=1),W508&lt;&gt;1,X508&gt;1,NOT(OR(LEN(TRIM('DATOS'!K508&amp;""))=0,'DATOS'!K508="Sin valorar",'DATOS'!K508="Sin coste documentado",'DATOS'!K508="Incluido en otra partida",'DATOS'!K508="Por confirmar")),NOT(OR(LEN(TRIM('DATOS'!M508&amp;""))=0,'DATOS'!M508="Sí",'DATOS'!M508="No",'DATOS'!M508="Por confirmar")),NOT(OR(LEN(TRIM('DATOS'!O508&amp;""))=0,'DATOS'!O508="Comparamos",'DATOS'!O508="No existe",'DATOS'!O508="Por confirmar"))),2,IF(AND(OR('DATOS'!G508&lt;0,'DATOS'!H508&lt;0,'DATOS'!J508&lt;0),NOT(AND(LEN(TRIM('DATOS'!L508&amp;""))&gt;0,TRIM('DATOS'!L508&amp;"")&lt;&gt;"Pendiente",TRIM('DATOS'!L508&amp;"")&lt;&gt;"Por confirmar",TRIM('DATOS'!L508&amp;"")&lt;&gt;"No consta",TRIM('DATOS'!L508&amp;"")&lt;&gt;"Desconocido",TRIM('DATOS'!L508&amp;"")&lt;&gt;"Sin confirmar",TRIM('DATOS'!L508&amp;"")&lt;&gt;"Por decidir",TRIM('DATOS'!L508&amp;"")&lt;&gt;"Por comprobar"))),1,0))),2)</f>
      </c>
      <c r="P508" s="29">
        <f>IFERROR(IF(N508=0,"",IF(NOT(Y508=1),1,IF('REFERENCIAS'!$Q$8&lt;&gt;1,2,IF(ABS('DATOS'!J508-ROUND('DATOS'!G508*'DATOS'!H508,'REFERENCIAS'!$K$8))&gt;0.00000001,2,IF('DATOS'!O508="No existe",IF(LEN(TRIM('DATOS'!I508&amp;""))=0,0,2),IF('DATOS'!O508="Comparamos",IF(LEN(TRIM('DATOS'!I508&amp;""))=0,1,IF(ISNUMBER('DATOS'!I508),IF(ABS('DATOS'!H508-'DATOS'!I508)&gt;0.00000001,2,0),2)),1)))))),2)</f>
      </c>
      <c r="Q508" s="29">
        <f>IFERROR(IF(N508=0,"",IF(NOT(Y508=1),1,IF('DATOS'!K508="Sin valorar",2,IF('DATOS'!G508=0,1,IF(OR('DATOS'!H508=0,'DATOS'!J508=0),IF(AND(OR('DATOS'!K508="Sin coste documentado",'DATOS'!K508="Incluido en otra partida"),AND(LEN(TRIM('DATOS'!L508&amp;""))&gt;0,TRIM('DATOS'!L508&amp;"")&lt;&gt;"Pendiente",TRIM('DATOS'!L508&amp;"")&lt;&gt;"Por confirmar",TRIM('DATOS'!L508&amp;"")&lt;&gt;"No consta",TRIM('DATOS'!L508&amp;"")&lt;&gt;"Desconocido",TRIM('DATOS'!L508&amp;"")&lt;&gt;"Sin confirmar",TRIM('DATOS'!L508&amp;"")&lt;&gt;"Por decidir",TRIM('DATOS'!L508&amp;"")&lt;&gt;"Por comprobar")),0,1),0))))),2)</f>
      </c>
      <c r="R508" s="29">
        <f>IFERROR(IF(N508=0,"",IF(OR(NOT(AND(LEN(TRIM('DATOS'!D508&amp;""))&gt;0,TRIM('DATOS'!D508&amp;"")&lt;&gt;"Pendiente",TRIM('DATOS'!D508&amp;"")&lt;&gt;"Por confirmar",TRIM('DATOS'!D508&amp;"")&lt;&gt;"No consta",TRIM('DATOS'!D508&amp;"")&lt;&gt;"Desconocido",TRIM('DATOS'!D508&amp;"")&lt;&gt;"Sin confirmar",TRIM('DATOS'!D508&amp;"")&lt;&gt;"Por decidir",TRIM('DATOS'!D508&amp;"")&lt;&gt;"Por comprobar")),NOT(AND(LEN(TRIM('DATOS'!E508&amp;""))&gt;0,TRIM('DATOS'!E508&amp;"")&lt;&gt;"Pendiente",TRIM('DATOS'!E508&amp;"")&lt;&gt;"Por confirmar",TRIM('DATOS'!E508&amp;"")&lt;&gt;"No consta",TRIM('DATOS'!E508&amp;"")&lt;&gt;"Desconocido",TRIM('DATOS'!E508&amp;"")&lt;&gt;"Sin confirmar",TRIM('DATOS'!E508&amp;"")&lt;&gt;"Por decidir",TRIM('DATOS'!E508&amp;"")&lt;&gt;"Por comprobar"))),2,IF('DATOS'!M508="No",2,IF('DATOS'!M508="Sí",0,IF(OR('DATOS'!D508&lt;&gt;'DATOS'!E508,LEN('DATOS'!E508)&gt;300,RIGHT(TRIM('DATOS'!E508),3)="...",RIGHT(TRIM('DATOS'!E508),1)="…"),1,0))))),2)</f>
      </c>
      <c r="S508" s="29">
        <f>IFERROR(IF(N508=0,"",IF('REFERENCIAS'!$Q$8&lt;&gt;1,2,IF(NOT(Y508=1),1,IF(OR(ABS('DATOS'!G508-ROUND('DATOS'!G508,'REFERENCIAS'!$E$8))&gt;0.00000001,ABS('DATOS'!H508-ROUND('DATOS'!H508,'REFERENCIAS'!$H$8))&gt;0.00000001,ABS('DATOS'!J508-ROUND('DATOS'!J508,'REFERENCIAS'!$K$8))&gt;0.00000001,IF(ISNUMBER('DATOS'!I508),ABS('DATOS'!I508-ROUND('DATOS'!I508,'REFERENCIAS'!$H$8))&gt;0.00000001,FALSE)),1,0)))),2)</f>
      </c>
      <c r="T508" s="29">
        <f>IFERROR(IF(N508=0,"",IF(NOT(AND(LEN(TRIM('DATOS'!F508&amp;""))&gt;0,TRIM('DATOS'!F508&amp;"")&lt;&gt;"Pendiente",TRIM('DATOS'!F508&amp;"")&lt;&gt;"Por confirmar",TRIM('DATOS'!F508&amp;"")&lt;&gt;"No consta",TRIM('DATOS'!F508&amp;"")&lt;&gt;"Desconocido",TRIM('DATOS'!F508&amp;"")&lt;&gt;"Sin confirmar",TRIM('DATOS'!F508&amp;"")&lt;&gt;"Por decidir",TRIM('DATOS'!F508&amp;"")&lt;&gt;"Por comprobar")),2,IF(COUNTIFS('REFERENCIAS'!$T$15:$T$34,"ID:"&amp;SUBSTITUTE(SUBSTITUTE(SUBSTITUTE(SUBSTITUTE(UPPER(TRIM('DATOS'!F508&amp;"")),"!","!E"),"*","!A"),"?","!B"),"~","!C"),'REFERENCIAS'!$H$15:$H$34,"&lt;&gt;")&gt;0,0,1))),2)</f>
      </c>
      <c r="U508" s="29" t="str">
        <f>'DATOS'!R508</f>
        <v>ID:</v>
      </c>
      <c r="V508" s="29" t="str">
        <f>'DATOS'!S508</f>
        <v>ID:</v>
      </c>
      <c r="W508" s="29" t="n">
        <f>IF(N508=0,0,COUNTIFS('REFERENCIAS'!$R$15:$R$64,U508))</f>
        <v>0</v>
      </c>
      <c r="X508" s="29" t="n">
        <f>IF(N508=0,0,COUNTIFS('DATOS'!$R$10:$R$509,U508,'DATOS'!$S$10:$S$509,V508))</f>
        <v>0</v>
      </c>
      <c r="Y508" s="29" t="n">
        <f>IF(AND(ISNUMBER('DATOS'!G508),ISNUMBER('DATOS'!H508),ISNUMBER('DATOS'!J508)),1,0)</f>
        <v>0</v>
      </c>
    </row>
    <row r="509" ht="64" customHeight="1">
      <c r="B509" s="26">
        <f>IF(N509=1,500,"")</f>
      </c>
      <c r="C509" s="26">
        <f>IF(AND(N509=1,LEN(TRIM('DATOS'!B509&amp;""))&gt;0),'DATOS'!B509,"")</f>
      </c>
      <c r="D509" s="26">
        <f>IF(AND(N509=1,LEN(TRIM('DATOS'!C509&amp;""))&gt;0),'DATOS'!C509,"")</f>
      </c>
      <c r="E509" s="26">
        <f>IF(NOT(ISNUMBER(P509)),"",IF(P509=2,"ROJO",IF(P509=1,"ÁMBAR","VERDE")))</f>
      </c>
      <c r="F509" s="26">
        <f>IF(NOT(ISNUMBER(Q509)),"",IF(Q509=2,"ROJO",IF(Q509=1,"ÁMBAR","VERDE")))</f>
      </c>
      <c r="G509" s="26">
        <f>IF(NOT(ISNUMBER(R509)),"",IF(R509=2,"ROJO",IF(R509=1,"ÁMBAR","VERDE")))</f>
      </c>
      <c r="H509" s="26">
        <f>IF(NOT(ISNUMBER(S509)),"",IF(S509=2,"ROJO",IF(S509=1,"ÁMBAR","VERDE")))</f>
      </c>
      <c r="I509" s="26">
        <f>IF(NOT(ISNUMBER(T509)),"",IF(T509=2,"ROJO",IF(T509=1,"ÁMBAR","VERDE")))</f>
      </c>
      <c r="J509" s="26">
        <f>IF(NOT(ISNUMBER(O509)),"",IF(O509=2,"ROJO",IF(O509=1,"ÁMBAR","VERDE")))</f>
      </c>
      <c r="K509" s="26">
        <f>IFERROR(IF(AND(N509=1,LEN(TRIM('DATOS'!N509&amp;""))&gt;0),'DATOS'!N509,""),"Hay una entrada con error. Corregimos el dato antes de cerrar la comprobación.")</f>
      </c>
      <c r="L509" s="26">
        <f>IFERROR(IF(N509=0,"",IF(O509&gt;0,"Completamos datos, claves o motivo. ","")&amp;IF(P509&gt;0,"Cotejamos precios e importe. ","")&amp;IF(Q509&gt;0,"Aclaramos el cero. ","")&amp;IF(R509&gt;0,"Comprobamos el texto. ","")&amp;IF(S509&gt;0,"Revisamos decimales visibles. ","")&amp;IF(T509&gt;0,"Confirmamos la unidad.","")),"Hay una entrada con error. Corregimos el dato antes de cerrar la comprobación.")</f>
      </c>
      <c r="N509" s="29" t="n">
        <f>IF(COUNTA('DATOS'!B509:O509)&gt;0,1,0)</f>
        <v>0</v>
      </c>
      <c r="O509" s="29">
        <f>IFERROR(IF(N509=0,"",IF(OR(NOT(AND(LEN(TRIM('DATOS'!B509&amp;""))&gt;0,TRIM('DATOS'!B509&amp;"")&lt;&gt;"Pendiente",TRIM('DATOS'!B509&amp;"")&lt;&gt;"Por confirmar",TRIM('DATOS'!B509&amp;"")&lt;&gt;"No consta",TRIM('DATOS'!B509&amp;"")&lt;&gt;"Desconocido",TRIM('DATOS'!B509&amp;"")&lt;&gt;"Sin confirmar",TRIM('DATOS'!B509&amp;"")&lt;&gt;"Por decidir",TRIM('DATOS'!B509&amp;"")&lt;&gt;"Por comprobar")),NOT(AND(LEN(TRIM('DATOS'!C509&amp;""))&gt;0,TRIM('DATOS'!C509&amp;"")&lt;&gt;"Pendiente",TRIM('DATOS'!C509&amp;"")&lt;&gt;"Por confirmar",TRIM('DATOS'!C509&amp;"")&lt;&gt;"No consta",TRIM('DATOS'!C509&amp;"")&lt;&gt;"Desconocido",TRIM('DATOS'!C509&amp;"")&lt;&gt;"Sin confirmar",TRIM('DATOS'!C509&amp;"")&lt;&gt;"Por decidir",TRIM('DATOS'!C509&amp;"")&lt;&gt;"Por comprobar")),NOT(AND(LEN(TRIM('DATOS'!D509&amp;""))&gt;0,TRIM('DATOS'!D509&amp;"")&lt;&gt;"Pendiente",TRIM('DATOS'!D509&amp;"")&lt;&gt;"Por confirmar",TRIM('DATOS'!D509&amp;"")&lt;&gt;"No consta",TRIM('DATOS'!D509&amp;"")&lt;&gt;"Desconocido",TRIM('DATOS'!D509&amp;"")&lt;&gt;"Sin confirmar",TRIM('DATOS'!D509&amp;"")&lt;&gt;"Por decidir",TRIM('DATOS'!D509&amp;"")&lt;&gt;"Por comprobar")),NOT(AND(LEN(TRIM('DATOS'!E509&amp;""))&gt;0,TRIM('DATOS'!E509&amp;"")&lt;&gt;"Pendiente",TRIM('DATOS'!E509&amp;"")&lt;&gt;"Por confirmar",TRIM('DATOS'!E509&amp;"")&lt;&gt;"No consta",TRIM('DATOS'!E509&amp;"")&lt;&gt;"Desconocido",TRIM('DATOS'!E509&amp;"")&lt;&gt;"Sin confirmar",TRIM('DATOS'!E509&amp;"")&lt;&gt;"Por decidir",TRIM('DATOS'!E509&amp;"")&lt;&gt;"Por comprobar")),NOT(AND(LEN(TRIM('DATOS'!F509&amp;""))&gt;0,TRIM('DATOS'!F509&amp;"")&lt;&gt;"Pendiente",TRIM('DATOS'!F509&amp;"")&lt;&gt;"Por confirmar",TRIM('DATOS'!F509&amp;"")&lt;&gt;"No consta",TRIM('DATOS'!F509&amp;"")&lt;&gt;"Desconocido",TRIM('DATOS'!F509&amp;"")&lt;&gt;"Sin confirmar",TRIM('DATOS'!F509&amp;"")&lt;&gt;"Por decidir",TRIM('DATOS'!F509&amp;"")&lt;&gt;"Por comprobar")),NOT(AND(LEN(TRIM('DATOS'!N509&amp;""))&gt;0,TRIM('DATOS'!N509&amp;"")&lt;&gt;"Pendiente",TRIM('DATOS'!N509&amp;"")&lt;&gt;"Por confirmar",TRIM('DATOS'!N509&amp;"")&lt;&gt;"No consta",TRIM('DATOS'!N509&amp;"")&lt;&gt;"Desconocido",TRIM('DATOS'!N509&amp;"")&lt;&gt;"Sin confirmar",TRIM('DATOS'!N509&amp;"")&lt;&gt;"Por decidir",TRIM('DATOS'!N509&amp;"")&lt;&gt;"Por comprobar")),NOT(Y509=1),W509&lt;&gt;1,X509&gt;1,NOT(OR(LEN(TRIM('DATOS'!K509&amp;""))=0,'DATOS'!K509="Sin valorar",'DATOS'!K509="Sin coste documentado",'DATOS'!K509="Incluido en otra partida",'DATOS'!K509="Por confirmar")),NOT(OR(LEN(TRIM('DATOS'!M509&amp;""))=0,'DATOS'!M509="Sí",'DATOS'!M509="No",'DATOS'!M509="Por confirmar")),NOT(OR(LEN(TRIM('DATOS'!O509&amp;""))=0,'DATOS'!O509="Comparamos",'DATOS'!O509="No existe",'DATOS'!O509="Por confirmar"))),2,IF(AND(OR('DATOS'!G509&lt;0,'DATOS'!H509&lt;0,'DATOS'!J509&lt;0),NOT(AND(LEN(TRIM('DATOS'!L509&amp;""))&gt;0,TRIM('DATOS'!L509&amp;"")&lt;&gt;"Pendiente",TRIM('DATOS'!L509&amp;"")&lt;&gt;"Por confirmar",TRIM('DATOS'!L509&amp;"")&lt;&gt;"No consta",TRIM('DATOS'!L509&amp;"")&lt;&gt;"Desconocido",TRIM('DATOS'!L509&amp;"")&lt;&gt;"Sin confirmar",TRIM('DATOS'!L509&amp;"")&lt;&gt;"Por decidir",TRIM('DATOS'!L509&amp;"")&lt;&gt;"Por comprobar"))),1,0))),2)</f>
      </c>
      <c r="P509" s="29">
        <f>IFERROR(IF(N509=0,"",IF(NOT(Y509=1),1,IF('REFERENCIAS'!$Q$8&lt;&gt;1,2,IF(ABS('DATOS'!J509-ROUND('DATOS'!G509*'DATOS'!H509,'REFERENCIAS'!$K$8))&gt;0.00000001,2,IF('DATOS'!O509="No existe",IF(LEN(TRIM('DATOS'!I509&amp;""))=0,0,2),IF('DATOS'!O509="Comparamos",IF(LEN(TRIM('DATOS'!I509&amp;""))=0,1,IF(ISNUMBER('DATOS'!I509),IF(ABS('DATOS'!H509-'DATOS'!I509)&gt;0.00000001,2,0),2)),1)))))),2)</f>
      </c>
      <c r="Q509" s="29">
        <f>IFERROR(IF(N509=0,"",IF(NOT(Y509=1),1,IF('DATOS'!K509="Sin valorar",2,IF('DATOS'!G509=0,1,IF(OR('DATOS'!H509=0,'DATOS'!J509=0),IF(AND(OR('DATOS'!K509="Sin coste documentado",'DATOS'!K509="Incluido en otra partida"),AND(LEN(TRIM('DATOS'!L509&amp;""))&gt;0,TRIM('DATOS'!L509&amp;"")&lt;&gt;"Pendiente",TRIM('DATOS'!L509&amp;"")&lt;&gt;"Por confirmar",TRIM('DATOS'!L509&amp;"")&lt;&gt;"No consta",TRIM('DATOS'!L509&amp;"")&lt;&gt;"Desconocido",TRIM('DATOS'!L509&amp;"")&lt;&gt;"Sin confirmar",TRIM('DATOS'!L509&amp;"")&lt;&gt;"Por decidir",TRIM('DATOS'!L509&amp;"")&lt;&gt;"Por comprobar")),0,1),0))))),2)</f>
      </c>
      <c r="R509" s="29">
        <f>IFERROR(IF(N509=0,"",IF(OR(NOT(AND(LEN(TRIM('DATOS'!D509&amp;""))&gt;0,TRIM('DATOS'!D509&amp;"")&lt;&gt;"Pendiente",TRIM('DATOS'!D509&amp;"")&lt;&gt;"Por confirmar",TRIM('DATOS'!D509&amp;"")&lt;&gt;"No consta",TRIM('DATOS'!D509&amp;"")&lt;&gt;"Desconocido",TRIM('DATOS'!D509&amp;"")&lt;&gt;"Sin confirmar",TRIM('DATOS'!D509&amp;"")&lt;&gt;"Por decidir",TRIM('DATOS'!D509&amp;"")&lt;&gt;"Por comprobar")),NOT(AND(LEN(TRIM('DATOS'!E509&amp;""))&gt;0,TRIM('DATOS'!E509&amp;"")&lt;&gt;"Pendiente",TRIM('DATOS'!E509&amp;"")&lt;&gt;"Por confirmar",TRIM('DATOS'!E509&amp;"")&lt;&gt;"No consta",TRIM('DATOS'!E509&amp;"")&lt;&gt;"Desconocido",TRIM('DATOS'!E509&amp;"")&lt;&gt;"Sin confirmar",TRIM('DATOS'!E509&amp;"")&lt;&gt;"Por decidir",TRIM('DATOS'!E509&amp;"")&lt;&gt;"Por comprobar"))),2,IF('DATOS'!M509="No",2,IF('DATOS'!M509="Sí",0,IF(OR('DATOS'!D509&lt;&gt;'DATOS'!E509,LEN('DATOS'!E509)&gt;300,RIGHT(TRIM('DATOS'!E509),3)="...",RIGHT(TRIM('DATOS'!E509),1)="…"),1,0))))),2)</f>
      </c>
      <c r="S509" s="29">
        <f>IFERROR(IF(N509=0,"",IF('REFERENCIAS'!$Q$8&lt;&gt;1,2,IF(NOT(Y509=1),1,IF(OR(ABS('DATOS'!G509-ROUND('DATOS'!G509,'REFERENCIAS'!$E$8))&gt;0.00000001,ABS('DATOS'!H509-ROUND('DATOS'!H509,'REFERENCIAS'!$H$8))&gt;0.00000001,ABS('DATOS'!J509-ROUND('DATOS'!J509,'REFERENCIAS'!$K$8))&gt;0.00000001,IF(ISNUMBER('DATOS'!I509),ABS('DATOS'!I509-ROUND('DATOS'!I509,'REFERENCIAS'!$H$8))&gt;0.00000001,FALSE)),1,0)))),2)</f>
      </c>
      <c r="T509" s="29">
        <f>IFERROR(IF(N509=0,"",IF(NOT(AND(LEN(TRIM('DATOS'!F509&amp;""))&gt;0,TRIM('DATOS'!F509&amp;"")&lt;&gt;"Pendiente",TRIM('DATOS'!F509&amp;"")&lt;&gt;"Por confirmar",TRIM('DATOS'!F509&amp;"")&lt;&gt;"No consta",TRIM('DATOS'!F509&amp;"")&lt;&gt;"Desconocido",TRIM('DATOS'!F509&amp;"")&lt;&gt;"Sin confirmar",TRIM('DATOS'!F509&amp;"")&lt;&gt;"Por decidir",TRIM('DATOS'!F509&amp;"")&lt;&gt;"Por comprobar")),2,IF(COUNTIFS('REFERENCIAS'!$T$15:$T$34,"ID:"&amp;SUBSTITUTE(SUBSTITUTE(SUBSTITUTE(SUBSTITUTE(UPPER(TRIM('DATOS'!F509&amp;"")),"!","!E"),"*","!A"),"?","!B"),"~","!C"),'REFERENCIAS'!$H$15:$H$34,"&lt;&gt;")&gt;0,0,1))),2)</f>
      </c>
      <c r="U509" s="29" t="str">
        <f>'DATOS'!R509</f>
        <v>ID:</v>
      </c>
      <c r="V509" s="29" t="str">
        <f>'DATOS'!S509</f>
        <v>ID:</v>
      </c>
      <c r="W509" s="29" t="n">
        <f>IF(N509=0,0,COUNTIFS('REFERENCIAS'!$R$15:$R$64,U509))</f>
        <v>0</v>
      </c>
      <c r="X509" s="29" t="n">
        <f>IF(N509=0,0,COUNTIFS('DATOS'!$R$10:$R$509,U509,'DATOS'!$S$10:$S$509,V509))</f>
        <v>0</v>
      </c>
      <c r="Y509" s="29" t="n">
        <f>IF(AND(ISNUMBER('DATOS'!G509),ISNUMBER('DATOS'!H509),ISNUMBER('DATOS'!J509)),1,0)</f>
        <v>0</v>
      </c>
    </row>
    <row r="510" ht="23" customHeight="1">
      <c r="B510" s="23"/>
      <c r="C510" s="23"/>
      <c r="D510" s="23"/>
      <c r="E510" s="23"/>
      <c r="F510" s="23"/>
      <c r="G510" s="23"/>
      <c r="H510" s="23"/>
      <c r="I510" s="23"/>
      <c r="J510" s="23"/>
      <c r="K510" s="23"/>
      <c r="L510" s="23"/>
    </row>
    <row r="511" ht="23" customHeight="1">
      <c r="B511" s="23"/>
      <c r="C511" s="23"/>
      <c r="D511" s="23"/>
      <c r="E511" s="23"/>
      <c r="F511" s="23"/>
      <c r="G511" s="23"/>
      <c r="H511" s="23"/>
      <c r="I511" s="23"/>
      <c r="J511" s="23"/>
      <c r="K511" s="23"/>
      <c r="L511" s="23"/>
    </row>
    <row r="512" ht="25" customHeight="1">
      <c r="B512" s="33" t="str">
        <v>Cuitó Digital · cuitodigital.com</v>
      </c>
      <c r="C512" s="33"/>
      <c r="D512" s="33"/>
      <c r="E512" s="33"/>
      <c r="F512" s="33"/>
      <c r="G512" s="33"/>
      <c r="H512" s="33"/>
      <c r="I512" s="33"/>
      <c r="J512" s="33"/>
      <c r="K512" s="33"/>
      <c r="L512" s="33"/>
    </row>
    <row r="513" ht="23" customHeight="1">
      <c r="B513" s="23"/>
      <c r="C513" s="23"/>
      <c r="D513" s="23"/>
      <c r="E513" s="23"/>
      <c r="F513" s="23"/>
      <c r="G513" s="23"/>
      <c r="H513" s="23"/>
      <c r="I513" s="23"/>
      <c r="J513" s="23"/>
      <c r="K513" s="23"/>
      <c r="L513" s="23"/>
    </row>
  </sheetData>
  <sheetProtection sheet="1" objects="1" scenarios="1" formatCells="1" formatColumns="0" formatRows="0" insertColumns="1" insertRows="1" deleteColumns="1" deleteRows="1" sort="1" autoFilter="0" selectLockedCells="0" selectUnlockedCells="0"/>
  <autoFilter ref="B9:L509"/>
  <mergeCells>
    <mergeCell ref="B2:K3"/>
    <mergeCell ref="B5:L6"/>
    <mergeCell ref="B512:L512"/>
  </mergeCells>
  <conditionalFormatting sqref="E10:E509">
    <cfRule type="expression" dxfId="0" priority="1">
      <formula>AND(ISNUMBER($P10),$P10=0)</formula>
    </cfRule>
    <cfRule type="expression" dxfId="1" priority="2">
      <formula>AND(ISNUMBER($P10),$P10=1)</formula>
    </cfRule>
    <cfRule type="expression" dxfId="2" priority="3">
      <formula>AND(ISNUMBER($P10),$P10=2)</formula>
    </cfRule>
  </conditionalFormatting>
  <conditionalFormatting sqref="F10:F509">
    <cfRule type="expression" dxfId="3" priority="4">
      <formula>AND(ISNUMBER($Q10),$Q10=0)</formula>
    </cfRule>
    <cfRule type="expression" dxfId="4" priority="5">
      <formula>AND(ISNUMBER($Q10),$Q10=1)</formula>
    </cfRule>
    <cfRule type="expression" dxfId="5" priority="6">
      <formula>AND(ISNUMBER($Q10),$Q10=2)</formula>
    </cfRule>
  </conditionalFormatting>
  <conditionalFormatting sqref="G10:G509">
    <cfRule type="expression" dxfId="6" priority="7">
      <formula>AND(ISNUMBER($R10),$R10=0)</formula>
    </cfRule>
    <cfRule type="expression" dxfId="7" priority="8">
      <formula>AND(ISNUMBER($R10),$R10=1)</formula>
    </cfRule>
    <cfRule type="expression" dxfId="8" priority="9">
      <formula>AND(ISNUMBER($R10),$R10=2)</formula>
    </cfRule>
  </conditionalFormatting>
  <conditionalFormatting sqref="H10:H509">
    <cfRule type="expression" dxfId="9" priority="10">
      <formula>AND(ISNUMBER($S10),$S10=0)</formula>
    </cfRule>
    <cfRule type="expression" dxfId="10" priority="11">
      <formula>AND(ISNUMBER($S10),$S10=1)</formula>
    </cfRule>
    <cfRule type="expression" dxfId="11" priority="12">
      <formula>AND(ISNUMBER($S10),$S10=2)</formula>
    </cfRule>
  </conditionalFormatting>
  <conditionalFormatting sqref="I10:I509">
    <cfRule type="expression" dxfId="12" priority="13">
      <formula>AND(ISNUMBER($T10),$T10=0)</formula>
    </cfRule>
    <cfRule type="expression" dxfId="13" priority="14">
      <formula>AND(ISNUMBER($T10),$T10=1)</formula>
    </cfRule>
    <cfRule type="expression" dxfId="14" priority="15">
      <formula>AND(ISNUMBER($T10),$T10=2)</formula>
    </cfRule>
  </conditionalFormatting>
  <conditionalFormatting sqref="J10:J509">
    <cfRule type="expression" dxfId="15" priority="16">
      <formula>AND(ISNUMBER($O10),$O10=0)</formula>
    </cfRule>
    <cfRule type="expression" dxfId="16" priority="17">
      <formula>AND(ISNUMBER($O10),$O10=1)</formula>
    </cfRule>
    <cfRule type="expression" dxfId="17" priority="18">
      <formula>AND(ISNUMBER($O10),$O10=2)</formula>
    </cfRule>
  </conditionalFormatting>
  <pageMargins left=".25" right=".25" top=".35" bottom=".35" header=".15" footer=".15"/>
  <pageSetup paperSize="9" orientation="landscape" fitToWidth="1" fitToHeight="0"/>
  <headerFooter>
    <oddFooter>&amp;LCuitó Digital · cuitodigital.com&amp;R&amp;P</oddFooter>
  </headerFooter>
  <drawing r:id="R1d5ed80b432c4f25"/>
</worksheet>
</file>

<file path=xl/worksheets/sheet4.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14" hidden="0" customWidth="1"/>
    <col min="3" max="3" width="14" hidden="0" customWidth="1"/>
    <col min="4" max="4" width="49" hidden="0" customWidth="1"/>
    <col min="5" max="5" width="49" hidden="0" customWidth="1"/>
    <col min="6" max="6" width="10" hidden="0" customWidth="1"/>
    <col min="7" max="7" width="17" hidden="0" customWidth="1"/>
    <col min="8" max="8" width="19" hidden="0" customWidth="1"/>
    <col min="9" max="9" width="19" hidden="0" customWidth="1"/>
    <col min="10" max="10" width="19" hidden="0" customWidth="1"/>
    <col min="11" max="11" width="25" hidden="0" customWidth="1"/>
    <col min="12" max="12" width="40" hidden="0" customWidth="1"/>
    <col min="13" max="13" width="19" hidden="0" customWidth="1"/>
    <col min="14" max="14" width="35" hidden="0" customWidth="1"/>
    <col min="15" max="15" width="20" hidden="0" customWidth="1"/>
    <col min="16" max="16" width="23" hidden="0" customWidth="1"/>
    <col min="17" max="17" hidden="1"/>
    <col min="18" max="18" hidden="1"/>
    <col min="19" max="19" hidden="1"/>
    <col min="20" max="20" hidden="1"/>
  </cols>
  <sheetData>
    <row r="1" ht="23" customHeight="1">
      <c r="B1" s="23"/>
      <c r="C1" s="23"/>
      <c r="D1" s="23"/>
      <c r="E1" s="23"/>
      <c r="F1" s="23"/>
      <c r="G1" s="23"/>
      <c r="H1" s="23"/>
      <c r="I1" s="23"/>
      <c r="J1" s="23"/>
      <c r="K1" s="23"/>
      <c r="L1" s="23"/>
      <c r="M1" s="23"/>
      <c r="N1" s="23"/>
      <c r="O1" s="23"/>
      <c r="P1" s="23"/>
    </row>
    <row r="2" ht="25" customHeight="1">
      <c r="B2" s="24" t="str">
        <v>Referencias de capítulos, unidades y formatos</v>
      </c>
      <c r="C2" s="24"/>
      <c r="D2" s="24"/>
      <c r="E2" s="24"/>
      <c r="F2" s="24"/>
      <c r="G2" s="24"/>
      <c r="H2" s="24"/>
      <c r="I2" s="24"/>
      <c r="J2" s="24"/>
      <c r="K2" s="24"/>
      <c r="L2" s="24"/>
      <c r="M2" s="24"/>
      <c r="N2" s="24"/>
      <c r="O2" s="24"/>
      <c r="P2" s="23"/>
    </row>
    <row r="3" ht="25" customHeight="1">
      <c r="B3" s="24"/>
      <c r="C3" s="24"/>
      <c r="D3" s="24"/>
      <c r="E3" s="24"/>
      <c r="F3" s="24"/>
      <c r="G3" s="24"/>
      <c r="H3" s="24"/>
      <c r="I3" s="24"/>
      <c r="J3" s="24"/>
      <c r="K3" s="24"/>
      <c r="L3" s="24"/>
      <c r="M3" s="24"/>
      <c r="N3" s="24"/>
      <c r="O3" s="24"/>
      <c r="P3" s="23"/>
    </row>
    <row r="4" ht="23" customHeight="1">
      <c r="B4" s="25"/>
      <c r="C4" s="25"/>
      <c r="D4" s="25"/>
      <c r="E4" s="25"/>
      <c r="F4" s="25"/>
      <c r="G4" s="25"/>
      <c r="H4" s="25"/>
      <c r="I4" s="25"/>
      <c r="J4" s="25"/>
      <c r="K4" s="25"/>
      <c r="L4" s="25"/>
      <c r="M4" s="25"/>
      <c r="N4" s="25"/>
      <c r="O4" s="25"/>
      <c r="P4" s="25"/>
    </row>
    <row r="5" ht="24" customHeight="1">
      <c r="B5" s="26" t="str">
        <v>Pegamos una fila por partida, sin subtotales ni impuestos. Usamos la misma versión y el mismo criterio de precio en las dos vistas. No pegamos precio base frente a precio final. Las cifras del ejemplo son aproximadas.</v>
      </c>
      <c r="C5" s="26"/>
      <c r="D5" s="26"/>
      <c r="E5" s="26"/>
      <c r="F5" s="26"/>
      <c r="G5" s="26"/>
      <c r="H5" s="26"/>
      <c r="I5" s="26"/>
      <c r="J5" s="26"/>
      <c r="K5" s="26"/>
      <c r="L5" s="26"/>
      <c r="M5" s="26"/>
      <c r="N5" s="26"/>
      <c r="O5" s="26"/>
      <c r="P5" s="26"/>
    </row>
    <row r="6" ht="24" customHeight="1">
      <c r="B6" s="26"/>
      <c r="C6" s="26"/>
      <c r="D6" s="26"/>
      <c r="E6" s="26"/>
      <c r="F6" s="26"/>
      <c r="G6" s="26"/>
      <c r="H6" s="26"/>
      <c r="I6" s="26"/>
      <c r="J6" s="26"/>
      <c r="K6" s="26"/>
      <c r="L6" s="26"/>
      <c r="M6" s="26"/>
      <c r="N6" s="26"/>
      <c r="O6" s="26"/>
      <c r="P6" s="26"/>
    </row>
    <row r="7" ht="23" customHeight="1">
      <c r="B7" s="23"/>
      <c r="C7" s="23"/>
      <c r="D7" s="23"/>
      <c r="E7" s="23"/>
      <c r="F7" s="23"/>
      <c r="G7" s="23"/>
      <c r="H7" s="23"/>
      <c r="I7" s="23"/>
      <c r="J7" s="23"/>
      <c r="K7" s="23"/>
      <c r="L7" s="23"/>
      <c r="M7" s="23"/>
      <c r="N7" s="23"/>
      <c r="O7" s="23"/>
      <c r="P7" s="23"/>
    </row>
    <row r="8" ht="23" customHeight="1">
      <c r="B8" s="26" t="str">
        <v>Decimales visibles en el documento: cantidad</v>
      </c>
      <c r="C8" s="26"/>
      <c r="D8" s="26"/>
      <c r="E8" s="30" t="n">
        <v>2</v>
      </c>
      <c r="F8" s="26" t="str">
        <v>Precio unitario</v>
      </c>
      <c r="G8" s="26"/>
      <c r="H8" s="30" t="n">
        <v>2</v>
      </c>
      <c r="I8" s="26" t="str">
        <v>Importe</v>
      </c>
      <c r="J8" s="26"/>
      <c r="K8" s="30" t="n">
        <v>2</v>
      </c>
      <c r="L8" s="33" t="str">
        <v>Declaramos el formato del archivo que revisamos. Aquí mostramos hasta ocho decimales para poder ver el dato original. Si el documento mezcla formatos, revisamos cada grupo por separado.</v>
      </c>
      <c r="M8" s="33"/>
      <c r="N8" s="33"/>
      <c r="O8" s="33"/>
      <c r="P8" s="33"/>
      <c r="Q8" s="29" t="n">
        <f>IF(AND(IF(ISNUMBER(E8),AND(E8&gt;=0,E8&lt;=6,E8=INT(E8)),FALSE),IF(ISNUMBER(H8),AND(H8&gt;=0,H8&lt;=6,H8=INT(H8)),FALSE),IF(ISNUMBER(K8),AND(K8&gt;=0,K8&lt;=6,K8=INT(K8)),FALSE)),1,0)</f>
        <v>1</v>
      </c>
    </row>
    <row r="9" ht="23" customHeight="1">
      <c r="B9" s="23"/>
      <c r="C9" s="23"/>
      <c r="D9" s="23"/>
      <c r="E9" s="23"/>
      <c r="F9" s="23"/>
      <c r="G9" s="23"/>
      <c r="H9" s="23"/>
      <c r="I9" s="23"/>
      <c r="J9" s="23"/>
      <c r="K9" s="23"/>
      <c r="L9" s="33"/>
      <c r="M9" s="33"/>
      <c r="N9" s="33"/>
      <c r="O9" s="33"/>
      <c r="P9" s="33"/>
    </row>
    <row r="10" ht="23" customHeight="1">
      <c r="B10" s="23"/>
      <c r="C10" s="23"/>
      <c r="D10" s="23"/>
      <c r="E10" s="23"/>
      <c r="F10" s="23"/>
      <c r="G10" s="23"/>
      <c r="H10" s="23"/>
      <c r="I10" s="23"/>
      <c r="J10" s="23"/>
      <c r="K10" s="23"/>
      <c r="L10" s="23"/>
      <c r="M10" s="23"/>
      <c r="N10" s="23"/>
      <c r="O10" s="23"/>
      <c r="P10" s="23"/>
    </row>
    <row r="11" ht="23" customHeight="1">
      <c r="B11" s="26" t="str">
        <v>1 · Cargamos solo capítulos finales sin solapar capítulos y subcapítulos. El total del resumen tiene que corresponder exactamente a las partidas pegadas. Un extracto se identifica como extracto.</v>
      </c>
      <c r="C11" s="26"/>
      <c r="D11" s="26"/>
      <c r="E11" s="26"/>
      <c r="F11" s="26"/>
      <c r="G11" s="26"/>
      <c r="H11" s="26"/>
      <c r="I11" s="26"/>
      <c r="J11" s="26"/>
      <c r="K11" s="26"/>
      <c r="L11" s="26"/>
      <c r="M11" s="26"/>
      <c r="N11" s="26"/>
      <c r="O11" s="26"/>
      <c r="P11" s="26"/>
    </row>
    <row r="12" ht="23" customHeight="1">
      <c r="B12" s="26"/>
      <c r="C12" s="26"/>
      <c r="D12" s="26"/>
      <c r="E12" s="26"/>
      <c r="F12" s="26"/>
      <c r="G12" s="26"/>
      <c r="H12" s="26"/>
      <c r="I12" s="26"/>
      <c r="J12" s="26"/>
      <c r="K12" s="26"/>
      <c r="L12" s="26"/>
      <c r="M12" s="26"/>
      <c r="N12" s="26"/>
      <c r="O12" s="26"/>
      <c r="P12" s="26"/>
    </row>
    <row r="13" ht="23" customHeight="1">
      <c r="B13" s="23"/>
      <c r="C13" s="23"/>
      <c r="D13" s="23"/>
      <c r="E13" s="23"/>
      <c r="F13" s="23"/>
      <c r="G13" s="23"/>
      <c r="H13" s="23"/>
      <c r="I13" s="23"/>
      <c r="J13" s="23"/>
      <c r="K13" s="23"/>
      <c r="L13" s="23"/>
      <c r="M13" s="23"/>
      <c r="N13" s="23"/>
      <c r="O13" s="23"/>
      <c r="P13" s="23"/>
    </row>
    <row r="14" ht="42" customHeight="1">
      <c r="B14" s="27" t="str">
        <v>ID de capítulo</v>
      </c>
      <c r="C14" s="27" t="str">
        <v>Total en resumen</v>
      </c>
      <c r="D14" s="27" t="str">
        <v>Documento y localizador</v>
      </c>
      <c r="E14" s="23"/>
      <c r="F14" s="23"/>
      <c r="G14" s="27" t="str">
        <v>Unidad admitida</v>
      </c>
      <c r="H14" s="27" t="str">
        <v>Qué significa</v>
      </c>
      <c r="I14" s="23"/>
      <c r="J14" s="23"/>
      <c r="K14" s="23"/>
      <c r="L14" s="23"/>
      <c r="M14" s="23"/>
      <c r="N14" s="23"/>
      <c r="O14" s="23"/>
      <c r="P14" s="23"/>
    </row>
    <row r="15" ht="24" customHeight="1">
      <c r="B15" s="31" t="str">
        <v>EJ-01</v>
      </c>
      <c r="C15" s="34" t="n">
        <v>3800</v>
      </c>
      <c r="D15" s="31" t="str">
        <v>Ejemplo aproximado · resumen del extracto</v>
      </c>
      <c r="E15" s="23"/>
      <c r="F15" s="23"/>
      <c r="G15" s="31" t="str">
        <v>m</v>
      </c>
      <c r="H15" s="31" t="str">
        <v>metro</v>
      </c>
      <c r="I15" s="23"/>
      <c r="J15" s="26" t="str">
        <v>Una unidad fuera de esta lista genera aviso, no demuestra un error. Podemos añadir una unidad válida con su significado, sin espacios de sobra. Reconocer m² no prueba que esa sea la unidad correcta del trabajo.</v>
      </c>
      <c r="K15" s="26"/>
      <c r="L15" s="26"/>
      <c r="M15" s="26"/>
      <c r="N15" s="26"/>
      <c r="O15" s="26"/>
      <c r="P15" s="26"/>
      <c r="R15" s="29" t="str">
        <f>"ID:"&amp;SUBSTITUTE(SUBSTITUTE(SUBSTITUTE(SUBSTITUTE(UPPER(TRIM(B15&amp;"")),"!","!E"),"*","!A"),"?","!B"),"~","!C")</f>
        <v>ID:EJ-01</v>
      </c>
      <c r="T15" s="29" t="str">
        <f>"ID:"&amp;SUBSTITUTE(SUBSTITUTE(SUBSTITUTE(SUBSTITUTE(UPPER(TRIM(G15&amp;"")),"!","!E"),"*","!A"),"?","!B"),"~","!C")</f>
        <v>ID:M</v>
      </c>
    </row>
    <row r="16" ht="24" customHeight="1">
      <c r="B16" s="31"/>
      <c r="C16" s="34"/>
      <c r="D16" s="31"/>
      <c r="E16" s="23"/>
      <c r="F16" s="23"/>
      <c r="G16" s="31" t="str">
        <v>m²</v>
      </c>
      <c r="H16" s="31" t="str">
        <v>metro cuadrado</v>
      </c>
      <c r="I16" s="23"/>
      <c r="J16" s="26"/>
      <c r="K16" s="26"/>
      <c r="L16" s="26"/>
      <c r="M16" s="26"/>
      <c r="N16" s="26"/>
      <c r="O16" s="26"/>
      <c r="P16" s="26"/>
      <c r="R16" s="29" t="str">
        <f>"ID:"&amp;SUBSTITUTE(SUBSTITUTE(SUBSTITUTE(SUBSTITUTE(UPPER(TRIM(B16&amp;"")),"!","!E"),"*","!A"),"?","!B"),"~","!C")</f>
        <v>ID:</v>
      </c>
      <c r="T16" s="29" t="str">
        <f>"ID:"&amp;SUBSTITUTE(SUBSTITUTE(SUBSTITUTE(SUBSTITUTE(UPPER(TRIM(G16&amp;"")),"!","!E"),"*","!A"),"?","!B"),"~","!C")</f>
        <v>ID:M²</v>
      </c>
    </row>
    <row r="17" ht="24" customHeight="1">
      <c r="B17" s="31"/>
      <c r="C17" s="34"/>
      <c r="D17" s="31"/>
      <c r="E17" s="23"/>
      <c r="F17" s="23"/>
      <c r="G17" s="31" t="str">
        <v>m2</v>
      </c>
      <c r="H17" s="31" t="str">
        <v>metro cuadrado</v>
      </c>
      <c r="I17" s="23"/>
      <c r="J17" s="26"/>
      <c r="K17" s="26"/>
      <c r="L17" s="26"/>
      <c r="M17" s="26"/>
      <c r="N17" s="26"/>
      <c r="O17" s="26"/>
      <c r="P17" s="26"/>
      <c r="R17" s="29" t="str">
        <f>"ID:"&amp;SUBSTITUTE(SUBSTITUTE(SUBSTITUTE(SUBSTITUTE(UPPER(TRIM(B17&amp;"")),"!","!E"),"*","!A"),"?","!B"),"~","!C")</f>
        <v>ID:</v>
      </c>
      <c r="T17" s="29" t="str">
        <f>"ID:"&amp;SUBSTITUTE(SUBSTITUTE(SUBSTITUTE(SUBSTITUTE(UPPER(TRIM(G17&amp;"")),"!","!E"),"*","!A"),"?","!B"),"~","!C")</f>
        <v>ID:M2</v>
      </c>
    </row>
    <row r="18" ht="24" customHeight="1">
      <c r="B18" s="31"/>
      <c r="C18" s="34"/>
      <c r="D18" s="31"/>
      <c r="E18" s="23"/>
      <c r="F18" s="23"/>
      <c r="G18" s="31" t="str">
        <v>m³</v>
      </c>
      <c r="H18" s="31" t="str">
        <v>metro cúbico</v>
      </c>
      <c r="I18" s="23"/>
      <c r="J18" s="26"/>
      <c r="K18" s="26"/>
      <c r="L18" s="26"/>
      <c r="M18" s="26"/>
      <c r="N18" s="26"/>
      <c r="O18" s="26"/>
      <c r="P18" s="26"/>
      <c r="R18" s="29" t="str">
        <f>"ID:"&amp;SUBSTITUTE(SUBSTITUTE(SUBSTITUTE(SUBSTITUTE(UPPER(TRIM(B18&amp;"")),"!","!E"),"*","!A"),"?","!B"),"~","!C")</f>
        <v>ID:</v>
      </c>
      <c r="T18" s="29" t="str">
        <f>"ID:"&amp;SUBSTITUTE(SUBSTITUTE(SUBSTITUTE(SUBSTITUTE(UPPER(TRIM(G18&amp;"")),"!","!E"),"*","!A"),"?","!B"),"~","!C")</f>
        <v>ID:M³</v>
      </c>
    </row>
    <row r="19" ht="30" customHeight="1">
      <c r="B19" s="31"/>
      <c r="C19" s="34"/>
      <c r="D19" s="31"/>
      <c r="E19" s="23"/>
      <c r="F19" s="23"/>
      <c r="G19" s="31" t="str">
        <v>m3</v>
      </c>
      <c r="H19" s="31" t="str">
        <v>metro cúbico</v>
      </c>
      <c r="I19" s="23"/>
      <c r="J19" s="23"/>
      <c r="K19" s="23"/>
      <c r="L19" s="23"/>
      <c r="M19" s="23"/>
      <c r="N19" s="23"/>
      <c r="O19" s="23"/>
      <c r="P19" s="23"/>
      <c r="R19" s="29" t="str">
        <f>"ID:"&amp;SUBSTITUTE(SUBSTITUTE(SUBSTITUTE(SUBSTITUTE(UPPER(TRIM(B19&amp;"")),"!","!E"),"*","!A"),"?","!B"),"~","!C")</f>
        <v>ID:</v>
      </c>
      <c r="T19" s="29" t="str">
        <f>"ID:"&amp;SUBSTITUTE(SUBSTITUTE(SUBSTITUTE(SUBSTITUTE(UPPER(TRIM(G19&amp;"")),"!","!E"),"*","!A"),"?","!B"),"~","!C")</f>
        <v>ID:M3</v>
      </c>
    </row>
    <row r="20" ht="30" customHeight="1">
      <c r="B20" s="31"/>
      <c r="C20" s="34"/>
      <c r="D20" s="31"/>
      <c r="E20" s="23"/>
      <c r="F20" s="23"/>
      <c r="G20" s="31" t="str">
        <v>ud</v>
      </c>
      <c r="H20" s="31" t="str">
        <v>unidad</v>
      </c>
      <c r="I20" s="23"/>
      <c r="J20" s="23"/>
      <c r="K20" s="23"/>
      <c r="L20" s="23"/>
      <c r="M20" s="23"/>
      <c r="N20" s="23"/>
      <c r="O20" s="23"/>
      <c r="P20" s="23"/>
      <c r="R20" s="29" t="str">
        <f>"ID:"&amp;SUBSTITUTE(SUBSTITUTE(SUBSTITUTE(SUBSTITUTE(UPPER(TRIM(B20&amp;"")),"!","!E"),"*","!A"),"?","!B"),"~","!C")</f>
        <v>ID:</v>
      </c>
      <c r="T20" s="29" t="str">
        <f>"ID:"&amp;SUBSTITUTE(SUBSTITUTE(SUBSTITUTE(SUBSTITUTE(UPPER(TRIM(G20&amp;"")),"!","!E"),"*","!A"),"?","!B"),"~","!C")</f>
        <v>ID:UD</v>
      </c>
    </row>
    <row r="21" ht="24" customHeight="1">
      <c r="B21" s="31"/>
      <c r="C21" s="34"/>
      <c r="D21" s="31"/>
      <c r="E21" s="23"/>
      <c r="F21" s="23"/>
      <c r="G21" s="31" t="str">
        <v>u</v>
      </c>
      <c r="H21" s="31" t="str">
        <v>unidad</v>
      </c>
      <c r="I21" s="23"/>
      <c r="J21" s="26" t="str">
        <v>Otra vista: Comparamos exige su precio; No existe solo se usa cuando no hay segunda vista que cotejar y lo dejamos documentado. Un vacío no equivale a No existe. Los adicionales, el IVA y otros criterios se separan antes de comparar.</v>
      </c>
      <c r="K21" s="26"/>
      <c r="L21" s="26"/>
      <c r="M21" s="26"/>
      <c r="N21" s="26"/>
      <c r="O21" s="26"/>
      <c r="P21" s="26"/>
      <c r="R21" s="29" t="str">
        <f>"ID:"&amp;SUBSTITUTE(SUBSTITUTE(SUBSTITUTE(SUBSTITUTE(UPPER(TRIM(B21&amp;"")),"!","!E"),"*","!A"),"?","!B"),"~","!C")</f>
        <v>ID:</v>
      </c>
      <c r="T21" s="29" t="str">
        <f>"ID:"&amp;SUBSTITUTE(SUBSTITUTE(SUBSTITUTE(SUBSTITUTE(UPPER(TRIM(G21&amp;"")),"!","!E"),"*","!A"),"?","!B"),"~","!C")</f>
        <v>ID:U</v>
      </c>
    </row>
    <row r="22" ht="24" customHeight="1">
      <c r="B22" s="31"/>
      <c r="C22" s="34"/>
      <c r="D22" s="31"/>
      <c r="E22" s="23"/>
      <c r="F22" s="23"/>
      <c r="G22" s="31" t="str">
        <v>kg</v>
      </c>
      <c r="H22" s="31" t="str">
        <v>kilogramo</v>
      </c>
      <c r="I22" s="23"/>
      <c r="J22" s="26"/>
      <c r="K22" s="26"/>
      <c r="L22" s="26"/>
      <c r="M22" s="26"/>
      <c r="N22" s="26"/>
      <c r="O22" s="26"/>
      <c r="P22" s="26"/>
      <c r="R22" s="29" t="str">
        <f>"ID:"&amp;SUBSTITUTE(SUBSTITUTE(SUBSTITUTE(SUBSTITUTE(UPPER(TRIM(B22&amp;"")),"!","!E"),"*","!A"),"?","!B"),"~","!C")</f>
        <v>ID:</v>
      </c>
      <c r="T22" s="29" t="str">
        <f>"ID:"&amp;SUBSTITUTE(SUBSTITUTE(SUBSTITUTE(SUBSTITUTE(UPPER(TRIM(G22&amp;"")),"!","!E"),"*","!A"),"?","!B"),"~","!C")</f>
        <v>ID:KG</v>
      </c>
    </row>
    <row r="23" ht="24" customHeight="1">
      <c r="B23" s="31"/>
      <c r="C23" s="34"/>
      <c r="D23" s="31"/>
      <c r="E23" s="23"/>
      <c r="F23" s="23"/>
      <c r="G23" s="31" t="str">
        <v>t</v>
      </c>
      <c r="H23" s="31" t="str">
        <v>tonelada</v>
      </c>
      <c r="I23" s="23"/>
      <c r="J23" s="26"/>
      <c r="K23" s="26"/>
      <c r="L23" s="26"/>
      <c r="M23" s="26"/>
      <c r="N23" s="26"/>
      <c r="O23" s="26"/>
      <c r="P23" s="26"/>
      <c r="R23" s="29" t="str">
        <f>"ID:"&amp;SUBSTITUTE(SUBSTITUTE(SUBSTITUTE(SUBSTITUTE(UPPER(TRIM(B23&amp;"")),"!","!E"),"*","!A"),"?","!B"),"~","!C")</f>
        <v>ID:</v>
      </c>
      <c r="T23" s="29" t="str">
        <f>"ID:"&amp;SUBSTITUTE(SUBSTITUTE(SUBSTITUTE(SUBSTITUTE(UPPER(TRIM(G23&amp;"")),"!","!E"),"*","!A"),"?","!B"),"~","!C")</f>
        <v>ID:T</v>
      </c>
    </row>
    <row r="24" ht="24" customHeight="1">
      <c r="B24" s="31"/>
      <c r="C24" s="34"/>
      <c r="D24" s="31"/>
      <c r="E24" s="23"/>
      <c r="F24" s="23"/>
      <c r="G24" s="31" t="str">
        <v>h</v>
      </c>
      <c r="H24" s="31" t="str">
        <v>hora</v>
      </c>
      <c r="I24" s="23"/>
      <c r="J24" s="26"/>
      <c r="K24" s="26"/>
      <c r="L24" s="26"/>
      <c r="M24" s="26"/>
      <c r="N24" s="26"/>
      <c r="O24" s="26"/>
      <c r="P24" s="26"/>
      <c r="R24" s="29" t="str">
        <f>"ID:"&amp;SUBSTITUTE(SUBSTITUTE(SUBSTITUTE(SUBSTITUTE(UPPER(TRIM(B24&amp;"")),"!","!E"),"*","!A"),"?","!B"),"~","!C")</f>
        <v>ID:</v>
      </c>
      <c r="T24" s="29" t="str">
        <f>"ID:"&amp;SUBSTITUTE(SUBSTITUTE(SUBSTITUTE(SUBSTITUTE(UPPER(TRIM(G24&amp;"")),"!","!E"),"*","!A"),"?","!B"),"~","!C")</f>
        <v>ID:H</v>
      </c>
    </row>
    <row r="25" ht="30" customHeight="1">
      <c r="B25" s="31"/>
      <c r="C25" s="34"/>
      <c r="D25" s="31"/>
      <c r="E25" s="23"/>
      <c r="F25" s="23"/>
      <c r="G25" s="31" t="str">
        <v>pa</v>
      </c>
      <c r="H25" s="31" t="str">
        <v>partida alzada</v>
      </c>
      <c r="I25" s="23"/>
      <c r="J25" s="23"/>
      <c r="K25" s="23"/>
      <c r="L25" s="23"/>
      <c r="M25" s="23"/>
      <c r="N25" s="23"/>
      <c r="O25" s="23"/>
      <c r="P25" s="23"/>
      <c r="R25" s="29" t="str">
        <f>"ID:"&amp;SUBSTITUTE(SUBSTITUTE(SUBSTITUTE(SUBSTITUTE(UPPER(TRIM(B25&amp;"")),"!","!E"),"*","!A"),"?","!B"),"~","!C")</f>
        <v>ID:</v>
      </c>
      <c r="T25" s="29" t="str">
        <f>"ID:"&amp;SUBSTITUTE(SUBSTITUTE(SUBSTITUTE(SUBSTITUTE(UPPER(TRIM(G25&amp;"")),"!","!E"),"*","!A"),"?","!B"),"~","!C")</f>
        <v>ID:PA</v>
      </c>
    </row>
    <row r="26" ht="30" customHeight="1">
      <c r="B26" s="31"/>
      <c r="C26" s="34"/>
      <c r="D26" s="31"/>
      <c r="E26" s="23"/>
      <c r="F26" s="23"/>
      <c r="G26" s="31" t="str">
        <v>p.a.</v>
      </c>
      <c r="H26" s="31" t="str">
        <v>partida alzada</v>
      </c>
      <c r="I26" s="23"/>
      <c r="J26" s="23"/>
      <c r="K26" s="23"/>
      <c r="L26" s="23"/>
      <c r="M26" s="23"/>
      <c r="N26" s="23"/>
      <c r="O26" s="23"/>
      <c r="P26" s="23"/>
      <c r="R26" s="29" t="str">
        <f>"ID:"&amp;SUBSTITUTE(SUBSTITUTE(SUBSTITUTE(SUBSTITUTE(UPPER(TRIM(B26&amp;"")),"!","!E"),"*","!A"),"?","!B"),"~","!C")</f>
        <v>ID:</v>
      </c>
      <c r="T26" s="29" t="str">
        <f>"ID:"&amp;SUBSTITUTE(SUBSTITUTE(SUBSTITUTE(SUBSTITUTE(UPPER(TRIM(G26&amp;"")),"!","!E"),"*","!A"),"?","!B"),"~","!C")</f>
        <v>ID:P.A.</v>
      </c>
    </row>
    <row r="27" ht="24" customHeight="1">
      <c r="B27" s="31"/>
      <c r="C27" s="34"/>
      <c r="D27" s="31"/>
      <c r="E27" s="23"/>
      <c r="F27" s="23"/>
      <c r="G27" s="31" t="str">
        <v>l</v>
      </c>
      <c r="H27" s="31" t="str">
        <v>litro</v>
      </c>
      <c r="I27" s="23"/>
      <c r="J27" s="26" t="str">
        <v>Descripción comprobada: Sí solo después de cotejar alcance y visualización con su localizador. La longitud y una diferencia de texto son señales para revisar, no pruebas de que el PDF esté cortado.</v>
      </c>
      <c r="K27" s="26"/>
      <c r="L27" s="26"/>
      <c r="M27" s="26"/>
      <c r="N27" s="26"/>
      <c r="O27" s="26"/>
      <c r="P27" s="26"/>
      <c r="R27" s="29" t="str">
        <f>"ID:"&amp;SUBSTITUTE(SUBSTITUTE(SUBSTITUTE(SUBSTITUTE(UPPER(TRIM(B27&amp;"")),"!","!E"),"*","!A"),"?","!B"),"~","!C")</f>
        <v>ID:</v>
      </c>
      <c r="T27" s="29" t="str">
        <f>"ID:"&amp;SUBSTITUTE(SUBSTITUTE(SUBSTITUTE(SUBSTITUTE(UPPER(TRIM(G27&amp;"")),"!","!E"),"*","!A"),"?","!B"),"~","!C")</f>
        <v>ID:L</v>
      </c>
    </row>
    <row r="28" ht="24" customHeight="1">
      <c r="B28" s="31"/>
      <c r="C28" s="34"/>
      <c r="D28" s="31"/>
      <c r="E28" s="23"/>
      <c r="F28" s="23"/>
      <c r="G28" s="31" t="str">
        <v>ml</v>
      </c>
      <c r="H28" s="31" t="str">
        <v>metro lineal</v>
      </c>
      <c r="I28" s="23"/>
      <c r="J28" s="26"/>
      <c r="K28" s="26"/>
      <c r="L28" s="26"/>
      <c r="M28" s="26"/>
      <c r="N28" s="26"/>
      <c r="O28" s="26"/>
      <c r="P28" s="26"/>
      <c r="R28" s="29" t="str">
        <f>"ID:"&amp;SUBSTITUTE(SUBSTITUTE(SUBSTITUTE(SUBSTITUTE(UPPER(TRIM(B28&amp;"")),"!","!E"),"*","!A"),"?","!B"),"~","!C")</f>
        <v>ID:</v>
      </c>
      <c r="T28" s="29" t="str">
        <f>"ID:"&amp;SUBSTITUTE(SUBSTITUTE(SUBSTITUTE(SUBSTITUTE(UPPER(TRIM(G28&amp;"")),"!","!E"),"*","!A"),"?","!B"),"~","!C")</f>
        <v>ID:ML</v>
      </c>
    </row>
    <row r="29" ht="24" customHeight="1">
      <c r="B29" s="31"/>
      <c r="C29" s="34"/>
      <c r="D29" s="31"/>
      <c r="E29" s="23"/>
      <c r="F29" s="23"/>
      <c r="G29" s="31" t="str">
        <v>m.l.</v>
      </c>
      <c r="H29" s="31" t="str">
        <v>metro lineal</v>
      </c>
      <c r="I29" s="23"/>
      <c r="J29" s="26"/>
      <c r="K29" s="26"/>
      <c r="L29" s="26"/>
      <c r="M29" s="26"/>
      <c r="N29" s="26"/>
      <c r="O29" s="26"/>
      <c r="P29" s="26"/>
      <c r="R29" s="29" t="str">
        <f>"ID:"&amp;SUBSTITUTE(SUBSTITUTE(SUBSTITUTE(SUBSTITUTE(UPPER(TRIM(B29&amp;"")),"!","!E"),"*","!A"),"?","!B"),"~","!C")</f>
        <v>ID:</v>
      </c>
      <c r="T29" s="29" t="str">
        <f>"ID:"&amp;SUBSTITUTE(SUBSTITUTE(SUBSTITUTE(SUBSTITUTE(UPPER(TRIM(G29&amp;"")),"!","!E"),"*","!A"),"?","!B"),"~","!C")</f>
        <v>ID:M.L.</v>
      </c>
    </row>
    <row r="30" ht="24" customHeight="1">
      <c r="B30" s="31"/>
      <c r="C30" s="34"/>
      <c r="D30" s="31"/>
      <c r="E30" s="23"/>
      <c r="F30" s="23"/>
      <c r="G30" s="31" t="str">
        <v>mes</v>
      </c>
      <c r="H30" s="31" t="str">
        <v>mes</v>
      </c>
      <c r="I30" s="23"/>
      <c r="J30" s="26"/>
      <c r="K30" s="26"/>
      <c r="L30" s="26"/>
      <c r="M30" s="26"/>
      <c r="N30" s="26"/>
      <c r="O30" s="26"/>
      <c r="P30" s="26"/>
      <c r="R30" s="29" t="str">
        <f>"ID:"&amp;SUBSTITUTE(SUBSTITUTE(SUBSTITUTE(SUBSTITUTE(UPPER(TRIM(B30&amp;"")),"!","!E"),"*","!A"),"?","!B"),"~","!C")</f>
        <v>ID:</v>
      </c>
      <c r="T30" s="29" t="str">
        <f>"ID:"&amp;SUBSTITUTE(SUBSTITUTE(SUBSTITUTE(SUBSTITUTE(UPPER(TRIM(G30&amp;"")),"!","!E"),"*","!A"),"?","!B"),"~","!C")</f>
        <v>ID:MES</v>
      </c>
    </row>
    <row r="31" ht="30" customHeight="1">
      <c r="B31" s="31"/>
      <c r="C31" s="34"/>
      <c r="D31" s="31"/>
      <c r="E31" s="23"/>
      <c r="F31" s="23"/>
      <c r="G31" s="31" t="str">
        <v>día</v>
      </c>
      <c r="H31" s="31" t="str">
        <v>día</v>
      </c>
      <c r="I31" s="23"/>
      <c r="J31" s="23"/>
      <c r="K31" s="23"/>
      <c r="L31" s="23"/>
      <c r="M31" s="23"/>
      <c r="N31" s="23"/>
      <c r="O31" s="23"/>
      <c r="P31" s="23"/>
      <c r="R31" s="29" t="str">
        <f>"ID:"&amp;SUBSTITUTE(SUBSTITUTE(SUBSTITUTE(SUBSTITUTE(UPPER(TRIM(B31&amp;"")),"!","!E"),"*","!A"),"?","!B"),"~","!C")</f>
        <v>ID:</v>
      </c>
      <c r="T31" s="29" t="str">
        <f>"ID:"&amp;SUBSTITUTE(SUBSTITUTE(SUBSTITUTE(SUBSTITUTE(UPPER(TRIM(G31&amp;"")),"!","!E"),"*","!A"),"?","!B"),"~","!C")</f>
        <v>ID:DÍA</v>
      </c>
    </row>
    <row r="32" ht="30" customHeight="1">
      <c r="B32" s="31"/>
      <c r="C32" s="34"/>
      <c r="D32" s="31"/>
      <c r="E32" s="23"/>
      <c r="F32" s="23"/>
      <c r="G32" s="31" t="str">
        <v>jornada</v>
      </c>
      <c r="H32" s="31" t="str">
        <v>jornada</v>
      </c>
      <c r="I32" s="23"/>
      <c r="J32" s="23"/>
      <c r="K32" s="23"/>
      <c r="L32" s="23"/>
      <c r="M32" s="23"/>
      <c r="N32" s="23"/>
      <c r="O32" s="23"/>
      <c r="P32" s="23"/>
      <c r="R32" s="29" t="str">
        <f>"ID:"&amp;SUBSTITUTE(SUBSTITUTE(SUBSTITUTE(SUBSTITUTE(UPPER(TRIM(B32&amp;"")),"!","!E"),"*","!A"),"?","!B"),"~","!C")</f>
        <v>ID:</v>
      </c>
      <c r="T32" s="29" t="str">
        <f>"ID:"&amp;SUBSTITUTE(SUBSTITUTE(SUBSTITUTE(SUBSTITUTE(UPPER(TRIM(G32&amp;"")),"!","!E"),"*","!A"),"?","!B"),"~","!C")</f>
        <v>ID:JORNADA</v>
      </c>
    </row>
    <row r="33" ht="24" customHeight="1">
      <c r="B33" s="31"/>
      <c r="C33" s="34"/>
      <c r="D33" s="31"/>
      <c r="E33" s="23"/>
      <c r="F33" s="23"/>
      <c r="G33" s="31"/>
      <c r="H33" s="31"/>
      <c r="I33" s="23"/>
      <c r="J33" s="26" t="str">
        <v>Un cero Sin valorar se mantiene rojo. Sin coste documentado o Incluido en otra partida necesitan una referencia comprobada. Cantidad cero requiere revisión. Un abono o deducción puede ser negativo: documentamos su motivo.</v>
      </c>
      <c r="K33" s="26"/>
      <c r="L33" s="26"/>
      <c r="M33" s="26"/>
      <c r="N33" s="26"/>
      <c r="O33" s="26"/>
      <c r="P33" s="26"/>
      <c r="R33" s="29" t="str">
        <f>"ID:"&amp;SUBSTITUTE(SUBSTITUTE(SUBSTITUTE(SUBSTITUTE(UPPER(TRIM(B33&amp;"")),"!","!E"),"*","!A"),"?","!B"),"~","!C")</f>
        <v>ID:</v>
      </c>
      <c r="T33" s="29" t="str">
        <f>"ID:"&amp;SUBSTITUTE(SUBSTITUTE(SUBSTITUTE(SUBSTITUTE(UPPER(TRIM(G33&amp;"")),"!","!E"),"*","!A"),"?","!B"),"~","!C")</f>
        <v>ID:</v>
      </c>
    </row>
    <row r="34" ht="24" customHeight="1">
      <c r="B34" s="31"/>
      <c r="C34" s="34"/>
      <c r="D34" s="31"/>
      <c r="E34" s="23"/>
      <c r="F34" s="23"/>
      <c r="G34" s="31"/>
      <c r="H34" s="31"/>
      <c r="I34" s="23"/>
      <c r="J34" s="26"/>
      <c r="K34" s="26"/>
      <c r="L34" s="26"/>
      <c r="M34" s="26"/>
      <c r="N34" s="26"/>
      <c r="O34" s="26"/>
      <c r="P34" s="26"/>
      <c r="R34" s="29" t="str">
        <f>"ID:"&amp;SUBSTITUTE(SUBSTITUTE(SUBSTITUTE(SUBSTITUTE(UPPER(TRIM(B34&amp;"")),"!","!E"),"*","!A"),"?","!B"),"~","!C")</f>
        <v>ID:</v>
      </c>
      <c r="T34" s="29" t="str">
        <f>"ID:"&amp;SUBSTITUTE(SUBSTITUTE(SUBSTITUTE(SUBSTITUTE(UPPER(TRIM(G34&amp;"")),"!","!E"),"*","!A"),"?","!B"),"~","!C")</f>
        <v>ID:</v>
      </c>
    </row>
    <row r="35" ht="24" customHeight="1">
      <c r="B35" s="31"/>
      <c r="C35" s="34"/>
      <c r="D35" s="31"/>
      <c r="E35" s="23"/>
      <c r="F35" s="23"/>
      <c r="G35" s="23"/>
      <c r="H35" s="23"/>
      <c r="I35" s="23"/>
      <c r="J35" s="26"/>
      <c r="K35" s="26"/>
      <c r="L35" s="26"/>
      <c r="M35" s="26"/>
      <c r="N35" s="26"/>
      <c r="O35" s="26"/>
      <c r="P35" s="26"/>
      <c r="R35" s="29" t="str">
        <f>"ID:"&amp;SUBSTITUTE(SUBSTITUTE(SUBSTITUTE(SUBSTITUTE(UPPER(TRIM(B35&amp;"")),"!","!E"),"*","!A"),"?","!B"),"~","!C")</f>
        <v>ID:</v>
      </c>
    </row>
    <row r="36" ht="24" customHeight="1">
      <c r="B36" s="31"/>
      <c r="C36" s="34"/>
      <c r="D36" s="31"/>
      <c r="E36" s="23"/>
      <c r="F36" s="23"/>
      <c r="G36" s="23"/>
      <c r="H36" s="23"/>
      <c r="I36" s="23"/>
      <c r="J36" s="26"/>
      <c r="K36" s="26"/>
      <c r="L36" s="26"/>
      <c r="M36" s="26"/>
      <c r="N36" s="26"/>
      <c r="O36" s="26"/>
      <c r="P36" s="26"/>
      <c r="R36" s="29" t="str">
        <f>"ID:"&amp;SUBSTITUTE(SUBSTITUTE(SUBSTITUTE(SUBSTITUTE(UPPER(TRIM(B36&amp;"")),"!","!E"),"*","!A"),"?","!B"),"~","!C")</f>
        <v>ID:</v>
      </c>
    </row>
    <row r="37" ht="36" customHeight="1">
      <c r="B37" s="31"/>
      <c r="C37" s="34"/>
      <c r="D37" s="31"/>
      <c r="E37" s="23"/>
      <c r="F37" s="23"/>
      <c r="G37" s="23"/>
      <c r="H37" s="23"/>
      <c r="I37" s="23"/>
      <c r="J37" s="23"/>
      <c r="K37" s="23"/>
      <c r="L37" s="23"/>
      <c r="M37" s="23"/>
      <c r="N37" s="23"/>
      <c r="O37" s="23"/>
      <c r="P37" s="23"/>
      <c r="R37" s="29" t="str">
        <f>"ID:"&amp;SUBSTITUTE(SUBSTITUTE(SUBSTITUTE(SUBSTITUTE(UPPER(TRIM(B37&amp;"")),"!","!E"),"*","!A"),"?","!B"),"~","!C")</f>
        <v>ID:</v>
      </c>
    </row>
    <row r="38" ht="36" customHeight="1">
      <c r="B38" s="31"/>
      <c r="C38" s="34"/>
      <c r="D38" s="31"/>
      <c r="E38" s="23"/>
      <c r="F38" s="23"/>
      <c r="G38" s="23"/>
      <c r="H38" s="23"/>
      <c r="I38" s="23"/>
      <c r="J38" s="23"/>
      <c r="K38" s="23"/>
      <c r="L38" s="23"/>
      <c r="M38" s="23"/>
      <c r="N38" s="23"/>
      <c r="O38" s="23"/>
      <c r="P38" s="23"/>
      <c r="R38" s="29" t="str">
        <f>"ID:"&amp;SUBSTITUTE(SUBSTITUTE(SUBSTITUTE(SUBSTITUTE(UPPER(TRIM(B38&amp;"")),"!","!E"),"*","!A"),"?","!B"),"~","!C")</f>
        <v>ID:</v>
      </c>
    </row>
    <row r="39" ht="36" customHeight="1">
      <c r="B39" s="31"/>
      <c r="C39" s="34"/>
      <c r="D39" s="31"/>
      <c r="E39" s="23"/>
      <c r="F39" s="23"/>
      <c r="G39" s="23"/>
      <c r="H39" s="23"/>
      <c r="I39" s="23"/>
      <c r="J39" s="23"/>
      <c r="K39" s="23"/>
      <c r="L39" s="23"/>
      <c r="M39" s="23"/>
      <c r="N39" s="23"/>
      <c r="O39" s="23"/>
      <c r="P39" s="23"/>
      <c r="R39" s="29" t="str">
        <f>"ID:"&amp;SUBSTITUTE(SUBSTITUTE(SUBSTITUTE(SUBSTITUTE(UPPER(TRIM(B39&amp;"")),"!","!E"),"*","!A"),"?","!B"),"~","!C")</f>
        <v>ID:</v>
      </c>
    </row>
    <row r="40" ht="36" customHeight="1">
      <c r="B40" s="31"/>
      <c r="C40" s="34"/>
      <c r="D40" s="31"/>
      <c r="E40" s="23"/>
      <c r="F40" s="23"/>
      <c r="G40" s="23"/>
      <c r="H40" s="23"/>
      <c r="I40" s="23"/>
      <c r="J40" s="23"/>
      <c r="K40" s="23"/>
      <c r="L40" s="23"/>
      <c r="M40" s="23"/>
      <c r="N40" s="23"/>
      <c r="O40" s="23"/>
      <c r="P40" s="23"/>
      <c r="R40" s="29" t="str">
        <f>"ID:"&amp;SUBSTITUTE(SUBSTITUTE(SUBSTITUTE(SUBSTITUTE(UPPER(TRIM(B40&amp;"")),"!","!E"),"*","!A"),"?","!B"),"~","!C")</f>
        <v>ID:</v>
      </c>
    </row>
    <row r="41" ht="36" customHeight="1">
      <c r="B41" s="31"/>
      <c r="C41" s="34"/>
      <c r="D41" s="31"/>
      <c r="E41" s="23"/>
      <c r="F41" s="23"/>
      <c r="G41" s="23"/>
      <c r="H41" s="23"/>
      <c r="I41" s="23"/>
      <c r="J41" s="23"/>
      <c r="K41" s="23"/>
      <c r="L41" s="23"/>
      <c r="M41" s="23"/>
      <c r="N41" s="23"/>
      <c r="O41" s="23"/>
      <c r="P41" s="23"/>
      <c r="R41" s="29" t="str">
        <f>"ID:"&amp;SUBSTITUTE(SUBSTITUTE(SUBSTITUTE(SUBSTITUTE(UPPER(TRIM(B41&amp;"")),"!","!E"),"*","!A"),"?","!B"),"~","!C")</f>
        <v>ID:</v>
      </c>
    </row>
    <row r="42" ht="36" customHeight="1">
      <c r="B42" s="31"/>
      <c r="C42" s="34"/>
      <c r="D42" s="31"/>
      <c r="E42" s="23"/>
      <c r="F42" s="23"/>
      <c r="G42" s="23"/>
      <c r="H42" s="23"/>
      <c r="I42" s="23"/>
      <c r="J42" s="23"/>
      <c r="K42" s="23"/>
      <c r="L42" s="23"/>
      <c r="M42" s="23"/>
      <c r="N42" s="23"/>
      <c r="O42" s="23"/>
      <c r="P42" s="23"/>
      <c r="R42" s="29" t="str">
        <f>"ID:"&amp;SUBSTITUTE(SUBSTITUTE(SUBSTITUTE(SUBSTITUTE(UPPER(TRIM(B42&amp;"")),"!","!E"),"*","!A"),"?","!B"),"~","!C")</f>
        <v>ID:</v>
      </c>
    </row>
    <row r="43" ht="36" customHeight="1">
      <c r="B43" s="31"/>
      <c r="C43" s="34"/>
      <c r="D43" s="31"/>
      <c r="E43" s="23"/>
      <c r="F43" s="23"/>
      <c r="G43" s="23"/>
      <c r="H43" s="23"/>
      <c r="I43" s="23"/>
      <c r="J43" s="23"/>
      <c r="K43" s="23"/>
      <c r="L43" s="23"/>
      <c r="M43" s="23"/>
      <c r="N43" s="23"/>
      <c r="O43" s="23"/>
      <c r="P43" s="23"/>
      <c r="R43" s="29" t="str">
        <f>"ID:"&amp;SUBSTITUTE(SUBSTITUTE(SUBSTITUTE(SUBSTITUTE(UPPER(TRIM(B43&amp;"")),"!","!E"),"*","!A"),"?","!B"),"~","!C")</f>
        <v>ID:</v>
      </c>
    </row>
    <row r="44" ht="36" customHeight="1">
      <c r="B44" s="31"/>
      <c r="C44" s="34"/>
      <c r="D44" s="31"/>
      <c r="E44" s="23"/>
      <c r="F44" s="23"/>
      <c r="G44" s="23"/>
      <c r="H44" s="23"/>
      <c r="I44" s="23"/>
      <c r="J44" s="23"/>
      <c r="K44" s="23"/>
      <c r="L44" s="23"/>
      <c r="M44" s="23"/>
      <c r="N44" s="23"/>
      <c r="O44" s="23"/>
      <c r="P44" s="23"/>
      <c r="R44" s="29" t="str">
        <f>"ID:"&amp;SUBSTITUTE(SUBSTITUTE(SUBSTITUTE(SUBSTITUTE(UPPER(TRIM(B44&amp;"")),"!","!E"),"*","!A"),"?","!B"),"~","!C")</f>
        <v>ID:</v>
      </c>
    </row>
    <row r="45" ht="36" customHeight="1">
      <c r="B45" s="31"/>
      <c r="C45" s="34"/>
      <c r="D45" s="31"/>
      <c r="E45" s="23"/>
      <c r="F45" s="23"/>
      <c r="G45" s="23"/>
      <c r="H45" s="23"/>
      <c r="I45" s="23"/>
      <c r="J45" s="23"/>
      <c r="K45" s="23"/>
      <c r="L45" s="23"/>
      <c r="M45" s="23"/>
      <c r="N45" s="23"/>
      <c r="O45" s="23"/>
      <c r="P45" s="23"/>
      <c r="R45" s="29" t="str">
        <f>"ID:"&amp;SUBSTITUTE(SUBSTITUTE(SUBSTITUTE(SUBSTITUTE(UPPER(TRIM(B45&amp;"")),"!","!E"),"*","!A"),"?","!B"),"~","!C")</f>
        <v>ID:</v>
      </c>
    </row>
    <row r="46" ht="36" customHeight="1">
      <c r="B46" s="31"/>
      <c r="C46" s="34"/>
      <c r="D46" s="31"/>
      <c r="E46" s="23"/>
      <c r="F46" s="23"/>
      <c r="G46" s="23"/>
      <c r="H46" s="23"/>
      <c r="I46" s="23"/>
      <c r="J46" s="23"/>
      <c r="K46" s="23"/>
      <c r="L46" s="23"/>
      <c r="M46" s="23"/>
      <c r="N46" s="23"/>
      <c r="O46" s="23"/>
      <c r="P46" s="23"/>
      <c r="R46" s="29" t="str">
        <f>"ID:"&amp;SUBSTITUTE(SUBSTITUTE(SUBSTITUTE(SUBSTITUTE(UPPER(TRIM(B46&amp;"")),"!","!E"),"*","!A"),"?","!B"),"~","!C")</f>
        <v>ID:</v>
      </c>
    </row>
    <row r="47" ht="36" customHeight="1">
      <c r="B47" s="31"/>
      <c r="C47" s="34"/>
      <c r="D47" s="31"/>
      <c r="E47" s="23"/>
      <c r="F47" s="23"/>
      <c r="G47" s="23"/>
      <c r="H47" s="23"/>
      <c r="I47" s="23"/>
      <c r="J47" s="23"/>
      <c r="K47" s="23"/>
      <c r="L47" s="23"/>
      <c r="M47" s="23"/>
      <c r="N47" s="23"/>
      <c r="O47" s="23"/>
      <c r="P47" s="23"/>
      <c r="R47" s="29" t="str">
        <f>"ID:"&amp;SUBSTITUTE(SUBSTITUTE(SUBSTITUTE(SUBSTITUTE(UPPER(TRIM(B47&amp;"")),"!","!E"),"*","!A"),"?","!B"),"~","!C")</f>
        <v>ID:</v>
      </c>
    </row>
    <row r="48" ht="36" customHeight="1">
      <c r="B48" s="31"/>
      <c r="C48" s="34"/>
      <c r="D48" s="31"/>
      <c r="E48" s="23"/>
      <c r="F48" s="23"/>
      <c r="G48" s="23"/>
      <c r="H48" s="23"/>
      <c r="I48" s="23"/>
      <c r="J48" s="23"/>
      <c r="K48" s="23"/>
      <c r="L48" s="23"/>
      <c r="M48" s="23"/>
      <c r="N48" s="23"/>
      <c r="O48" s="23"/>
      <c r="P48" s="23"/>
      <c r="R48" s="29" t="str">
        <f>"ID:"&amp;SUBSTITUTE(SUBSTITUTE(SUBSTITUTE(SUBSTITUTE(UPPER(TRIM(B48&amp;"")),"!","!E"),"*","!A"),"?","!B"),"~","!C")</f>
        <v>ID:</v>
      </c>
    </row>
    <row r="49" ht="36" customHeight="1">
      <c r="B49" s="31"/>
      <c r="C49" s="34"/>
      <c r="D49" s="31"/>
      <c r="E49" s="23"/>
      <c r="F49" s="23"/>
      <c r="G49" s="23"/>
      <c r="H49" s="23"/>
      <c r="I49" s="23"/>
      <c r="J49" s="23"/>
      <c r="K49" s="23"/>
      <c r="L49" s="23"/>
      <c r="M49" s="23"/>
      <c r="N49" s="23"/>
      <c r="O49" s="23"/>
      <c r="P49" s="23"/>
      <c r="R49" s="29" t="str">
        <f>"ID:"&amp;SUBSTITUTE(SUBSTITUTE(SUBSTITUTE(SUBSTITUTE(UPPER(TRIM(B49&amp;"")),"!","!E"),"*","!A"),"?","!B"),"~","!C")</f>
        <v>ID:</v>
      </c>
    </row>
    <row r="50" ht="36" customHeight="1">
      <c r="B50" s="31"/>
      <c r="C50" s="34"/>
      <c r="D50" s="31"/>
      <c r="E50" s="23"/>
      <c r="F50" s="23"/>
      <c r="G50" s="23"/>
      <c r="H50" s="23"/>
      <c r="I50" s="23"/>
      <c r="J50" s="23"/>
      <c r="K50" s="23"/>
      <c r="L50" s="23"/>
      <c r="M50" s="23"/>
      <c r="N50" s="23"/>
      <c r="O50" s="23"/>
      <c r="P50" s="23"/>
      <c r="R50" s="29" t="str">
        <f>"ID:"&amp;SUBSTITUTE(SUBSTITUTE(SUBSTITUTE(SUBSTITUTE(UPPER(TRIM(B50&amp;"")),"!","!E"),"*","!A"),"?","!B"),"~","!C")</f>
        <v>ID:</v>
      </c>
    </row>
    <row r="51" ht="36" customHeight="1">
      <c r="B51" s="31"/>
      <c r="C51" s="34"/>
      <c r="D51" s="31"/>
      <c r="E51" s="23"/>
      <c r="F51" s="23"/>
      <c r="G51" s="23"/>
      <c r="H51" s="23"/>
      <c r="I51" s="23"/>
      <c r="J51" s="23"/>
      <c r="K51" s="23"/>
      <c r="L51" s="23"/>
      <c r="M51" s="23"/>
      <c r="N51" s="23"/>
      <c r="O51" s="23"/>
      <c r="P51" s="23"/>
      <c r="R51" s="29" t="str">
        <f>"ID:"&amp;SUBSTITUTE(SUBSTITUTE(SUBSTITUTE(SUBSTITUTE(UPPER(TRIM(B51&amp;"")),"!","!E"),"*","!A"),"?","!B"),"~","!C")</f>
        <v>ID:</v>
      </c>
    </row>
    <row r="52" ht="36" customHeight="1">
      <c r="B52" s="31"/>
      <c r="C52" s="34"/>
      <c r="D52" s="31"/>
      <c r="E52" s="23"/>
      <c r="F52" s="23"/>
      <c r="G52" s="23"/>
      <c r="H52" s="23"/>
      <c r="I52" s="23"/>
      <c r="J52" s="23"/>
      <c r="K52" s="23"/>
      <c r="L52" s="23"/>
      <c r="M52" s="23"/>
      <c r="N52" s="23"/>
      <c r="O52" s="23"/>
      <c r="P52" s="23"/>
      <c r="R52" s="29" t="str">
        <f>"ID:"&amp;SUBSTITUTE(SUBSTITUTE(SUBSTITUTE(SUBSTITUTE(UPPER(TRIM(B52&amp;"")),"!","!E"),"*","!A"),"?","!B"),"~","!C")</f>
        <v>ID:</v>
      </c>
    </row>
    <row r="53" ht="36" customHeight="1">
      <c r="B53" s="31"/>
      <c r="C53" s="34"/>
      <c r="D53" s="31"/>
      <c r="E53" s="23"/>
      <c r="F53" s="23"/>
      <c r="G53" s="23"/>
      <c r="H53" s="23"/>
      <c r="I53" s="23"/>
      <c r="J53" s="23"/>
      <c r="K53" s="23"/>
      <c r="L53" s="23"/>
      <c r="M53" s="23"/>
      <c r="N53" s="23"/>
      <c r="O53" s="23"/>
      <c r="P53" s="23"/>
      <c r="R53" s="29" t="str">
        <f>"ID:"&amp;SUBSTITUTE(SUBSTITUTE(SUBSTITUTE(SUBSTITUTE(UPPER(TRIM(B53&amp;"")),"!","!E"),"*","!A"),"?","!B"),"~","!C")</f>
        <v>ID:</v>
      </c>
    </row>
    <row r="54" ht="36" customHeight="1">
      <c r="B54" s="31"/>
      <c r="C54" s="34"/>
      <c r="D54" s="31"/>
      <c r="E54" s="23"/>
      <c r="F54" s="23"/>
      <c r="G54" s="23"/>
      <c r="H54" s="23"/>
      <c r="I54" s="23"/>
      <c r="J54" s="23"/>
      <c r="K54" s="23"/>
      <c r="L54" s="23"/>
      <c r="M54" s="23"/>
      <c r="N54" s="23"/>
      <c r="O54" s="23"/>
      <c r="P54" s="23"/>
      <c r="R54" s="29" t="str">
        <f>"ID:"&amp;SUBSTITUTE(SUBSTITUTE(SUBSTITUTE(SUBSTITUTE(UPPER(TRIM(B54&amp;"")),"!","!E"),"*","!A"),"?","!B"),"~","!C")</f>
        <v>ID:</v>
      </c>
    </row>
    <row r="55" ht="36" customHeight="1">
      <c r="B55" s="31"/>
      <c r="C55" s="34"/>
      <c r="D55" s="31"/>
      <c r="E55" s="23"/>
      <c r="F55" s="23"/>
      <c r="G55" s="23"/>
      <c r="H55" s="23"/>
      <c r="I55" s="23"/>
      <c r="J55" s="23"/>
      <c r="K55" s="23"/>
      <c r="L55" s="23"/>
      <c r="M55" s="23"/>
      <c r="N55" s="23"/>
      <c r="O55" s="23"/>
      <c r="P55" s="23"/>
      <c r="R55" s="29" t="str">
        <f>"ID:"&amp;SUBSTITUTE(SUBSTITUTE(SUBSTITUTE(SUBSTITUTE(UPPER(TRIM(B55&amp;"")),"!","!E"),"*","!A"),"?","!B"),"~","!C")</f>
        <v>ID:</v>
      </c>
    </row>
    <row r="56" ht="36" customHeight="1">
      <c r="B56" s="31"/>
      <c r="C56" s="34"/>
      <c r="D56" s="31"/>
      <c r="E56" s="23"/>
      <c r="F56" s="23"/>
      <c r="G56" s="23"/>
      <c r="H56" s="23"/>
      <c r="I56" s="23"/>
      <c r="J56" s="23"/>
      <c r="K56" s="23"/>
      <c r="L56" s="23"/>
      <c r="M56" s="23"/>
      <c r="N56" s="23"/>
      <c r="O56" s="23"/>
      <c r="P56" s="23"/>
      <c r="R56" s="29" t="str">
        <f>"ID:"&amp;SUBSTITUTE(SUBSTITUTE(SUBSTITUTE(SUBSTITUTE(UPPER(TRIM(B56&amp;"")),"!","!E"),"*","!A"),"?","!B"),"~","!C")</f>
        <v>ID:</v>
      </c>
    </row>
    <row r="57" ht="36" customHeight="1">
      <c r="B57" s="31"/>
      <c r="C57" s="34"/>
      <c r="D57" s="31"/>
      <c r="E57" s="23"/>
      <c r="F57" s="23"/>
      <c r="G57" s="23"/>
      <c r="H57" s="23"/>
      <c r="I57" s="23"/>
      <c r="J57" s="23"/>
      <c r="K57" s="23"/>
      <c r="L57" s="23"/>
      <c r="M57" s="23"/>
      <c r="N57" s="23"/>
      <c r="O57" s="23"/>
      <c r="P57" s="23"/>
      <c r="R57" s="29" t="str">
        <f>"ID:"&amp;SUBSTITUTE(SUBSTITUTE(SUBSTITUTE(SUBSTITUTE(UPPER(TRIM(B57&amp;"")),"!","!E"),"*","!A"),"?","!B"),"~","!C")</f>
        <v>ID:</v>
      </c>
    </row>
    <row r="58" ht="36" customHeight="1">
      <c r="B58" s="31"/>
      <c r="C58" s="34"/>
      <c r="D58" s="31"/>
      <c r="E58" s="23"/>
      <c r="F58" s="23"/>
      <c r="G58" s="23"/>
      <c r="H58" s="23"/>
      <c r="I58" s="23"/>
      <c r="J58" s="23"/>
      <c r="K58" s="23"/>
      <c r="L58" s="23"/>
      <c r="M58" s="23"/>
      <c r="N58" s="23"/>
      <c r="O58" s="23"/>
      <c r="P58" s="23"/>
      <c r="R58" s="29" t="str">
        <f>"ID:"&amp;SUBSTITUTE(SUBSTITUTE(SUBSTITUTE(SUBSTITUTE(UPPER(TRIM(B58&amp;"")),"!","!E"),"*","!A"),"?","!B"),"~","!C")</f>
        <v>ID:</v>
      </c>
    </row>
    <row r="59" ht="36" customHeight="1">
      <c r="B59" s="31"/>
      <c r="C59" s="34"/>
      <c r="D59" s="31"/>
      <c r="E59" s="23"/>
      <c r="F59" s="23"/>
      <c r="G59" s="23"/>
      <c r="H59" s="23"/>
      <c r="I59" s="23"/>
      <c r="J59" s="23"/>
      <c r="K59" s="23"/>
      <c r="L59" s="23"/>
      <c r="M59" s="23"/>
      <c r="N59" s="23"/>
      <c r="O59" s="23"/>
      <c r="P59" s="23"/>
      <c r="R59" s="29" t="str">
        <f>"ID:"&amp;SUBSTITUTE(SUBSTITUTE(SUBSTITUTE(SUBSTITUTE(UPPER(TRIM(B59&amp;"")),"!","!E"),"*","!A"),"?","!B"),"~","!C")</f>
        <v>ID:</v>
      </c>
    </row>
    <row r="60" ht="36" customHeight="1">
      <c r="B60" s="31"/>
      <c r="C60" s="34"/>
      <c r="D60" s="31"/>
      <c r="E60" s="23"/>
      <c r="F60" s="23"/>
      <c r="G60" s="23"/>
      <c r="H60" s="23"/>
      <c r="I60" s="23"/>
      <c r="J60" s="23"/>
      <c r="K60" s="23"/>
      <c r="L60" s="23"/>
      <c r="M60" s="23"/>
      <c r="N60" s="23"/>
      <c r="O60" s="23"/>
      <c r="P60" s="23"/>
      <c r="R60" s="29" t="str">
        <f>"ID:"&amp;SUBSTITUTE(SUBSTITUTE(SUBSTITUTE(SUBSTITUTE(UPPER(TRIM(B60&amp;"")),"!","!E"),"*","!A"),"?","!B"),"~","!C")</f>
        <v>ID:</v>
      </c>
    </row>
    <row r="61" ht="36" customHeight="1">
      <c r="B61" s="31"/>
      <c r="C61" s="34"/>
      <c r="D61" s="31"/>
      <c r="E61" s="23"/>
      <c r="F61" s="23"/>
      <c r="G61" s="23"/>
      <c r="H61" s="23"/>
      <c r="I61" s="23"/>
      <c r="J61" s="23"/>
      <c r="K61" s="23"/>
      <c r="L61" s="23"/>
      <c r="M61" s="23"/>
      <c r="N61" s="23"/>
      <c r="O61" s="23"/>
      <c r="P61" s="23"/>
      <c r="R61" s="29" t="str">
        <f>"ID:"&amp;SUBSTITUTE(SUBSTITUTE(SUBSTITUTE(SUBSTITUTE(UPPER(TRIM(B61&amp;"")),"!","!E"),"*","!A"),"?","!B"),"~","!C")</f>
        <v>ID:</v>
      </c>
    </row>
    <row r="62" ht="36" customHeight="1">
      <c r="B62" s="31"/>
      <c r="C62" s="34"/>
      <c r="D62" s="31"/>
      <c r="E62" s="23"/>
      <c r="F62" s="23"/>
      <c r="G62" s="23"/>
      <c r="H62" s="23"/>
      <c r="I62" s="23"/>
      <c r="J62" s="23"/>
      <c r="K62" s="23"/>
      <c r="L62" s="23"/>
      <c r="M62" s="23"/>
      <c r="N62" s="23"/>
      <c r="O62" s="23"/>
      <c r="P62" s="23"/>
      <c r="R62" s="29" t="str">
        <f>"ID:"&amp;SUBSTITUTE(SUBSTITUTE(SUBSTITUTE(SUBSTITUTE(UPPER(TRIM(B62&amp;"")),"!","!E"),"*","!A"),"?","!B"),"~","!C")</f>
        <v>ID:</v>
      </c>
    </row>
    <row r="63" ht="36" customHeight="1">
      <c r="B63" s="31"/>
      <c r="C63" s="34"/>
      <c r="D63" s="31"/>
      <c r="E63" s="23"/>
      <c r="F63" s="23"/>
      <c r="G63" s="23"/>
      <c r="H63" s="23"/>
      <c r="I63" s="23"/>
      <c r="J63" s="23"/>
      <c r="K63" s="23"/>
      <c r="L63" s="23"/>
      <c r="M63" s="23"/>
      <c r="N63" s="23"/>
      <c r="O63" s="23"/>
      <c r="P63" s="23"/>
      <c r="R63" s="29" t="str">
        <f>"ID:"&amp;SUBSTITUTE(SUBSTITUTE(SUBSTITUTE(SUBSTITUTE(UPPER(TRIM(B63&amp;"")),"!","!E"),"*","!A"),"?","!B"),"~","!C")</f>
        <v>ID:</v>
      </c>
    </row>
    <row r="64" ht="36" customHeight="1">
      <c r="B64" s="31"/>
      <c r="C64" s="34"/>
      <c r="D64" s="31"/>
      <c r="E64" s="23"/>
      <c r="F64" s="23"/>
      <c r="G64" s="23"/>
      <c r="H64" s="23"/>
      <c r="I64" s="23"/>
      <c r="J64" s="23"/>
      <c r="K64" s="23"/>
      <c r="L64" s="23"/>
      <c r="M64" s="23"/>
      <c r="N64" s="23"/>
      <c r="O64" s="23"/>
      <c r="P64" s="23"/>
      <c r="R64" s="29" t="str">
        <f>"ID:"&amp;SUBSTITUTE(SUBSTITUTE(SUBSTITUTE(SUBSTITUTE(UPPER(TRIM(B64&amp;"")),"!","!E"),"*","!A"),"?","!B"),"~","!C")</f>
        <v>ID:</v>
      </c>
    </row>
    <row r="65" ht="23" customHeight="1">
      <c r="B65" s="23"/>
      <c r="C65" s="23"/>
      <c r="D65" s="23"/>
      <c r="E65" s="23"/>
      <c r="F65" s="23"/>
      <c r="G65" s="23"/>
      <c r="H65" s="23"/>
      <c r="I65" s="23"/>
      <c r="J65" s="23"/>
      <c r="K65" s="23"/>
      <c r="L65" s="23"/>
      <c r="M65" s="23"/>
      <c r="N65" s="23"/>
      <c r="O65" s="23"/>
      <c r="P65" s="23"/>
    </row>
    <row r="66" ht="23" customHeight="1">
      <c r="B66" s="23"/>
      <c r="C66" s="23"/>
      <c r="D66" s="23"/>
      <c r="E66" s="23"/>
      <c r="F66" s="23"/>
      <c r="G66" s="23"/>
      <c r="H66" s="23"/>
      <c r="I66" s="23"/>
      <c r="J66" s="23"/>
      <c r="K66" s="23"/>
      <c r="L66" s="23"/>
      <c r="M66" s="23"/>
      <c r="N66" s="23"/>
      <c r="O66" s="23"/>
      <c r="P66" s="23"/>
    </row>
    <row r="67" ht="25" customHeight="1">
      <c r="B67" s="33" t="str">
        <v>Cuitó Digital · cuitodigital.com</v>
      </c>
      <c r="C67" s="33"/>
      <c r="D67" s="33"/>
      <c r="E67" s="33"/>
      <c r="F67" s="33"/>
      <c r="G67" s="33"/>
      <c r="H67" s="33"/>
      <c r="I67" s="33"/>
      <c r="J67" s="33"/>
      <c r="K67" s="33"/>
      <c r="L67" s="33"/>
      <c r="M67" s="33"/>
      <c r="N67" s="33"/>
      <c r="O67" s="33"/>
      <c r="P67" s="33"/>
    </row>
    <row r="68" ht="23" customHeight="1">
      <c r="B68" s="23"/>
      <c r="C68" s="23"/>
      <c r="D68" s="23"/>
      <c r="E68" s="23"/>
      <c r="F68" s="23"/>
      <c r="G68" s="23"/>
      <c r="H68" s="23"/>
      <c r="I68" s="23"/>
      <c r="J68" s="23"/>
      <c r="K68" s="23"/>
      <c r="L68" s="23"/>
      <c r="M68" s="23"/>
      <c r="N68" s="23"/>
      <c r="O68" s="23"/>
      <c r="P68" s="23"/>
    </row>
    <row r="69" ht="23" customHeight="1">
      <c r="B69" s="23"/>
      <c r="C69" s="23"/>
      <c r="D69" s="23"/>
      <c r="E69" s="23"/>
      <c r="F69" s="23"/>
      <c r="G69" s="23"/>
      <c r="H69" s="23"/>
      <c r="I69" s="23"/>
      <c r="J69" s="23"/>
      <c r="K69" s="23"/>
      <c r="L69" s="23"/>
      <c r="M69" s="23"/>
      <c r="N69" s="23"/>
      <c r="O69" s="23"/>
      <c r="P69" s="23"/>
    </row>
  </sheetData>
  <sheetProtection sheet="1" objects="1" scenarios="1" formatCells="1" formatColumns="0" formatRows="0" insertColumns="1" insertRows="1" deleteColumns="1" deleteRows="1" sort="1" autoFilter="1" selectLockedCells="0" selectUnlockedCells="0"/>
  <mergeCells>
    <mergeCell ref="B2:O3"/>
    <mergeCell ref="B5:P6"/>
    <mergeCell ref="B8:D8"/>
    <mergeCell ref="F8:G8"/>
    <mergeCell ref="I8:J8"/>
    <mergeCell ref="L8:P9"/>
    <mergeCell ref="B11:P12"/>
    <mergeCell ref="J15:P18"/>
    <mergeCell ref="J21:P24"/>
    <mergeCell ref="J27:P30"/>
    <mergeCell ref="J33:P36"/>
    <mergeCell ref="B67:P67"/>
  </mergeCells>
  <pageMargins left=".25" right=".25" top=".35" bottom=".35" header=".15" footer=".15"/>
  <pageSetup paperSize="9" orientation="landscape" fitToWidth="1" fitToHeight="0"/>
  <headerFooter>
    <oddFooter>&amp;LCuitó Digital · cuitodigital.com&amp;R&amp;P</oddFooter>
  </headerFooter>
  <drawing r:id="Rbcacf468b51d4667"/>
</worksheet>
</file>

<file path=xl/worksheets/sheet5.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25" hidden="0" customWidth="1"/>
    <col min="3" max="3" width="22" hidden="0" customWidth="1"/>
    <col min="4" max="4" width="22" hidden="0" customWidth="1"/>
    <col min="5" max="5" width="22" hidden="0" customWidth="1"/>
    <col min="6" max="6" width="22" hidden="0" customWidth="1"/>
    <col min="7" max="7" width="22" hidden="0" customWidth="1"/>
    <col min="8" max="8" width="44" hidden="0" customWidth="1"/>
  </cols>
  <sheetData>
    <row r="1" ht="23" customHeight="1">
      <c r="B1" s="23"/>
      <c r="C1" s="23"/>
      <c r="D1" s="23"/>
      <c r="E1" s="23"/>
      <c r="F1" s="23"/>
      <c r="G1" s="23"/>
      <c r="H1" s="23"/>
    </row>
    <row r="2" ht="25" customHeight="1">
      <c r="B2" s="24" t="str">
        <v>Antes de enviar, vemos lo que recibirá el cliente</v>
      </c>
      <c r="C2" s="24"/>
      <c r="D2" s="24"/>
      <c r="E2" s="24"/>
      <c r="F2" s="24"/>
      <c r="G2" s="24"/>
      <c r="H2" s="23"/>
    </row>
    <row r="3" ht="25" customHeight="1">
      <c r="B3" s="24"/>
      <c r="C3" s="24"/>
      <c r="D3" s="24"/>
      <c r="E3" s="24"/>
      <c r="F3" s="24"/>
      <c r="G3" s="24"/>
      <c r="H3" s="23"/>
    </row>
    <row r="4" ht="23" customHeight="1">
      <c r="B4" s="25"/>
      <c r="C4" s="25"/>
      <c r="D4" s="25"/>
      <c r="E4" s="25"/>
      <c r="F4" s="25"/>
      <c r="G4" s="25"/>
      <c r="H4" s="25"/>
    </row>
    <row r="5" ht="23" customHeight="1">
      <c r="B5" s="23"/>
      <c r="C5" s="23"/>
      <c r="D5" s="23"/>
      <c r="E5" s="23"/>
      <c r="F5" s="23"/>
      <c r="G5" s="23"/>
      <c r="H5" s="23"/>
    </row>
    <row r="6" ht="28" customHeight="1">
      <c r="B6" s="26" t="str">
        <v>Cargamos capítulos, unidades y formatos en REFERENCIAS. Pegamos las partidas en DATOS. Una fila por partida y solo los capítulos finales que les correspondan, sin añadir subtotales ni impuestos. Un extracto se identifica como extracto: no demuestra que esté toda la obra.</v>
      </c>
      <c r="C6" s="26"/>
      <c r="D6" s="26"/>
      <c r="E6" s="26"/>
      <c r="F6" s="26"/>
      <c r="G6" s="26"/>
      <c r="H6" s="26"/>
    </row>
    <row r="7" ht="28" customHeight="1">
      <c r="B7" s="26"/>
      <c r="C7" s="26"/>
      <c r="D7" s="26"/>
      <c r="E7" s="26"/>
      <c r="F7" s="26"/>
      <c r="G7" s="26"/>
      <c r="H7" s="26"/>
    </row>
    <row r="8" ht="23" customHeight="1">
      <c r="B8" s="23"/>
      <c r="C8" s="23"/>
      <c r="D8" s="23"/>
      <c r="E8" s="23"/>
      <c r="F8" s="23"/>
      <c r="G8" s="23"/>
      <c r="H8" s="23"/>
    </row>
    <row r="9" ht="23" customHeight="1">
      <c r="B9" s="23"/>
      <c r="C9" s="23"/>
      <c r="D9" s="23"/>
      <c r="E9" s="23"/>
      <c r="F9" s="23"/>
      <c r="G9" s="23"/>
      <c r="H9" s="23"/>
    </row>
    <row r="10" ht="28" customHeight="1">
      <c r="B10" s="26" t="str">
        <v>Declaramos los decimales visibles de cantidad, precio e importe en el documento revisado, entre cero y seis. La hoja muestra hasta ocho para ver el valor completo. Si hay formatos distintos, revisamos cada grupo por separado.</v>
      </c>
      <c r="C10" s="26"/>
      <c r="D10" s="26"/>
      <c r="E10" s="26"/>
      <c r="F10" s="26"/>
      <c r="G10" s="26"/>
      <c r="H10" s="26"/>
    </row>
    <row r="11" ht="28" customHeight="1">
      <c r="B11" s="26"/>
      <c r="C11" s="26"/>
      <c r="D11" s="26"/>
      <c r="E11" s="26"/>
      <c r="F11" s="26"/>
      <c r="G11" s="26"/>
      <c r="H11" s="26"/>
    </row>
    <row r="12" ht="23" customHeight="1">
      <c r="B12" s="23"/>
      <c r="C12" s="23"/>
      <c r="D12" s="23"/>
      <c r="E12" s="23"/>
      <c r="F12" s="23"/>
      <c r="G12" s="23"/>
      <c r="H12" s="23"/>
    </row>
    <row r="13" ht="23" customHeight="1">
      <c r="B13" s="23"/>
      <c r="C13" s="23"/>
      <c r="D13" s="23"/>
      <c r="E13" s="23"/>
      <c r="F13" s="23"/>
      <c r="G13" s="23"/>
      <c r="H13" s="23"/>
    </row>
    <row r="14" ht="28" customHeight="1">
      <c r="B14" s="26" t="str">
        <v>El control de importes compara cantidad por precio con el redondeo declarado. La suma de capítulo usa los importes entregados redondeados por fila. Un céntimo de diferencia genera aviso; no compensamos errores entre capítulos.</v>
      </c>
      <c r="C14" s="26"/>
      <c r="D14" s="26"/>
      <c r="E14" s="26"/>
      <c r="F14" s="26"/>
      <c r="G14" s="26"/>
      <c r="H14" s="26"/>
    </row>
    <row r="15" ht="28" customHeight="1">
      <c r="B15" s="26"/>
      <c r="C15" s="26"/>
      <c r="D15" s="26"/>
      <c r="E15" s="26"/>
      <c r="F15" s="26"/>
      <c r="G15" s="26"/>
      <c r="H15" s="26"/>
    </row>
    <row r="16" ht="23" customHeight="1">
      <c r="B16" s="23"/>
      <c r="C16" s="23"/>
      <c r="D16" s="23"/>
      <c r="E16" s="23"/>
      <c r="F16" s="23"/>
      <c r="G16" s="23"/>
      <c r="H16" s="23"/>
    </row>
    <row r="17" ht="23" customHeight="1">
      <c r="B17" s="23"/>
      <c r="C17" s="23"/>
      <c r="D17" s="23"/>
      <c r="E17" s="23"/>
      <c r="F17" s="23"/>
      <c r="G17" s="23"/>
      <c r="H17" s="23"/>
    </row>
    <row r="18" ht="28" customHeight="1">
      <c r="B18" s="26" t="str">
        <v>Precio otra vista debe tener el mismo criterio: final con final, misma unidad, alcance e impuestos. Si no existe segunda vista, elegimos No existe y lo documentamos. No inventamos un segundo precio para cerrar el control.</v>
      </c>
      <c r="C18" s="26"/>
      <c r="D18" s="26"/>
      <c r="E18" s="26"/>
      <c r="F18" s="26"/>
      <c r="G18" s="26"/>
      <c r="H18" s="26"/>
    </row>
    <row r="19" ht="28" customHeight="1">
      <c r="B19" s="26"/>
      <c r="C19" s="26"/>
      <c r="D19" s="26"/>
      <c r="E19" s="26"/>
      <c r="F19" s="26"/>
      <c r="G19" s="26"/>
      <c r="H19" s="26"/>
    </row>
    <row r="20" ht="23" customHeight="1">
      <c r="B20" s="23"/>
      <c r="C20" s="23"/>
      <c r="D20" s="23"/>
      <c r="E20" s="23"/>
      <c r="F20" s="23"/>
      <c r="G20" s="23"/>
      <c r="H20" s="23"/>
    </row>
    <row r="21" ht="23" customHeight="1">
      <c r="B21" s="23"/>
      <c r="C21" s="23"/>
      <c r="D21" s="23"/>
      <c r="E21" s="23"/>
      <c r="F21" s="23"/>
      <c r="G21" s="23"/>
      <c r="H21" s="23"/>
    </row>
    <row r="22" ht="28" customHeight="1">
      <c r="B22" s="26" t="str">
        <v>Un cero Sin valorar permanece rojo. Un coste incluido o sin coste documentado exige motivo y referencia comprobada. La cantidad cero pide revisión. Los negativos pueden ser abonos o deducciones: documentamos su motivo.</v>
      </c>
      <c r="C22" s="26"/>
      <c r="D22" s="26"/>
      <c r="E22" s="26"/>
      <c r="F22" s="26"/>
      <c r="G22" s="26"/>
      <c r="H22" s="26"/>
    </row>
    <row r="23" ht="28" customHeight="1">
      <c r="B23" s="26"/>
      <c r="C23" s="26"/>
      <c r="D23" s="26"/>
      <c r="E23" s="26"/>
      <c r="F23" s="26"/>
      <c r="G23" s="26"/>
      <c r="H23" s="26"/>
    </row>
    <row r="24" ht="23" customHeight="1">
      <c r="B24" s="23"/>
      <c r="C24" s="23"/>
      <c r="D24" s="23"/>
      <c r="E24" s="23"/>
      <c r="F24" s="23"/>
      <c r="G24" s="23"/>
      <c r="H24" s="23"/>
    </row>
    <row r="25" ht="23" customHeight="1">
      <c r="B25" s="23"/>
      <c r="C25" s="23"/>
      <c r="D25" s="23"/>
      <c r="E25" s="23"/>
      <c r="F25" s="23"/>
      <c r="G25" s="23"/>
      <c r="H25" s="23"/>
    </row>
    <row r="26" ht="28" customHeight="1">
      <c r="B26" s="26" t="str">
        <v>Cotejamos descripción original y entregada. Un cambio, puntos suspensivos o más de 300 caracteres pide revisión; no prueba un corte en PDF. Sí en Descripción comprobada solo tras cotejar alcance y visualización con su localizador.</v>
      </c>
      <c r="C26" s="26"/>
      <c r="D26" s="26"/>
      <c r="E26" s="26"/>
      <c r="F26" s="26"/>
      <c r="G26" s="26"/>
      <c r="H26" s="26"/>
    </row>
    <row r="27" ht="28" customHeight="1">
      <c r="B27" s="26"/>
      <c r="C27" s="26"/>
      <c r="D27" s="26"/>
      <c r="E27" s="26"/>
      <c r="F27" s="26"/>
      <c r="G27" s="26"/>
      <c r="H27" s="26"/>
    </row>
    <row r="28" ht="23" customHeight="1">
      <c r="B28" s="23"/>
      <c r="C28" s="23"/>
      <c r="D28" s="23"/>
      <c r="E28" s="23"/>
      <c r="F28" s="23"/>
      <c r="G28" s="23"/>
      <c r="H28" s="23"/>
    </row>
    <row r="29" ht="23" customHeight="1">
      <c r="B29" s="23"/>
      <c r="C29" s="23"/>
      <c r="D29" s="23"/>
      <c r="E29" s="23"/>
      <c r="F29" s="23"/>
      <c r="G29" s="23"/>
      <c r="H29" s="23"/>
    </row>
    <row r="30" ht="28" customHeight="1">
      <c r="B30" s="26" t="str">
        <v>Las unidades fuera de la lista admitida generan ámbar. Añadimos una válida con su significado. Que una unidad esté reconocida no demuestra su compatibilidad con el trabajo. Los códigos se distinguen por capítulo.</v>
      </c>
      <c r="C30" s="26"/>
      <c r="D30" s="26"/>
      <c r="E30" s="26"/>
      <c r="F30" s="26"/>
      <c r="G30" s="26"/>
      <c r="H30" s="26"/>
    </row>
    <row r="31" ht="28" customHeight="1">
      <c r="B31" s="26"/>
      <c r="C31" s="26"/>
      <c r="D31" s="26"/>
      <c r="E31" s="26"/>
      <c r="F31" s="26"/>
      <c r="G31" s="26"/>
      <c r="H31" s="26"/>
    </row>
    <row r="32" ht="23" customHeight="1">
      <c r="B32" s="23"/>
      <c r="C32" s="23"/>
      <c r="D32" s="23"/>
      <c r="E32" s="23"/>
      <c r="F32" s="23"/>
      <c r="G32" s="23"/>
      <c r="H32" s="23"/>
    </row>
    <row r="33" ht="23" customHeight="1">
      <c r="B33" s="23"/>
      <c r="C33" s="23"/>
      <c r="D33" s="23"/>
      <c r="E33" s="23"/>
      <c r="F33" s="23"/>
      <c r="G33" s="23"/>
      <c r="H33" s="23"/>
    </row>
    <row r="34" ht="28" customHeight="1">
      <c r="B34" s="26" t="str">
        <v>En AVISOS filtramos los estados. Los ID enlazan con DATOS. Un código repetido en el mismo capítulo se revisa sin fusionar; en otro capítulo puede ser correcto. Ignoramos mayúsculas y espacios de los extremos al comparar claves. No ordenamos columnas sueltas.</v>
      </c>
      <c r="C34" s="26"/>
      <c r="D34" s="26"/>
      <c r="E34" s="26"/>
      <c r="F34" s="26"/>
      <c r="G34" s="26"/>
      <c r="H34" s="26"/>
    </row>
    <row r="35" ht="28" customHeight="1">
      <c r="B35" s="26"/>
      <c r="C35" s="26"/>
      <c r="D35" s="26"/>
      <c r="E35" s="26"/>
      <c r="F35" s="26"/>
      <c r="G35" s="26"/>
      <c r="H35" s="26"/>
    </row>
    <row r="36" ht="23" customHeight="1">
      <c r="B36" s="23"/>
      <c r="C36" s="23"/>
      <c r="D36" s="23"/>
      <c r="E36" s="23"/>
      <c r="F36" s="23"/>
      <c r="G36" s="23"/>
      <c r="H36" s="23"/>
    </row>
    <row r="37" ht="23" customHeight="1">
      <c r="B37" s="23"/>
      <c r="C37" s="23"/>
      <c r="D37" s="23"/>
      <c r="E37" s="23"/>
      <c r="F37" s="23"/>
      <c r="G37" s="23"/>
      <c r="H37" s="23"/>
    </row>
    <row r="38" ht="28" customHeight="1">
      <c r="B38" s="26" t="str">
        <v>En CIERRE vemos los avisos y registramos ocho comprobaciones manuales con su evidencia. Comprobado o No aplica necesitan localizador o motivo. Un estado manual no elimina los avisos de los datos. Volvemos a abrir los archivos finales tras cambiarlos.</v>
      </c>
      <c r="C38" s="26"/>
      <c r="D38" s="26"/>
      <c r="E38" s="26"/>
      <c r="F38" s="26"/>
      <c r="G38" s="26"/>
      <c r="H38" s="26"/>
    </row>
    <row r="39" ht="28" customHeight="1">
      <c r="B39" s="26"/>
      <c r="C39" s="26"/>
      <c r="D39" s="26"/>
      <c r="E39" s="26"/>
      <c r="F39" s="26"/>
      <c r="G39" s="26"/>
      <c r="H39" s="26"/>
    </row>
    <row r="40" ht="23" customHeight="1">
      <c r="B40" s="23"/>
      <c r="C40" s="23"/>
      <c r="D40" s="23"/>
      <c r="E40" s="23"/>
      <c r="F40" s="23"/>
      <c r="G40" s="23"/>
      <c r="H40" s="23"/>
    </row>
    <row r="41" ht="23" customHeight="1">
      <c r="B41" s="23"/>
      <c r="C41" s="23"/>
      <c r="D41" s="23"/>
      <c r="E41" s="23"/>
      <c r="F41" s="23"/>
      <c r="G41" s="23"/>
      <c r="H41" s="23"/>
    </row>
    <row r="42" ht="28" customHeight="1">
      <c r="B42" s="26" t="str">
        <v>Ejemplo real 1: extracto aproximado de dos partidas, unos 1.000 y 2.800 €, suma 3.800 €. La entrega original cuadra. Es un control positivo; una diferencia que añadamos para probar el aviso será una simulación, no un fallo de esa entrega.</v>
      </c>
      <c r="C42" s="26"/>
      <c r="D42" s="26"/>
      <c r="E42" s="26"/>
      <c r="F42" s="26"/>
      <c r="G42" s="26"/>
      <c r="H42" s="26"/>
    </row>
    <row r="43" ht="28" customHeight="1">
      <c r="B43" s="26"/>
      <c r="C43" s="26"/>
      <c r="D43" s="26"/>
      <c r="E43" s="26"/>
      <c r="F43" s="26"/>
      <c r="G43" s="26"/>
      <c r="H43" s="26"/>
    </row>
    <row r="44" ht="23" customHeight="1">
      <c r="B44" s="23"/>
      <c r="C44" s="23"/>
      <c r="D44" s="23"/>
      <c r="E44" s="23"/>
      <c r="F44" s="23"/>
      <c r="G44" s="23"/>
      <c r="H44" s="23"/>
    </row>
    <row r="45" ht="23" customHeight="1">
      <c r="B45" s="23"/>
      <c r="C45" s="23"/>
      <c r="D45" s="23"/>
      <c r="E45" s="23"/>
      <c r="F45" s="23"/>
      <c r="G45" s="23"/>
      <c r="H45" s="23"/>
    </row>
    <row r="46" ht="28" customHeight="1">
      <c r="B46" s="26" t="str">
        <v>Ejemplo real 2: cantidad 494,265 m², que el archivo actual ya muestra con tres decimales. Usamos precio aproximado 50 €/m² y recalculamos el ejemplo: 24.713,25 €. Declarar solo dos decimales es una simulación de ocultación, no el estado del original.</v>
      </c>
      <c r="C46" s="26"/>
      <c r="D46" s="26"/>
      <c r="E46" s="26"/>
      <c r="F46" s="26"/>
      <c r="G46" s="26"/>
      <c r="H46" s="26"/>
    </row>
    <row r="47" ht="28" customHeight="1">
      <c r="B47" s="26"/>
      <c r="C47" s="26"/>
      <c r="D47" s="26"/>
      <c r="E47" s="26"/>
      <c r="F47" s="26"/>
      <c r="G47" s="26"/>
      <c r="H47" s="26"/>
    </row>
    <row r="48" ht="23" customHeight="1">
      <c r="B48" s="23"/>
      <c r="C48" s="23"/>
      <c r="D48" s="23"/>
      <c r="E48" s="23"/>
      <c r="F48" s="23"/>
      <c r="G48" s="23"/>
      <c r="H48" s="23"/>
    </row>
    <row r="49" ht="23" customHeight="1">
      <c r="B49" s="23"/>
      <c r="C49" s="23"/>
      <c r="D49" s="23"/>
      <c r="E49" s="23"/>
      <c r="F49" s="23"/>
      <c r="G49" s="23"/>
      <c r="H49" s="23"/>
    </row>
    <row r="50" ht="28" customHeight="1">
      <c r="B50" s="26" t="str">
        <v>Ejemplo real 3: un elemento pendiente de definir está a cero y sigue sin valorar. Otro cero está incluido en una partida referenciada. Son dos significados diferentes. Los tres casos proceden de obras distintas y se prueban por separado.</v>
      </c>
      <c r="C50" s="26"/>
      <c r="D50" s="26"/>
      <c r="E50" s="26"/>
      <c r="F50" s="26"/>
      <c r="G50" s="26"/>
      <c r="H50" s="26"/>
    </row>
    <row r="51" ht="28" customHeight="1">
      <c r="B51" s="26"/>
      <c r="C51" s="26"/>
      <c r="D51" s="26"/>
      <c r="E51" s="26"/>
      <c r="F51" s="26"/>
      <c r="G51" s="26"/>
      <c r="H51" s="26"/>
    </row>
    <row r="52" ht="23" customHeight="1">
      <c r="B52" s="23"/>
      <c r="C52" s="23"/>
      <c r="D52" s="23"/>
      <c r="E52" s="23"/>
      <c r="F52" s="23"/>
      <c r="G52" s="23"/>
      <c r="H52" s="23"/>
    </row>
    <row r="53" ht="23" customHeight="1">
      <c r="B53" s="23"/>
      <c r="C53" s="23"/>
      <c r="D53" s="23"/>
      <c r="E53" s="23"/>
      <c r="F53" s="23"/>
      <c r="G53" s="23"/>
      <c r="H53" s="23"/>
    </row>
    <row r="54" ht="28" customHeight="1">
      <c r="B54" s="26" t="str">
        <v>El ejemplo cargado es el extracto del primer caso. Los otros dos se ejecutan en las pruebas internas; no se suman entre obras. No son tarifas actuales ni costes pagados. Conservamos originales, localizadores y huellas solo fuera de la descarga.</v>
      </c>
      <c r="C54" s="26"/>
      <c r="D54" s="26"/>
      <c r="E54" s="26"/>
      <c r="F54" s="26"/>
      <c r="G54" s="26"/>
      <c r="H54" s="26"/>
    </row>
    <row r="55" ht="28" customHeight="1">
      <c r="B55" s="26"/>
      <c r="C55" s="26"/>
      <c r="D55" s="26"/>
      <c r="E55" s="26"/>
      <c r="F55" s="26"/>
      <c r="G55" s="26"/>
      <c r="H55" s="26"/>
    </row>
    <row r="56" ht="23" customHeight="1">
      <c r="B56" s="23"/>
      <c r="C56" s="23"/>
      <c r="D56" s="23"/>
      <c r="E56" s="23"/>
      <c r="F56" s="23"/>
      <c r="G56" s="23"/>
      <c r="H56" s="23"/>
    </row>
    <row r="57" ht="23" customHeight="1">
      <c r="B57" s="23"/>
      <c r="C57" s="23"/>
      <c r="D57" s="23"/>
      <c r="E57" s="23"/>
      <c r="F57" s="23"/>
      <c r="G57" s="23"/>
      <c r="H57" s="23"/>
    </row>
    <row r="58" ht="28" customHeight="1">
      <c r="B58" s="26" t="str">
        <v>Amarillo: entrada manual. Fórmulas bloqueadas y cinco hojas protegidas sin contraseña. Podemos ajustar alturas y anchos. Hay quinientas partidas y cincuenta capítulos; para ampliar retiramos la protección y revisamos todas las referencias.</v>
      </c>
      <c r="C58" s="26"/>
      <c r="D58" s="26"/>
      <c r="E58" s="26"/>
      <c r="F58" s="26"/>
      <c r="G58" s="26"/>
      <c r="H58" s="26"/>
    </row>
    <row r="59" ht="28" customHeight="1">
      <c r="B59" s="26"/>
      <c r="C59" s="26"/>
      <c r="D59" s="26"/>
      <c r="E59" s="26"/>
      <c r="F59" s="26"/>
      <c r="G59" s="26"/>
      <c r="H59" s="26"/>
    </row>
    <row r="60" ht="23" customHeight="1">
      <c r="B60" s="23"/>
      <c r="C60" s="23"/>
      <c r="D60" s="23"/>
      <c r="E60" s="23"/>
      <c r="F60" s="23"/>
      <c r="G60" s="23"/>
      <c r="H60" s="23"/>
    </row>
    <row r="61" ht="23" customHeight="1">
      <c r="B61" s="23"/>
      <c r="C61" s="23"/>
      <c r="D61" s="23"/>
      <c r="E61" s="23"/>
      <c r="F61" s="23"/>
      <c r="G61" s="23"/>
      <c r="H61" s="23"/>
    </row>
    <row r="62" ht="28" customHeight="1">
      <c r="B62" s="26" t="str">
        <v>Las fórmulas estándar XLSX se localizan en Excel en español. Las pruebas de cálculo y la conversión de una copia no equivalen a probar edición y recálculo en Excel de escritorio; esa comprobación sigue pendiente.</v>
      </c>
      <c r="C62" s="26"/>
      <c r="D62" s="26"/>
      <c r="E62" s="26"/>
      <c r="F62" s="26"/>
      <c r="G62" s="26"/>
      <c r="H62" s="26"/>
    </row>
    <row r="63" ht="28" customHeight="1">
      <c r="B63" s="26"/>
      <c r="C63" s="26"/>
      <c r="D63" s="26"/>
      <c r="E63" s="26"/>
      <c r="F63" s="26"/>
      <c r="G63" s="26"/>
      <c r="H63" s="26"/>
    </row>
    <row r="64" ht="23" customHeight="1">
      <c r="B64" s="23"/>
      <c r="C64" s="23"/>
      <c r="D64" s="23"/>
      <c r="E64" s="23"/>
      <c r="F64" s="23"/>
      <c r="G64" s="23"/>
      <c r="H64" s="23"/>
    </row>
    <row r="65" ht="23" customHeight="1">
      <c r="B65" s="23"/>
      <c r="C65" s="23"/>
      <c r="D65" s="23"/>
      <c r="E65" s="23"/>
      <c r="F65" s="23"/>
      <c r="G65" s="23"/>
      <c r="H65" s="23"/>
    </row>
    <row r="66" ht="28" customHeight="1">
      <c r="B66" s="26" t="str">
        <v>Este recurso contrasta los datos que introducimos y registra revisiones manuales. No interpreta documentos, no valida precios de mercado ni calcula margen o contratos. El PDF de una página nos ayuda a revisar los archivos que vamos a enviar.</v>
      </c>
      <c r="C66" s="26"/>
      <c r="D66" s="26"/>
      <c r="E66" s="26"/>
      <c r="F66" s="26"/>
      <c r="G66" s="26"/>
      <c r="H66" s="26"/>
    </row>
    <row r="67" ht="28" customHeight="1">
      <c r="B67" s="26"/>
      <c r="C67" s="26"/>
      <c r="D67" s="26"/>
      <c r="E67" s="26"/>
      <c r="F67" s="26"/>
      <c r="G67" s="26"/>
      <c r="H67" s="26"/>
    </row>
    <row r="68" ht="23" customHeight="1">
      <c r="B68" s="23"/>
      <c r="C68" s="23"/>
      <c r="D68" s="23"/>
      <c r="E68" s="23"/>
      <c r="F68" s="23"/>
      <c r="G68" s="23"/>
      <c r="H68" s="23"/>
    </row>
    <row r="69" ht="23" customHeight="1">
      <c r="B69" s="23"/>
      <c r="C69" s="23"/>
      <c r="D69" s="23"/>
      <c r="E69" s="23"/>
      <c r="F69" s="23"/>
      <c r="G69" s="23"/>
      <c r="H69" s="23"/>
    </row>
    <row r="70" ht="23" customHeight="1">
      <c r="B70" s="23"/>
      <c r="C70" s="23"/>
      <c r="D70" s="23"/>
      <c r="E70" s="23"/>
      <c r="F70" s="23"/>
      <c r="G70" s="23"/>
      <c r="H70" s="23"/>
    </row>
    <row r="71" ht="23" customHeight="1">
      <c r="B71" s="23"/>
      <c r="C71" s="23"/>
      <c r="D71" s="23"/>
      <c r="E71" s="23"/>
      <c r="F71" s="23"/>
      <c r="G71" s="23"/>
      <c r="H71" s="23"/>
    </row>
    <row r="72" ht="25" customHeight="1">
      <c r="B72" s="33" t="str">
        <v>Cuitó Digital · cuitodigital.com</v>
      </c>
      <c r="C72" s="33"/>
      <c r="D72" s="33"/>
      <c r="E72" s="33"/>
      <c r="F72" s="33"/>
      <c r="G72" s="33"/>
      <c r="H72" s="33"/>
    </row>
    <row r="73" ht="23" customHeight="1">
      <c r="B73" s="23"/>
      <c r="C73" s="23"/>
      <c r="D73" s="23"/>
      <c r="E73" s="23"/>
      <c r="F73" s="23"/>
      <c r="G73" s="23"/>
      <c r="H73" s="23"/>
    </row>
    <row r="74" ht="27" customHeight="1">
      <c r="B74" s="36" t="str">
        <v>¿Lo quieres hecho? cuitodigital.com/presupuestos-a-medida</v>
      </c>
      <c r="C74" s="36"/>
      <c r="D74" s="36"/>
      <c r="E74" s="36"/>
      <c r="F74" s="36"/>
      <c r="G74" s="36"/>
      <c r="H74" s="36"/>
    </row>
    <row r="75" ht="23" customHeight="1">
      <c r="B75" s="23"/>
      <c r="C75" s="23"/>
      <c r="D75" s="23"/>
      <c r="E75" s="23"/>
      <c r="F75" s="23"/>
      <c r="G75" s="23"/>
      <c r="H75" s="23"/>
    </row>
    <row r="76" ht="23" customHeight="1">
      <c r="B76" s="23"/>
      <c r="C76" s="23"/>
      <c r="D76" s="23"/>
      <c r="E76" s="23"/>
      <c r="F76" s="23"/>
      <c r="G76" s="23"/>
      <c r="H76" s="23"/>
    </row>
    <row r="77" ht="23" customHeight="1">
      <c r="B77" s="23"/>
      <c r="C77" s="23"/>
      <c r="D77" s="23"/>
      <c r="E77" s="23"/>
      <c r="F77" s="23"/>
      <c r="G77" s="23"/>
      <c r="H77" s="23"/>
    </row>
    <row r="78" ht="23" customHeight="1">
      <c r="B78" s="23"/>
      <c r="C78" s="23"/>
      <c r="D78" s="23"/>
      <c r="E78" s="23"/>
      <c r="F78" s="23"/>
      <c r="G78" s="23"/>
      <c r="H78" s="23"/>
    </row>
    <row r="79" ht="23" customHeight="1">
      <c r="B79" s="23"/>
      <c r="C79" s="23"/>
      <c r="D79" s="23"/>
      <c r="E79" s="23"/>
      <c r="F79" s="23"/>
      <c r="G79" s="23"/>
      <c r="H79" s="23"/>
    </row>
    <row r="80" ht="23" customHeight="1">
      <c r="B80" s="23"/>
      <c r="C80" s="23"/>
      <c r="D80" s="23"/>
      <c r="E80" s="23"/>
      <c r="F80" s="23"/>
      <c r="G80" s="23"/>
      <c r="H80" s="23"/>
    </row>
  </sheetData>
  <sheetProtection sheet="1" objects="1" scenarios="1" formatCells="1" formatColumns="0" formatRows="0" insertColumns="1" insertRows="1" deleteColumns="1" deleteRows="1" sort="1" autoFilter="1" selectLockedCells="0" selectUnlockedCells="0"/>
  <mergeCells>
    <mergeCell ref="B2:G3"/>
    <mergeCell ref="B6:H7"/>
    <mergeCell ref="B10:H11"/>
    <mergeCell ref="B14:H15"/>
    <mergeCell ref="B18:H19"/>
    <mergeCell ref="B22:H23"/>
    <mergeCell ref="B26:H27"/>
    <mergeCell ref="B30:H31"/>
    <mergeCell ref="B34:H35"/>
    <mergeCell ref="B38:H39"/>
    <mergeCell ref="B42:H43"/>
    <mergeCell ref="B46:H47"/>
    <mergeCell ref="B50:H51"/>
    <mergeCell ref="B54:H55"/>
    <mergeCell ref="B58:H59"/>
    <mergeCell ref="B62:H63"/>
    <mergeCell ref="B66:H67"/>
    <mergeCell ref="B72:H72"/>
    <mergeCell ref="B74:H74"/>
  </mergeCells>
  <pageMargins left=".25" right=".25" top=".35" bottom=".35" header=".15" footer=".15"/>
  <pageSetup paperSize="9" orientation="landscape" fitToWidth="1" fitToHeight="0"/>
  <headerFooter>
    <oddFooter>&amp;LCuitó Digital · cuitodigital.com&amp;R&amp;P</oddFooter>
  </headerFooter>
  <drawing r:id="Rfe1bf9f3022643e0"/>
</worksheet>
</file>