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docProps/core.xml" ContentType="application/vnd.openxmlformats-package.core-properties+xml"/>
</Types>
</file>

<file path=_rels/.rels><?xml version='1.0' encoding='utf-8'?>
<Relationships xmlns="http://schemas.openxmlformats.org/package/2006/relationships"><Relationship Type="http://schemas.openxmlformats.org/officeDocument/2006/relationships/officeDocument" Target="/xl/workbook.xml" Id="R5488708c636943d8" /><Relationship Id="rIdCuitoCore"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CAJA" sheetId="1" r:id="R5d3c9fb78a5845ec"/>
    <sheet name="MOVIMIENTOS" sheetId="2" r:id="Re878b8f579554ea3"/>
    <sheet name="LÉEME" sheetId="3" r:id="R136d65cc45e54b1a"/>
  </sheets>
  <definedNames>
    <definedName name="_xlnm.Print_Area" localSheetId="0">'CAJA'!$B$2:$J$62</definedName>
    <definedName name="_xlnm.Print_Area" localSheetId="1">'MOVIMIENTOS'!$B$2:$J$76</definedName>
    <definedName name="_xlnm.Print_Area" localSheetId="2">'LÉEME'!$B$2:$E$67</definedName>
  </definedNames>
  <calcPr calcMode="auto" fullCalcOnLoad="1" forceFullCalc="1" calcCompleted="0"/>
</workbook>
</file>

<file path=xl/sharedStrings.xml><?xml version="1.0" encoding="utf-8"?>
<x:sst xmlns:x="http://schemas.openxmlformats.org/spreadsheetml/2006/main"/>
</file>

<file path=xl/styles.xml><?xml version="1.0" encoding="utf-8"?>
<styleSheet xmlns="http://schemas.openxmlformats.org/spreadsheetml/2006/main">
  <numFmts count="3">
    <numFmt numFmtId="200" formatCode="#,##0.00&quot; €&quot;;(#,##0.00)&quot; €&quot;;0.00&quot; €&quot;"/>
    <numFmt numFmtId="201" formatCode="dd/mm/yyyy"/>
    <numFmt numFmtId="202" formatCode="0"/>
  </numFmts>
  <fonts count="7">
    <font>
      <sz val="11"/>
      <name val="Carlito"/>
    </font>
    <font>
      <sz val="11"/>
      <color rgb="FF0B1F3A"/>
      <name val="Arial"/>
    </font>
    <font>
      <b/>
      <sz val="11"/>
      <color rgb="FF0B1F3A"/>
      <name val="Arial"/>
    </font>
    <font>
      <b/>
      <sz val="17"/>
      <color rgb="FF0B1F3A"/>
      <name val="Arial"/>
    </font>
    <font>
      <sz val="11"/>
      <color rgb="FF0B1F3A"/>
      <name val="Arial"/>
    </font>
    <font>
      <b/>
      <sz val="15"/>
      <color rgb="FF0B1F3A"/>
      <name val="Arial"/>
    </font>
    <font>
      <b/>
      <sz val="11"/>
      <color rgb="FFFFFFFF"/>
      <name val="Arial"/>
    </font>
  </fonts>
  <fills count="5">
    <fill>
      <patternFill patternType="none"/>
    </fill>
    <fill>
      <patternFill patternType="gray125"/>
    </fill>
    <fill>
      <patternFill patternType="solid">
        <fgColor rgb="FFFFFFFF"/>
      </patternFill>
    </fill>
    <fill>
      <patternFill patternType="solid">
        <fgColor rgb="FFFFF2CC"/>
      </patternFill>
    </fill>
    <fill>
      <patternFill patternType="solid">
        <fgColor rgb="FF0B1F3A"/>
      </patternFill>
    </fill>
  </fills>
  <borders count="2">
    <border>
      <left/>
      <right/>
      <top/>
      <bottom/>
      <diagonal/>
    </border>
    <border>
      <left/>
      <right/>
      <top/>
      <bottom style="medium">
        <color rgb="FFE87524"/>
      </bottom>
      <diagonal/>
    </border>
  </borders>
  <cellStyleXfs count="1">
    <xf numFmtId="0" fontId="0" fillId="0" borderId="0"/>
  </cellStyleXfs>
  <cellXfs count="42">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3" fillId="2" borderId="0" xfId="0" applyNumberFormat="1" applyFont="1" applyFill="1" applyBorder="1" applyAlignment="1">
      <alignment vertical="center" wrapText="1"/>
    </xf>
    <xf numFmtId="0" fontId="1" fillId="2" borderId="1" xfId="0" applyNumberFormat="1" applyFont="1" applyFill="1" applyBorder="1" applyAlignment="1">
      <alignment vertical="center"/>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200" fontId="1" fillId="2" borderId="0" xfId="0" applyNumberFormat="1" applyFont="1" applyFill="1" applyBorder="1" applyAlignment="1">
      <alignment vertical="center"/>
    </xf>
    <xf numFmtId="200" fontId="5" fillId="2" borderId="0" xfId="0" applyNumberFormat="1" applyFont="1" applyFill="1" applyBorder="1" applyAlignment="1">
      <alignment vertical="center"/>
    </xf>
    <xf numFmtId="201" fontId="1" fillId="2" borderId="0" xfId="0" applyNumberFormat="1" applyFont="1" applyFill="1" applyBorder="1" applyAlignment="1">
      <alignment vertical="center"/>
    </xf>
    <xf numFmtId="201" fontId="1" fillId="2" borderId="0" xfId="0" applyNumberFormat="1" applyFont="1" applyFill="1" applyBorder="1" applyAlignment="1">
      <alignment vertical="center" wrapText="1"/>
    </xf>
    <xf numFmtId="0" fontId="1" fillId="2" borderId="0" xfId="0" applyNumberFormat="1" applyFont="1" applyFill="1" applyBorder="1" applyAlignment="1">
      <alignment vertical="center" wrapText="1"/>
    </xf>
    <xf numFmtId="0" fontId="1" fillId="3" borderId="0" xfId="0" applyNumberFormat="1" applyFont="1" applyFill="1" applyBorder="1" applyAlignment="1">
      <alignment vertical="center" wrapText="1"/>
    </xf>
    <xf numFmtId="201" fontId="1" fillId="3" borderId="0" xfId="0" applyNumberFormat="1" applyFont="1" applyFill="1" applyBorder="1" applyAlignment="1">
      <alignment vertical="center" wrapText="1"/>
    </xf>
    <xf numFmtId="200" fontId="1" fillId="3" borderId="0" xfId="0" applyNumberFormat="1" applyFont="1" applyFill="1" applyBorder="1" applyAlignment="1">
      <alignment vertical="center" wrapText="1"/>
    </xf>
    <xf numFmtId="202" fontId="1" fillId="3" borderId="0" xfId="0" applyNumberFormat="1" applyFont="1" applyFill="1" applyBorder="1" applyAlignment="1">
      <alignment vertical="center" wrapText="1"/>
    </xf>
    <xf numFmtId="0" fontId="1" fillId="4" borderId="0" xfId="0" applyNumberFormat="1" applyFont="1" applyFill="1" applyBorder="1" applyAlignment="1">
      <alignment vertical="center"/>
    </xf>
    <xf numFmtId="0" fontId="6" fillId="4" borderId="0" xfId="0" applyNumberFormat="1" applyFont="1" applyFill="1" applyBorder="1" applyAlignment="1">
      <alignment vertical="center"/>
    </xf>
    <xf numFmtId="0" fontId="6" fillId="4" borderId="0" xfId="0" applyNumberFormat="1" applyFont="1" applyFill="1" applyBorder="1" applyAlignment="1">
      <alignment vertical="center" wrapText="1"/>
    </xf>
    <xf numFmtId="0" fontId="6" fillId="4" borderId="0" xfId="0" applyNumberFormat="1" applyFont="1" applyFill="1" applyBorder="1" applyAlignment="1">
      <alignment horizontal="center" vertical="center" wrapText="1"/>
    </xf>
    <xf numFmtId="202" fontId="1" fillId="2" borderId="0" xfId="0" applyNumberFormat="1" applyFont="1" applyFill="1" applyBorder="1" applyAlignment="1">
      <alignment vertical="center"/>
    </xf>
    <xf numFmtId="0" fontId="1" fillId="3" borderId="0" xfId="0" applyNumberFormat="1" applyFont="1" applyFill="1" applyBorder="1" applyAlignment="1">
      <alignment vertical="center"/>
    </xf>
    <xf numFmtId="0" fontId="1" fillId="2" borderId="0" xfId="0" applyNumberFormat="1" applyFont="1" applyFill="1" applyBorder="1" applyAlignment="1" applyProtection="1">
      <alignment vertical="center"/>
      <protection locked="1" hidden="0"/>
    </xf>
    <xf numFmtId="0" fontId="3" fillId="2" borderId="0" xfId="0" applyNumberFormat="1" applyFont="1" applyFill="1" applyBorder="1" applyAlignment="1" applyProtection="1">
      <alignment vertical="center" wrapText="1"/>
      <protection locked="1" hidden="0"/>
    </xf>
    <xf numFmtId="0" fontId="0" fillId="0" borderId="0" xfId="0" applyProtection="1">
      <protection locked="1" hidden="0"/>
    </xf>
    <xf numFmtId="0" fontId="1" fillId="2" borderId="1" xfId="0" applyNumberFormat="1" applyFont="1" applyFill="1" applyBorder="1" applyAlignment="1" applyProtection="1">
      <alignment vertical="center"/>
      <protection locked="1" hidden="0"/>
    </xf>
    <xf numFmtId="0" fontId="4" fillId="2" borderId="0" xfId="0" applyNumberFormat="1" applyFont="1" applyFill="1" applyBorder="1" applyAlignment="1" applyProtection="1">
      <alignment vertical="center" wrapText="1"/>
      <protection locked="1" hidden="0"/>
    </xf>
    <xf numFmtId="0" fontId="2" fillId="2" borderId="0" xfId="0" applyNumberFormat="1" applyFont="1" applyFill="1" applyBorder="1" applyAlignment="1" applyProtection="1">
      <alignment vertical="center" wrapText="1"/>
      <protection locked="1" hidden="0"/>
    </xf>
    <xf numFmtId="200" fontId="5" fillId="2" borderId="0" xfId="0" applyNumberFormat="1" applyFont="1" applyFill="1" applyBorder="1" applyAlignment="1" applyProtection="1">
      <alignment vertical="center"/>
      <protection locked="1" hidden="0"/>
    </xf>
    <xf numFmtId="201" fontId="1" fillId="2" borderId="0" xfId="0" applyNumberFormat="1" applyFont="1" applyFill="1" applyBorder="1" applyAlignment="1" applyProtection="1">
      <alignment vertical="center" wrapText="1"/>
      <protection locked="1" hidden="0"/>
    </xf>
    <xf numFmtId="0" fontId="1" fillId="2" borderId="0" xfId="0" applyNumberFormat="1" applyFont="1" applyFill="1" applyBorder="1" applyAlignment="1" applyProtection="1">
      <alignment vertical="center" wrapText="1"/>
      <protection locked="1" hidden="0"/>
    </xf>
    <xf numFmtId="0" fontId="1" fillId="3" borderId="0" xfId="0" applyNumberFormat="1" applyFont="1" applyFill="1" applyBorder="1" applyAlignment="1" applyProtection="1">
      <alignment vertical="center" wrapText="1"/>
      <protection locked="0" hidden="0"/>
    </xf>
    <xf numFmtId="201" fontId="1" fillId="3" borderId="0" xfId="0" applyNumberFormat="1" applyFont="1" applyFill="1" applyBorder="1" applyAlignment="1" applyProtection="1">
      <alignment vertical="center" wrapText="1"/>
      <protection locked="0" hidden="0"/>
    </xf>
    <xf numFmtId="200" fontId="1" fillId="3" borderId="0" xfId="0" applyNumberFormat="1" applyFont="1" applyFill="1" applyBorder="1" applyAlignment="1" applyProtection="1">
      <alignment vertical="center" wrapText="1"/>
      <protection locked="0" hidden="0"/>
    </xf>
    <xf numFmtId="202" fontId="1" fillId="3" borderId="0" xfId="0" applyNumberFormat="1" applyFont="1" applyFill="1" applyBorder="1" applyAlignment="1" applyProtection="1">
      <alignment vertical="center" wrapText="1"/>
      <protection locked="0" hidden="0"/>
    </xf>
    <xf numFmtId="0" fontId="6" fillId="4" borderId="0" xfId="0" applyNumberFormat="1" applyFont="1" applyFill="1" applyBorder="1" applyAlignment="1" applyProtection="1">
      <alignment horizontal="center" vertical="center" wrapText="1"/>
      <protection locked="1" hidden="0"/>
    </xf>
    <xf numFmtId="201" fontId="1" fillId="2" borderId="0" xfId="0" applyNumberFormat="1" applyFont="1" applyFill="1" applyBorder="1" applyAlignment="1" applyProtection="1">
      <alignment vertical="center"/>
      <protection locked="1" hidden="0"/>
    </xf>
    <xf numFmtId="200" fontId="1" fillId="2" borderId="0" xfId="0" applyNumberFormat="1" applyFont="1" applyFill="1" applyBorder="1" applyAlignment="1" applyProtection="1">
      <alignment vertical="center"/>
      <protection locked="1" hidden="0"/>
    </xf>
    <xf numFmtId="202" fontId="1" fillId="2" borderId="0" xfId="0" applyNumberFormat="1" applyFont="1" applyFill="1" applyBorder="1" applyAlignment="1" applyProtection="1">
      <alignment vertical="center"/>
      <protection locked="1" hidden="0"/>
    </xf>
  </cellXfs>
  <cellStyles count="1">
    <cellStyle name="Normal" xfId="0"/>
  </cellStyles>
  <dxfs count="8">
    <dxf>
      <font>
        <color rgb="FF9B2822"/>
      </font>
      <fill>
        <patternFill patternType="solid">
          <bgColor rgb="FFFDE9E7"/>
        </patternFill>
      </fill>
    </dxf>
    <dxf>
      <font>
        <b/>
        <color rgb="FF795200"/>
      </font>
      <fill>
        <patternFill patternType="solid">
          <bgColor rgb="FFFFF0D1"/>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
      <font>
        <b/>
        <color rgb="FF245E35"/>
      </font>
      <fill>
        <patternFill patternType="solid">
          <bgColor rgb="FFE5F1E9"/>
        </patternFill>
      </fill>
    </dxf>
    <dxf>
      <font>
        <b/>
        <color rgb="FF795200"/>
      </font>
      <fill>
        <patternFill patternType="solid">
          <bgColor rgb="FFFFF0D1"/>
        </patternFill>
      </fill>
    </dxf>
    <dxf>
      <font>
        <b/>
        <color rgb="FF9B2822"/>
      </font>
      <fill>
        <patternFill patternType="solid">
          <bgColor rgb="FFFDE9E7"/>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623defcfd8164f66" /><Relationship Type="http://schemas.openxmlformats.org/officeDocument/2006/relationships/theme" Target="/xl/theme/theme1.xml" Id="Rfd48f4af5bd14b19" /><Relationship Type="http://schemas.openxmlformats.org/officeDocument/2006/relationships/sharedStrings" Target="/xl/sharedStrings.xml" Id="R28f3b28cf43e4718" /><Relationship Type="http://schemas.openxmlformats.org/officeDocument/2006/relationships/worksheet" Target="/xl/worksheets/sheet1.xml" Id="R5d3c9fb78a5845ec" /><Relationship Type="http://schemas.openxmlformats.org/officeDocument/2006/relationships/worksheet" Target="/xl/worksheets/sheet2.xml" Id="Re878b8f579554ea3" /><Relationship Type="http://schemas.openxmlformats.org/officeDocument/2006/relationships/worksheet" Target="/xl/worksheets/sheet3.xml" Id="R136d65cc45e54b1a" /></Relationships>
</file>

<file path=xl/drawings/_rels/drawing1.xml.rels>&#65279;<?xml version="1.0" encoding="utf-8"?><Relationships xmlns="http://schemas.openxmlformats.org/package/2006/relationships"><Relationship Type="http://schemas.openxmlformats.org/officeDocument/2006/relationships/image" Target="/xl/media/image.png" Id="Rad1b7a8d21f54fcd" /></Relationships>
</file>

<file path=xl/drawings/_rels/drawing2.xml.rels>&#65279;<?xml version="1.0" encoding="utf-8"?><Relationships xmlns="http://schemas.openxmlformats.org/package/2006/relationships"><Relationship Type="http://schemas.openxmlformats.org/officeDocument/2006/relationships/image" Target="/xl/media/image2.png" Id="Rc32aa5031af64de5" /></Relationships>
</file>

<file path=xl/drawings/_rels/drawing3.xml.rels>&#65279;<?xml version="1.0" encoding="utf-8"?><Relationships xmlns="http://schemas.openxmlformats.org/package/2006/relationships"><Relationship Type="http://schemas.openxmlformats.org/officeDocument/2006/relationships/image" Target="/xl/media/image3.png" Id="Rf81f1579b0904e82" /></Relationships>
</file>

<file path=xl/drawings/drawing1.xml><?xml version="1.0" encoding="utf-8"?>
<xdr:wsDr xmlns:xdr="http://schemas.openxmlformats.org/drawingml/2006/spreadsheetDrawing">
  <xdr:oneCellAnchor>
    <xdr:from>
      <xdr:col>9</xdr:col>
      <xdr:colOff>0</xdr:colOff>
      <xdr:row>1</xdr:row>
      <xdr:rowOff>0</xdr:rowOff>
    </xdr:from>
    <xdr:ext cx="409575" cy="409575"/>
    <xdr:pic>
      <xdr:nvPicPr>
        <xdr:cNvPr id="1" name="2593826e-ceb5-4895-90b5-9d01d0cb0616"/>
        <xdr:cNvPicPr>
          <a:picLocks xmlns:a="http://schemas.openxmlformats.org/drawingml/2006/main" noChangeAspect="1"/>
        </xdr:cNvPicPr>
      </xdr:nvPicPr>
      <xdr:blipFill>
        <a:blip xmlns:r="http://schemas.openxmlformats.org/officeDocument/2006/relationships" xmlns:a="http://schemas.openxmlformats.org/drawingml/2006/main" r:embed="Rad1b7a8d21f54fcd"/>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9</xdr:col>
      <xdr:colOff>0</xdr:colOff>
      <xdr:row>1</xdr:row>
      <xdr:rowOff>0</xdr:rowOff>
    </xdr:from>
    <xdr:ext cx="409575" cy="409575"/>
    <xdr:pic>
      <xdr:nvPicPr>
        <xdr:cNvPr id="1" name="da513f86-544e-4e97-a262-a5f759b41487"/>
        <xdr:cNvPicPr>
          <a:picLocks xmlns:a="http://schemas.openxmlformats.org/drawingml/2006/main" noChangeAspect="1"/>
        </xdr:cNvPicPr>
      </xdr:nvPicPr>
      <xdr:blipFill>
        <a:blip xmlns:r="http://schemas.openxmlformats.org/officeDocument/2006/relationships" xmlns:a="http://schemas.openxmlformats.org/drawingml/2006/main" r:embed="Rc32aa5031af64de5"/>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4</xdr:col>
      <xdr:colOff>0</xdr:colOff>
      <xdr:row>1</xdr:row>
      <xdr:rowOff>0</xdr:rowOff>
    </xdr:from>
    <xdr:ext cx="409575" cy="409575"/>
    <xdr:pic>
      <xdr:nvPicPr>
        <xdr:cNvPr id="1" name="c1227836-5c88-4d06-8cba-7c42d8432379"/>
        <xdr:cNvPicPr>
          <a:picLocks xmlns:a="http://schemas.openxmlformats.org/drawingml/2006/main" noChangeAspect="1"/>
        </xdr:cNvPicPr>
      </xdr:nvPicPr>
      <xdr:blipFill>
        <a:blip xmlns:r="http://schemas.openxmlformats.org/officeDocument/2006/relationships" xmlns:a="http://schemas.openxmlformats.org/drawingml/2006/main" r:embed="Rf81f1579b0904e8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2bc464c5b4345d1" /></Relationships>
</file>

<file path=xl/worksheets/_rels/sheet2.xml.rels>&#65279;<?xml version="1.0" encoding="utf-8"?><Relationships xmlns="http://schemas.openxmlformats.org/package/2006/relationships"><Relationship Type="http://schemas.openxmlformats.org/officeDocument/2006/relationships/drawing" Target="/xl/drawings/drawing2.xml" Id="Rcf61f2f26354459e" /></Relationships>
</file>

<file path=xl/worksheets/_rels/sheet3.xml.rels>&#65279;<?xml version="1.0" encoding="utf-8"?><Relationships xmlns="http://schemas.openxmlformats.org/package/2006/relationships"><Relationship Type="http://schemas.openxmlformats.org/officeDocument/2006/relationships/drawing" Target="/xl/drawings/drawing3.xml" Id="Ree95feb2b2ec412d" /></Relationships>
</file>

<file path=xl/worksheets/sheet1.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20" hidden="0" customWidth="1"/>
    <col min="3" max="3" width="20" hidden="0" customWidth="1"/>
    <col min="4" max="4" width="20" hidden="0" customWidth="1"/>
    <col min="5" max="5" width="20" hidden="0" customWidth="1"/>
    <col min="6" max="6" width="22" hidden="0" customWidth="1"/>
    <col min="7" max="7" width="22" hidden="0" customWidth="1"/>
    <col min="8" max="8" width="25" hidden="0" customWidth="1"/>
    <col min="9" max="9" width="24" hidden="0" customWidth="1"/>
    <col min="10" max="10" width="15" hidden="0" customWidth="1"/>
    <col min="12" max="12" hidden="1"/>
  </cols>
  <sheetData>
    <row r="1" ht="27" customHeight="1">
      <c r="B1" s="25"/>
      <c r="C1" s="25"/>
      <c r="D1" s="25"/>
      <c r="E1" s="25"/>
      <c r="F1" s="25"/>
      <c r="G1" s="25"/>
      <c r="H1" s="25"/>
      <c r="I1" s="25"/>
      <c r="J1" s="25"/>
    </row>
    <row r="2" ht="26" customHeight="1">
      <c r="B2" s="26" t="str">
        <v>¿Cuánto dinero tendremos que adelantar en esta obra?</v>
      </c>
      <c r="C2" s="26"/>
      <c r="D2" s="26"/>
      <c r="E2" s="26"/>
      <c r="F2" s="26"/>
      <c r="G2" s="26"/>
      <c r="H2" s="26"/>
      <c r="I2" s="26"/>
      <c r="J2" s="25"/>
      <c r="L2" t="n" s="27">
        <f>IF(OR(ISERROR(C17),ISERROR(C18),ISERROR(C19),ISERROR(C20),ISERROR(C21),ISERROR(C22),ISERROR(C23)),0,IF(IF(ISNUMBER(C18),AND(C18&gt;=1,C18&lt;=2958465,C18=INT(C18)),FALSE),IF(AND(WEEKDAY(C18,2)=1,IF(ISNUMBER(C23),AND(C23&gt;=1,C23&lt;=26,C23=INT(C23)),FALSE)),1,0),0))</f>
        <v>1</v>
      </c>
    </row>
    <row r="3" ht="26" customHeight="1">
      <c r="B3" s="26"/>
      <c r="C3" s="26"/>
      <c r="D3" s="26"/>
      <c r="E3" s="26"/>
      <c r="F3" s="26"/>
      <c r="G3" s="26"/>
      <c r="H3" s="26"/>
      <c r="I3" s="26"/>
      <c r="J3" s="25"/>
      <c r="L3" t="n" s="27">
        <f>IF(OR(ISERROR(C17),ISERROR(C18),ISERROR(C19),ISERROR(C20),ISERROR(C21),ISERROR(C22),ISERROR(C23)),0,IF(AND(IF(ISNUMBER(C20),AND(TRUE,C20=ROUND(C20,2)),FALSE),AND(LEN(TRIM(C22&amp;""))&gt;0,TRIM(C22)&lt;&gt;"Pendiente",TRIM(C22)&lt;&gt;"Por confirmar",TRIM(C22)&lt;&gt;"No consta",TRIM(C22)&lt;&gt;"Desconocido")),1,0))</f>
        <v>1</v>
      </c>
    </row>
    <row r="4" ht="27" customHeight="1">
      <c r="B4" s="28"/>
      <c r="C4" s="28"/>
      <c r="D4" s="28"/>
      <c r="E4" s="28"/>
      <c r="F4" s="28"/>
      <c r="G4" s="28"/>
      <c r="H4" s="28"/>
      <c r="I4" s="28"/>
      <c r="J4" s="28"/>
      <c r="L4" t="n" s="27">
        <f>COUNTIFS('MOVIMIENTOS'!$M$10:$M$69,"&gt;0")</f>
        <v>0</v>
      </c>
    </row>
    <row r="5" ht="31" customHeight="1">
      <c r="B5" s="29" t="str">
        <v>Una obra, de 1 a 26 semanas. Empezamos con un ejercicio didáctico. Usamos importes efectivos de caja, no totales presupuestados ni beneficio.</v>
      </c>
      <c r="C5" s="29"/>
      <c r="D5" s="29"/>
      <c r="E5" s="29"/>
      <c r="F5" s="29"/>
      <c r="G5" s="29"/>
      <c r="H5" s="29"/>
      <c r="I5" s="29"/>
      <c r="J5" s="29"/>
      <c r="L5" t="n" s="27">
        <f>SUM('MOVIMIENTOS'!$P$10:$P$69)</f>
        <v>0</v>
      </c>
    </row>
    <row r="6" ht="27" customHeight="1">
      <c r="B6" s="25"/>
      <c r="C6" s="25"/>
      <c r="D6" s="25"/>
      <c r="E6" s="25"/>
      <c r="F6" s="25"/>
      <c r="G6" s="25"/>
      <c r="H6" s="25"/>
      <c r="I6" s="25"/>
      <c r="J6" s="25"/>
      <c r="L6" t="n" s="27">
        <f>IF(OR(ISERROR(C17),ISERROR(C18),ISERROR(C19),ISERROR(C20),ISERROR(C21),ISERROR(C22),ISERROR(C23)),2,IF(OR(OR(AND(LEN(TRIM(C18&amp;""))&gt;0,IF(IF(ISNUMBER(C18),AND(C18&gt;=1,C18&lt;=2958465,C18=INT(C18)),FALSE),WEEKDAY(C18,2)&lt;&gt;1,TRUE)),AND(LEN(TRIM(C19&amp;""))&gt;0,NOT(IF(ISNUMBER(C19),AND(C19&gt;=1,C19&lt;=2958465,C19=INT(C19)),FALSE))),AND(LEN(TRIM(C20&amp;""))&gt;0,NOT(IF(ISNUMBER(C20),AND(TRUE,C20=ROUND(C20,2)),FALSE))),AND(LEN(TRIM(C21&amp;""))&gt;0,NOT(OR(C21="Completa",C21="En revisión"))),AND(LEN(TRIM(C23&amp;""))&gt;0,NOT(IF(ISNUMBER(C23),AND(C23&gt;=1,C23&lt;=26,C23=INT(C23)),FALSE)))),COUNTIFS('MOVIMIENTOS'!$M$10:$M$69,2)&gt;0),2,IF(L7=1,0,1)))</f>
        <v>0</v>
      </c>
    </row>
    <row r="7" ht="33" customHeight="1">
      <c r="B7" s="30" t="str">
        <v>Adelanto si pagamos antes de cobrar</v>
      </c>
      <c r="C7" s="30"/>
      <c r="D7" s="30"/>
      <c r="E7" s="30"/>
      <c r="F7" s="31" t="n">
        <f>IF(L7=1,MAX(0,-MIN(C20,H29:H54)),"")</f>
        <v>4500</v>
      </c>
      <c r="G7" s="29" t="str">
        <v>Escenario dentro de cada semana: primero salen todos los pagos y después entran los cobros.</v>
      </c>
      <c r="H7" s="29"/>
      <c r="I7" s="29"/>
      <c r="J7" s="29"/>
      <c r="L7" t="n" s="27">
        <f>IF(OR(ISERROR(C17),ISERROR(C18),ISERROR(C19),ISERROR(C20),ISERROR(C21),ISERROR(C22),ISERROR(C23)),0,IF(AND(AND(LEN(TRIM(C17&amp;""))&gt;0,TRIM(C17)&lt;&gt;"Pendiente",TRIM(C17)&lt;&gt;"Por confirmar",TRIM(C17)&lt;&gt;"No consta",TRIM(C17)&lt;&gt;"Desconocido"),L2=1,L3=1,IF(ISNUMBER(C19),AND(C19&gt;=1,C19&lt;=2958465,C19=INT(C19)),FALSE),C21="Completa",L4=0,SUM('MOVIMIENTOS'!$K$10:$K$69)&gt;0),1,0))</f>
        <v>1</v>
      </c>
    </row>
    <row r="8" ht="33" customHeight="1">
      <c r="B8" s="30" t="str">
        <v>Déficit al cierre de las semanas</v>
      </c>
      <c r="C8" s="30"/>
      <c r="D8" s="30"/>
      <c r="E8" s="30"/>
      <c r="F8" s="31" t="n">
        <f>IF(L7=1,MAX(0,-MIN(C20,I29:I54)),"")</f>
        <v>1500</v>
      </c>
      <c r="G8" s="29" t="str">
        <v>Puede ser menor: un cierre positivo no elimina la necesidad de pagar antes de cobrar.</v>
      </c>
      <c r="H8" s="29"/>
      <c r="I8" s="29"/>
      <c r="J8" s="29"/>
      <c r="L8" t="str" s="27">
        <f>IF(OR(ISERROR(C17),ISERROR(C18),ISERROR(C19),ISERROR(C20),ISERROR(C21),ISERROR(C22),ISERROR(C23)),"Hay una entrada con error de fórmula en los datos de CAJA. Corregimos el dato antes de cerrar la previsión.",IF(OR(AND(LEN(TRIM(C18&amp;""))&gt;0,IF(IF(ISNUMBER(C18),AND(C18&gt;=1,C18&lt;=2958465,C18=INT(C18)),FALSE),WEEKDAY(C18,2)&lt;&gt;1,TRUE)),AND(LEN(TRIM(C19&amp;""))&gt;0,NOT(IF(ISNUMBER(C19),AND(C19&gt;=1,C19&lt;=2958465,C19=INT(C19)),FALSE))),AND(LEN(TRIM(C20&amp;""))&gt;0,NOT(IF(ISNUMBER(C20),AND(TRUE,C20=ROUND(C20,2)),FALSE))),AND(LEN(TRIM(C21&amp;""))&gt;0,NOT(OR(C21="Completa",C21="En revisión"))),AND(LEN(TRIM(C23&amp;""))&gt;0,NOT(IF(ISNUMBER(C23),AND(C23&gt;=1,C23&lt;=26,C23=INT(C23)),FALSE)))),"Revisamos primer lunes, fecha de corte, saldo a céntimos, cobertura y horizonte de 1 a 26 semanas.",IF(COUNTIFS('MOVIMIENTOS'!$M$10:$M$69,2)&gt;0,"Hay movimientos contradictorios, duplicados o vencidos. Resolvemos sus avisos en MOVIMIENTOS.",IF(NOT(AND(LEN(TRIM(C17&amp;""))&gt;0,TRIM(C17)&lt;&gt;"Pendiente",TRIM(C17)&lt;&gt;"Por confirmar",TRIM(C17)&lt;&gt;"No consta",TRIM(C17)&lt;&gt;"Desconocido")),"Identificamos la obra o fase.",IF(L2&lt;&gt;1,"Indicamos primer lunes y número de semanas.",IF(NOT(IF(ISNUMBER(C19),AND(C19&gt;=1,C19&lt;=2958465,C19=INT(C19)),FALSE)),"Indicamos la fecha de actualización para distinguir previsto de realizado.",IF(L3&lt;&gt;1,"Falta saldo inicial o su referencia; un vacío no es dinero disponible.",IF(SUM('MOVIMIENTOS'!$K$10:$K$69)=0,"No hay movimientos cargados. Revisamos cobros y pagos; un libro vacío no demuestra adelanto 0.",IF(L5&gt;0,"Hay movimientos sin semana asignable o fuera del horizonte. No cerramos saldos ni adelanto.",IF(L4&gt;0,"Hay movimientos pendientes: los saldos se interrumpen desde su semana. No cerramos el adelanto.",IF(C21&lt;&gt;"Completa","Cobertura En revisión: los saldos cargados son parciales. Declaramos el alcance antes de cerrar el adelanto.","Previsión completa para la ventana declarada. Las fechas y los movimientos previstos pueden cambiar.")))))))))))</f>
        <v>Previsión completa para la ventana declarada. Las fechas y los movimientos previstos pueden cambiar.</v>
      </c>
    </row>
    <row r="9" ht="44" customHeight="1">
      <c r="B9" s="30" t="str">
        <v>Primera semana del mayor adelanto</v>
      </c>
      <c r="C9" s="30"/>
      <c r="D9" s="30"/>
      <c r="E9" s="30"/>
      <c r="F9" s="32" t="n">
        <f>IF(L7&lt;&gt;1,"",IF(F7=0,"Sin déficit en este escenario",IF(C20&lt;=MIN(H29:H54),"Al inicio",INDEX(B29:B54,MATCH(MIN(H29:H54),H29:H54,0)))))</f>
        <v>46314</v>
      </c>
      <c r="G9" s="29" t="str">
        <v>Incluimos también un saldo inicial negativo. El importe depende del horizonte y los movimientos cargados.</v>
      </c>
      <c r="H9" s="29"/>
      <c r="I9" s="29"/>
      <c r="J9" s="29"/>
      <c r="L9" t="n" s="27">
        <f>IF(L2=1,C18+7*C23,"")</f>
        <v>46391</v>
      </c>
    </row>
    <row r="10" ht="44" customHeight="1">
      <c r="B10" s="30" t="str">
        <v>Estado de la previsión</v>
      </c>
      <c r="C10" s="30"/>
      <c r="D10" s="30"/>
      <c r="E10" s="30"/>
      <c r="F10" s="33" t="str">
        <f>IF(L6=2,"ROJO",IF(L6=1,"ÁMBAR","VERDE"))</f>
        <v>VERDE</v>
      </c>
      <c r="G10" s="29" t="str">
        <f>L8</f>
        <v>Previsión completa para la ventana declarada. Las fechas y los movimientos previstos pueden cambiar.</v>
      </c>
      <c r="H10" s="29"/>
      <c r="I10" s="29"/>
      <c r="J10" s="29"/>
    </row>
    <row r="11" ht="29" customHeight="1">
      <c r="B11" s="25"/>
      <c r="C11" s="25"/>
      <c r="D11" s="25"/>
      <c r="E11" s="25"/>
      <c r="F11" s="25"/>
      <c r="G11" s="29"/>
      <c r="H11" s="29"/>
      <c r="I11" s="29"/>
      <c r="J11" s="29"/>
    </row>
    <row r="12" ht="29" customHeight="1">
      <c r="B12" s="29" t="str">
        <v>Movimientos pendientes de resolver</v>
      </c>
      <c r="C12" s="29"/>
      <c r="D12" s="29"/>
      <c r="E12" s="29"/>
      <c r="F12" s="25" t="n">
        <f>COUNTIFS('MOVIMIENTOS'!$M$10:$M$69,"&gt;0")</f>
        <v>0</v>
      </c>
      <c r="G12" s="29" t="str">
        <v>Sin semana asignable</v>
      </c>
      <c r="H12" s="29"/>
      <c r="I12" s="29"/>
      <c r="J12" s="25" t="n">
        <f>SUM('MOVIMIENTOS'!$P$10:$P$69)</f>
        <v>0</v>
      </c>
    </row>
    <row r="13" ht="27" customHeight="1">
      <c r="B13" s="25"/>
      <c r="C13" s="25"/>
      <c r="D13" s="25"/>
      <c r="E13" s="25"/>
      <c r="F13" s="25"/>
      <c r="G13" s="25"/>
      <c r="H13" s="25"/>
      <c r="I13" s="25"/>
      <c r="J13" s="25"/>
    </row>
    <row r="14" ht="27" customHeight="1">
      <c r="B14" s="29" t="str">
        <v>Cada movimiento se registra una sola vez. Al cobrar o pagar, actualizamos su misma fila a Realizado con fecha e importe reales. Si es parcial, separamos la parte realizada del resto pendiente, con identificadores distintos.</v>
      </c>
      <c r="C14" s="29"/>
      <c r="D14" s="29"/>
      <c r="E14" s="29"/>
      <c r="F14" s="29"/>
      <c r="G14" s="29"/>
      <c r="H14" s="29"/>
      <c r="I14" s="29"/>
      <c r="J14" s="29"/>
    </row>
    <row r="15" ht="27" customHeight="1">
      <c r="B15" s="29"/>
      <c r="C15" s="29"/>
      <c r="D15" s="29"/>
      <c r="E15" s="29"/>
      <c r="F15" s="29"/>
      <c r="G15" s="29"/>
      <c r="H15" s="29"/>
      <c r="I15" s="29"/>
      <c r="J15" s="29"/>
    </row>
    <row r="16" ht="27" customHeight="1">
      <c r="B16" s="25"/>
      <c r="C16" s="25"/>
      <c r="D16" s="25"/>
      <c r="E16" s="25"/>
      <c r="F16" s="25"/>
      <c r="G16" s="25"/>
      <c r="H16" s="25"/>
      <c r="I16" s="25"/>
      <c r="J16" s="25"/>
    </row>
    <row r="17" ht="48" customHeight="1">
      <c r="B17" s="33" t="str">
        <v>Obra / referencia</v>
      </c>
      <c r="C17" s="34" t="str">
        <v>Ejemplo didáctico · obra A</v>
      </c>
      <c r="D17" s="29" t="str">
        <v>Una sola obra o fase. Sustituimos el ejemplo y conservamos su alcance.</v>
      </c>
      <c r="E17" s="29"/>
      <c r="F17" s="29"/>
      <c r="G17" s="29"/>
      <c r="H17" s="29"/>
      <c r="I17" s="29"/>
      <c r="J17" s="29"/>
    </row>
    <row r="18" ht="48" customHeight="1">
      <c r="B18" s="33" t="str">
        <v>Primer lunes</v>
      </c>
      <c r="C18" s="35" t="n">
        <v>46307</v>
      </c>
      <c r="D18" s="29" t="str">
        <v>Saldo inicial al día anterior a este lunes; no usamos el saldo actual y volvemos a contar los mismos movimientos.</v>
      </c>
      <c r="E18" s="29"/>
      <c r="F18" s="29"/>
      <c r="G18" s="29"/>
      <c r="H18" s="29"/>
      <c r="I18" s="29"/>
      <c r="J18" s="29"/>
    </row>
    <row r="19" ht="48" customHeight="1">
      <c r="B19" s="33" t="str">
        <v>Actualizado a</v>
      </c>
      <c r="C19" s="35" t="n">
        <v>46313</v>
      </c>
      <c r="D19" s="29" t="str">
        <v>Fecha de corte: Realizado exige dinero ya cobrado/pagado hasta ese día. Una previsión anterior queda vencida.</v>
      </c>
      <c r="E19" s="29"/>
      <c r="F19" s="29"/>
      <c r="G19" s="29"/>
      <c r="H19" s="29"/>
      <c r="I19" s="29"/>
      <c r="J19" s="29"/>
    </row>
    <row r="20" ht="48" customHeight="1">
      <c r="B20" s="33" t="str">
        <v>Saldo inicial</v>
      </c>
      <c r="C20" s="36" t="n">
        <v>1000</v>
      </c>
      <c r="D20" s="29" t="str">
        <v>Dinero disponible/asignado al inicio del horizonte. Un vacío es desconocido; aceptamos saldo 0 o negativo explícitos.</v>
      </c>
      <c r="E20" s="29"/>
      <c r="F20" s="29"/>
      <c r="G20" s="29"/>
      <c r="H20" s="29"/>
      <c r="I20" s="29"/>
      <c r="J20" s="29"/>
    </row>
    <row r="21" ht="48" customHeight="1">
      <c r="B21" s="33" t="str">
        <v>Cobertura</v>
      </c>
      <c r="C21" s="34" t="str">
        <v>Completa</v>
      </c>
      <c r="D21" s="29" t="str">
        <v>Completa significa que declaramos incluidos los cobros y pagos de esta ventana. No es una comprobación bancaria automática.</v>
      </c>
      <c r="E21" s="29"/>
      <c r="F21" s="29"/>
      <c r="G21" s="29"/>
      <c r="H21" s="29"/>
      <c r="I21" s="29"/>
      <c r="J21" s="29"/>
    </row>
    <row r="22" ht="48" customHeight="1">
      <c r="B22" s="33" t="str">
        <v>Fuente del saldo</v>
      </c>
      <c r="C22" s="34" t="str">
        <v>Supuesto didáctico de saldo al 11-10-2026</v>
      </c>
      <c r="D22" s="29" t="str">
        <v>Documento, registro o criterio con el que fijamos el saldo inicial. Lo conservamos en nuestra copia privada.</v>
      </c>
      <c r="E22" s="29"/>
      <c r="F22" s="29"/>
      <c r="G22" s="29"/>
      <c r="H22" s="29"/>
      <c r="I22" s="29"/>
      <c r="J22" s="29"/>
    </row>
    <row r="23" ht="48" customHeight="1">
      <c r="B23" s="33" t="str">
        <v>N.º de semanas</v>
      </c>
      <c r="C23" s="37" t="n">
        <v>12</v>
      </c>
      <c r="D23" s="29" t="str">
        <v>De 1 a 26. Las filas semanales no usadas quedan vacías. Fuera de horizonte se avisa y no se suma en silencio.</v>
      </c>
      <c r="E23" s="29"/>
      <c r="F23" s="29"/>
      <c r="G23" s="29"/>
      <c r="H23" s="29"/>
      <c r="I23" s="29"/>
      <c r="J23" s="29"/>
    </row>
    <row r="24" ht="27" customHeight="1">
      <c r="B24" s="25"/>
      <c r="C24" s="25"/>
      <c r="D24" s="25"/>
      <c r="E24" s="25"/>
      <c r="F24" s="25"/>
      <c r="G24" s="25"/>
      <c r="H24" s="25"/>
      <c r="I24" s="25"/>
      <c r="J24" s="25"/>
    </row>
    <row r="25" ht="26" customHeight="1">
      <c r="B25" s="29" t="str">
        <v>Saldos con los movimientos cargados. Una fila sin importe o con datos pendientes corta el saldo desde su semana. Sin fecha asignable no presentamos saldos. Con cobertura En revisión no cerramos el adelanto global.</v>
      </c>
      <c r="C25" s="29"/>
      <c r="D25" s="29"/>
      <c r="E25" s="29"/>
      <c r="F25" s="29"/>
      <c r="G25" s="29"/>
      <c r="H25" s="29"/>
      <c r="I25" s="29"/>
      <c r="J25" s="29"/>
    </row>
    <row r="26" ht="26" customHeight="1">
      <c r="B26" s="29"/>
      <c r="C26" s="29"/>
      <c r="D26" s="29"/>
      <c r="E26" s="29"/>
      <c r="F26" s="29"/>
      <c r="G26" s="29"/>
      <c r="H26" s="29"/>
      <c r="I26" s="29"/>
      <c r="J26" s="29"/>
    </row>
    <row r="27" ht="27" customHeight="1">
      <c r="B27" s="25"/>
      <c r="C27" s="25"/>
      <c r="D27" s="25"/>
      <c r="E27" s="25"/>
      <c r="F27" s="25"/>
      <c r="G27" s="25"/>
      <c r="H27" s="25"/>
      <c r="I27" s="25"/>
      <c r="J27" s="25"/>
    </row>
    <row r="28" ht="51" customHeight="1">
      <c r="B28" s="38" t="str">
        <v>Semana desde el lunes</v>
      </c>
      <c r="C28" s="38" t="str">
        <v>Cobros realizados</v>
      </c>
      <c r="D28" s="38" t="str">
        <v>Pagos realizados</v>
      </c>
      <c r="E28" s="38" t="str">
        <v>Cobros previstos</v>
      </c>
      <c r="F28" s="38" t="str">
        <v>Pagos previstos</v>
      </c>
      <c r="G28" s="38" t="str">
        <v>Saldo al inicio</v>
      </c>
      <c r="H28" s="38" t="str">
        <v>Saldo tras pagar¹</v>
      </c>
      <c r="I28" s="38" t="str">
        <v>Saldo al cierre²</v>
      </c>
      <c r="J28" s="38" t="str">
        <v>Pendientes</v>
      </c>
    </row>
    <row r="29" ht="32" customHeight="1">
      <c r="B29" s="39" t="n">
        <f>IF(L2=1,IF(0&lt;C23,C18+0,""),"")</f>
        <v>46307</v>
      </c>
      <c r="C29" s="40" t="n">
        <f>IF(ISNUMBER(B29),SUMIFS('MOVIMIENTOS'!$G$10:$G$69,'MOVIMIENTOS'!$O$10:$O$69,B29,'MOVIMIENTOS'!$D$10:$D$69,"Cobro",'MOVIMIENTOS'!$E$10:$E$69,"Realizado",'MOVIMIENTOS'!$N$10:$N$69,1),"")</f>
        <v>2000</v>
      </c>
      <c r="D29" s="40" t="n">
        <f>IF(ISNUMBER(B29),SUMIFS('MOVIMIENTOS'!$G$10:$G$69,'MOVIMIENTOS'!$O$10:$O$69,B29,'MOVIMIENTOS'!$D$10:$D$69,"Pago",'MOVIMIENTOS'!$E$10:$E$69,"Realizado",'MOVIMIENTOS'!$N$10:$N$69,1),"")</f>
        <v>4500</v>
      </c>
      <c r="E29" s="40" t="n">
        <f>IF(ISNUMBER(B29),SUMIFS('MOVIMIENTOS'!$G$10:$G$69,'MOVIMIENTOS'!$O$10:$O$69,B29,'MOVIMIENTOS'!$D$10:$D$69,"Cobro",'MOVIMIENTOS'!$E$10:$E$69,"Previsto",'MOVIMIENTOS'!$N$10:$N$69,1),"")</f>
        <v>0</v>
      </c>
      <c r="F29" s="40" t="n">
        <f>IF(ISNUMBER(B29),SUMIFS('MOVIMIENTOS'!$G$10:$G$69,'MOVIMIENTOS'!$O$10:$O$69,B29,'MOVIMIENTOS'!$D$10:$D$69,"Pago",'MOVIMIENTOS'!$E$10:$E$69,"Previsto",'MOVIMIENTOS'!$N$10:$N$69,1),"")</f>
        <v>0</v>
      </c>
      <c r="G29" s="40" t="n">
        <f>IF(AND(ISNUMBER(B29),L3=1,L5=0),C20,"")</f>
        <v>1000</v>
      </c>
      <c r="H29" s="40" t="n">
        <f>IF(AND(ISNUMBER(G29),J29=0),ROUND(G29-SUM(D29,F29),2),"")</f>
        <v>-3500</v>
      </c>
      <c r="I29" s="40" t="n">
        <f>IF(ISNUMBER(H29),ROUND(SUM(H29,C29,E29),2),"")</f>
        <v>-1500</v>
      </c>
      <c r="J29" s="41" t="n">
        <f>IF(ISNUMBER(B29),COUNTIFS('MOVIMIENTOS'!$O$10:$O$69,B29,'MOVIMIENTOS'!$M$10:$M$69,"&gt;0"),"")</f>
        <v>0</v>
      </c>
    </row>
    <row r="30" ht="32" customHeight="1">
      <c r="B30" s="39" t="n">
        <f>IF(L2=1,IF(1&lt;C23,C18+7,""),"")</f>
        <v>46314</v>
      </c>
      <c r="C30" s="40" t="n">
        <f>IF(ISNUMBER(B30),SUMIFS('MOVIMIENTOS'!$G$10:$G$69,'MOVIMIENTOS'!$O$10:$O$69,B30,'MOVIMIENTOS'!$D$10:$D$69,"Cobro",'MOVIMIENTOS'!$E$10:$E$69,"Realizado",'MOVIMIENTOS'!$N$10:$N$69,1),"")</f>
        <v>0</v>
      </c>
      <c r="D30" s="40" t="n">
        <f>IF(ISNUMBER(B30),SUMIFS('MOVIMIENTOS'!$G$10:$G$69,'MOVIMIENTOS'!$O$10:$O$69,B30,'MOVIMIENTOS'!$D$10:$D$69,"Pago",'MOVIMIENTOS'!$E$10:$E$69,"Realizado",'MOVIMIENTOS'!$N$10:$N$69,1),"")</f>
        <v>0</v>
      </c>
      <c r="E30" s="40" t="n">
        <f>IF(ISNUMBER(B30),SUMIFS('MOVIMIENTOS'!$G$10:$G$69,'MOVIMIENTOS'!$O$10:$O$69,B30,'MOVIMIENTOS'!$D$10:$D$69,"Cobro",'MOVIMIENTOS'!$E$10:$E$69,"Previsto",'MOVIMIENTOS'!$N$10:$N$69,1),"")</f>
        <v>5000</v>
      </c>
      <c r="F30" s="40" t="n">
        <f>IF(ISNUMBER(B30),SUMIFS('MOVIMIENTOS'!$G$10:$G$69,'MOVIMIENTOS'!$O$10:$O$69,B30,'MOVIMIENTOS'!$D$10:$D$69,"Pago",'MOVIMIENTOS'!$E$10:$E$69,"Previsto",'MOVIMIENTOS'!$N$10:$N$69,1),"")</f>
        <v>3000</v>
      </c>
      <c r="G30" s="40" t="n">
        <f>IF(AND(ISNUMBER(B30),ISNUMBER(I29)),I29,"")</f>
        <v>-1500</v>
      </c>
      <c r="H30" s="40" t="n">
        <f>IF(AND(ISNUMBER(G30),J30=0),ROUND(G30-SUM(D30,F30),2),"")</f>
        <v>-4500</v>
      </c>
      <c r="I30" s="40" t="n">
        <f>IF(ISNUMBER(H30),ROUND(SUM(H30,C30,E30),2),"")</f>
        <v>500</v>
      </c>
      <c r="J30" s="41" t="n">
        <f>IF(ISNUMBER(B30),COUNTIFS('MOVIMIENTOS'!$O$10:$O$69,B30,'MOVIMIENTOS'!$M$10:$M$69,"&gt;0"),"")</f>
        <v>0</v>
      </c>
    </row>
    <row r="31" ht="32" customHeight="1">
      <c r="B31" s="39" t="n">
        <f>IF(L2=1,IF(2&lt;C23,C18+14,""),"")</f>
        <v>46321</v>
      </c>
      <c r="C31" s="40" t="n">
        <f>IF(ISNUMBER(B31),SUMIFS('MOVIMIENTOS'!$G$10:$G$69,'MOVIMIENTOS'!$O$10:$O$69,B31,'MOVIMIENTOS'!$D$10:$D$69,"Cobro",'MOVIMIENTOS'!$E$10:$E$69,"Realizado",'MOVIMIENTOS'!$N$10:$N$69,1),"")</f>
        <v>0</v>
      </c>
      <c r="D31" s="40" t="n">
        <f>IF(ISNUMBER(B31),SUMIFS('MOVIMIENTOS'!$G$10:$G$69,'MOVIMIENTOS'!$O$10:$O$69,B31,'MOVIMIENTOS'!$D$10:$D$69,"Pago",'MOVIMIENTOS'!$E$10:$E$69,"Realizado",'MOVIMIENTOS'!$N$10:$N$69,1),"")</f>
        <v>0</v>
      </c>
      <c r="E31" s="40" t="n">
        <f>IF(ISNUMBER(B31),SUMIFS('MOVIMIENTOS'!$G$10:$G$69,'MOVIMIENTOS'!$O$10:$O$69,B31,'MOVIMIENTOS'!$D$10:$D$69,"Cobro",'MOVIMIENTOS'!$E$10:$E$69,"Previsto",'MOVIMIENTOS'!$N$10:$N$69,1),"")</f>
        <v>0</v>
      </c>
      <c r="F31" s="40" t="n">
        <f>IF(ISNUMBER(B31),SUMIFS('MOVIMIENTOS'!$G$10:$G$69,'MOVIMIENTOS'!$O$10:$O$69,B31,'MOVIMIENTOS'!$D$10:$D$69,"Pago",'MOVIMIENTOS'!$E$10:$E$69,"Previsto",'MOVIMIENTOS'!$N$10:$N$69,1),"")</f>
        <v>0</v>
      </c>
      <c r="G31" s="40" t="n">
        <f>IF(AND(ISNUMBER(B31),ISNUMBER(I30)),I30,"")</f>
        <v>500</v>
      </c>
      <c r="H31" s="40" t="n">
        <f>IF(AND(ISNUMBER(G31),J31=0),ROUND(G31-SUM(D31,F31),2),"")</f>
        <v>500</v>
      </c>
      <c r="I31" s="40" t="n">
        <f>IF(ISNUMBER(H31),ROUND(SUM(H31,C31,E31),2),"")</f>
        <v>500</v>
      </c>
      <c r="J31" s="41" t="n">
        <f>IF(ISNUMBER(B31),COUNTIFS('MOVIMIENTOS'!$O$10:$O$69,B31,'MOVIMIENTOS'!$M$10:$M$69,"&gt;0"),"")</f>
        <v>0</v>
      </c>
    </row>
    <row r="32" ht="32" customHeight="1">
      <c r="B32" s="39" t="n">
        <f>IF(L2=1,IF(3&lt;C23,C18+21,""),"")</f>
        <v>46328</v>
      </c>
      <c r="C32" s="40" t="n">
        <f>IF(ISNUMBER(B32),SUMIFS('MOVIMIENTOS'!$G$10:$G$69,'MOVIMIENTOS'!$O$10:$O$69,B32,'MOVIMIENTOS'!$D$10:$D$69,"Cobro",'MOVIMIENTOS'!$E$10:$E$69,"Realizado",'MOVIMIENTOS'!$N$10:$N$69,1),"")</f>
        <v>0</v>
      </c>
      <c r="D32" s="40" t="n">
        <f>IF(ISNUMBER(B32),SUMIFS('MOVIMIENTOS'!$G$10:$G$69,'MOVIMIENTOS'!$O$10:$O$69,B32,'MOVIMIENTOS'!$D$10:$D$69,"Pago",'MOVIMIENTOS'!$E$10:$E$69,"Realizado",'MOVIMIENTOS'!$N$10:$N$69,1),"")</f>
        <v>0</v>
      </c>
      <c r="E32" s="40" t="n">
        <f>IF(ISNUMBER(B32),SUMIFS('MOVIMIENTOS'!$G$10:$G$69,'MOVIMIENTOS'!$O$10:$O$69,B32,'MOVIMIENTOS'!$D$10:$D$69,"Cobro",'MOVIMIENTOS'!$E$10:$E$69,"Previsto",'MOVIMIENTOS'!$N$10:$N$69,1),"")</f>
        <v>0</v>
      </c>
      <c r="F32" s="40" t="n">
        <f>IF(ISNUMBER(B32),SUMIFS('MOVIMIENTOS'!$G$10:$G$69,'MOVIMIENTOS'!$O$10:$O$69,B32,'MOVIMIENTOS'!$D$10:$D$69,"Pago",'MOVIMIENTOS'!$E$10:$E$69,"Previsto",'MOVIMIENTOS'!$N$10:$N$69,1),"")</f>
        <v>0</v>
      </c>
      <c r="G32" s="40" t="n">
        <f>IF(AND(ISNUMBER(B32),ISNUMBER(I31)),I31,"")</f>
        <v>500</v>
      </c>
      <c r="H32" s="40" t="n">
        <f>IF(AND(ISNUMBER(G32),J32=0),ROUND(G32-SUM(D32,F32),2),"")</f>
        <v>500</v>
      </c>
      <c r="I32" s="40" t="n">
        <f>IF(ISNUMBER(H32),ROUND(SUM(H32,C32,E32),2),"")</f>
        <v>500</v>
      </c>
      <c r="J32" s="41" t="n">
        <f>IF(ISNUMBER(B32),COUNTIFS('MOVIMIENTOS'!$O$10:$O$69,B32,'MOVIMIENTOS'!$M$10:$M$69,"&gt;0"),"")</f>
        <v>0</v>
      </c>
    </row>
    <row r="33" ht="32" customHeight="1">
      <c r="B33" s="39" t="n">
        <f>IF(L2=1,IF(4&lt;C23,C18+28,""),"")</f>
        <v>46335</v>
      </c>
      <c r="C33" s="40" t="n">
        <f>IF(ISNUMBER(B33),SUMIFS('MOVIMIENTOS'!$G$10:$G$69,'MOVIMIENTOS'!$O$10:$O$69,B33,'MOVIMIENTOS'!$D$10:$D$69,"Cobro",'MOVIMIENTOS'!$E$10:$E$69,"Realizado",'MOVIMIENTOS'!$N$10:$N$69,1),"")</f>
        <v>0</v>
      </c>
      <c r="D33" s="40" t="n">
        <f>IF(ISNUMBER(B33),SUMIFS('MOVIMIENTOS'!$G$10:$G$69,'MOVIMIENTOS'!$O$10:$O$69,B33,'MOVIMIENTOS'!$D$10:$D$69,"Pago",'MOVIMIENTOS'!$E$10:$E$69,"Realizado",'MOVIMIENTOS'!$N$10:$N$69,1),"")</f>
        <v>0</v>
      </c>
      <c r="E33" s="40" t="n">
        <f>IF(ISNUMBER(B33),SUMIFS('MOVIMIENTOS'!$G$10:$G$69,'MOVIMIENTOS'!$O$10:$O$69,B33,'MOVIMIENTOS'!$D$10:$D$69,"Cobro",'MOVIMIENTOS'!$E$10:$E$69,"Previsto",'MOVIMIENTOS'!$N$10:$N$69,1),"")</f>
        <v>0</v>
      </c>
      <c r="F33" s="40" t="n">
        <f>IF(ISNUMBER(B33),SUMIFS('MOVIMIENTOS'!$G$10:$G$69,'MOVIMIENTOS'!$O$10:$O$69,B33,'MOVIMIENTOS'!$D$10:$D$69,"Pago",'MOVIMIENTOS'!$E$10:$E$69,"Previsto",'MOVIMIENTOS'!$N$10:$N$69,1),"")</f>
        <v>0</v>
      </c>
      <c r="G33" s="40" t="n">
        <f>IF(AND(ISNUMBER(B33),ISNUMBER(I32)),I32,"")</f>
        <v>500</v>
      </c>
      <c r="H33" s="40" t="n">
        <f>IF(AND(ISNUMBER(G33),J33=0),ROUND(G33-SUM(D33,F33),2),"")</f>
        <v>500</v>
      </c>
      <c r="I33" s="40" t="n">
        <f>IF(ISNUMBER(H33),ROUND(SUM(H33,C33,E33),2),"")</f>
        <v>500</v>
      </c>
      <c r="J33" s="41" t="n">
        <f>IF(ISNUMBER(B33),COUNTIFS('MOVIMIENTOS'!$O$10:$O$69,B33,'MOVIMIENTOS'!$M$10:$M$69,"&gt;0"),"")</f>
        <v>0</v>
      </c>
    </row>
    <row r="34" ht="32" customHeight="1">
      <c r="B34" s="39" t="n">
        <f>IF(L2=1,IF(5&lt;C23,C18+35,""),"")</f>
        <v>46342</v>
      </c>
      <c r="C34" s="40" t="n">
        <f>IF(ISNUMBER(B34),SUMIFS('MOVIMIENTOS'!$G$10:$G$69,'MOVIMIENTOS'!$O$10:$O$69,B34,'MOVIMIENTOS'!$D$10:$D$69,"Cobro",'MOVIMIENTOS'!$E$10:$E$69,"Realizado",'MOVIMIENTOS'!$N$10:$N$69,1),"")</f>
        <v>0</v>
      </c>
      <c r="D34" s="40" t="n">
        <f>IF(ISNUMBER(B34),SUMIFS('MOVIMIENTOS'!$G$10:$G$69,'MOVIMIENTOS'!$O$10:$O$69,B34,'MOVIMIENTOS'!$D$10:$D$69,"Pago",'MOVIMIENTOS'!$E$10:$E$69,"Realizado",'MOVIMIENTOS'!$N$10:$N$69,1),"")</f>
        <v>0</v>
      </c>
      <c r="E34" s="40" t="n">
        <f>IF(ISNUMBER(B34),SUMIFS('MOVIMIENTOS'!$G$10:$G$69,'MOVIMIENTOS'!$O$10:$O$69,B34,'MOVIMIENTOS'!$D$10:$D$69,"Cobro",'MOVIMIENTOS'!$E$10:$E$69,"Previsto",'MOVIMIENTOS'!$N$10:$N$69,1),"")</f>
        <v>0</v>
      </c>
      <c r="F34" s="40" t="n">
        <f>IF(ISNUMBER(B34),SUMIFS('MOVIMIENTOS'!$G$10:$G$69,'MOVIMIENTOS'!$O$10:$O$69,B34,'MOVIMIENTOS'!$D$10:$D$69,"Pago",'MOVIMIENTOS'!$E$10:$E$69,"Previsto",'MOVIMIENTOS'!$N$10:$N$69,1),"")</f>
        <v>0</v>
      </c>
      <c r="G34" s="40" t="n">
        <f>IF(AND(ISNUMBER(B34),ISNUMBER(I33)),I33,"")</f>
        <v>500</v>
      </c>
      <c r="H34" s="40" t="n">
        <f>IF(AND(ISNUMBER(G34),J34=0),ROUND(G34-SUM(D34,F34),2),"")</f>
        <v>500</v>
      </c>
      <c r="I34" s="40" t="n">
        <f>IF(ISNUMBER(H34),ROUND(SUM(H34,C34,E34),2),"")</f>
        <v>500</v>
      </c>
      <c r="J34" s="41" t="n">
        <f>IF(ISNUMBER(B34),COUNTIFS('MOVIMIENTOS'!$O$10:$O$69,B34,'MOVIMIENTOS'!$M$10:$M$69,"&gt;0"),"")</f>
        <v>0</v>
      </c>
    </row>
    <row r="35" ht="32" customHeight="1">
      <c r="B35" s="39" t="n">
        <f>IF(L2=1,IF(6&lt;C23,C18+42,""),"")</f>
        <v>46349</v>
      </c>
      <c r="C35" s="40" t="n">
        <f>IF(ISNUMBER(B35),SUMIFS('MOVIMIENTOS'!$G$10:$G$69,'MOVIMIENTOS'!$O$10:$O$69,B35,'MOVIMIENTOS'!$D$10:$D$69,"Cobro",'MOVIMIENTOS'!$E$10:$E$69,"Realizado",'MOVIMIENTOS'!$N$10:$N$69,1),"")</f>
        <v>0</v>
      </c>
      <c r="D35" s="40" t="n">
        <f>IF(ISNUMBER(B35),SUMIFS('MOVIMIENTOS'!$G$10:$G$69,'MOVIMIENTOS'!$O$10:$O$69,B35,'MOVIMIENTOS'!$D$10:$D$69,"Pago",'MOVIMIENTOS'!$E$10:$E$69,"Realizado",'MOVIMIENTOS'!$N$10:$N$69,1),"")</f>
        <v>0</v>
      </c>
      <c r="E35" s="40" t="n">
        <f>IF(ISNUMBER(B35),SUMIFS('MOVIMIENTOS'!$G$10:$G$69,'MOVIMIENTOS'!$O$10:$O$69,B35,'MOVIMIENTOS'!$D$10:$D$69,"Cobro",'MOVIMIENTOS'!$E$10:$E$69,"Previsto",'MOVIMIENTOS'!$N$10:$N$69,1),"")</f>
        <v>0</v>
      </c>
      <c r="F35" s="40" t="n">
        <f>IF(ISNUMBER(B35),SUMIFS('MOVIMIENTOS'!$G$10:$G$69,'MOVIMIENTOS'!$O$10:$O$69,B35,'MOVIMIENTOS'!$D$10:$D$69,"Pago",'MOVIMIENTOS'!$E$10:$E$69,"Previsto",'MOVIMIENTOS'!$N$10:$N$69,1),"")</f>
        <v>0</v>
      </c>
      <c r="G35" s="40" t="n">
        <f>IF(AND(ISNUMBER(B35),ISNUMBER(I34)),I34,"")</f>
        <v>500</v>
      </c>
      <c r="H35" s="40" t="n">
        <f>IF(AND(ISNUMBER(G35),J35=0),ROUND(G35-SUM(D35,F35),2),"")</f>
        <v>500</v>
      </c>
      <c r="I35" s="40" t="n">
        <f>IF(ISNUMBER(H35),ROUND(SUM(H35,C35,E35),2),"")</f>
        <v>500</v>
      </c>
      <c r="J35" s="41" t="n">
        <f>IF(ISNUMBER(B35),COUNTIFS('MOVIMIENTOS'!$O$10:$O$69,B35,'MOVIMIENTOS'!$M$10:$M$69,"&gt;0"),"")</f>
        <v>0</v>
      </c>
    </row>
    <row r="36" ht="32" customHeight="1">
      <c r="B36" s="39" t="n">
        <f>IF(L2=1,IF(7&lt;C23,C18+49,""),"")</f>
        <v>46356</v>
      </c>
      <c r="C36" s="40" t="n">
        <f>IF(ISNUMBER(B36),SUMIFS('MOVIMIENTOS'!$G$10:$G$69,'MOVIMIENTOS'!$O$10:$O$69,B36,'MOVIMIENTOS'!$D$10:$D$69,"Cobro",'MOVIMIENTOS'!$E$10:$E$69,"Realizado",'MOVIMIENTOS'!$N$10:$N$69,1),"")</f>
        <v>0</v>
      </c>
      <c r="D36" s="40" t="n">
        <f>IF(ISNUMBER(B36),SUMIFS('MOVIMIENTOS'!$G$10:$G$69,'MOVIMIENTOS'!$O$10:$O$69,B36,'MOVIMIENTOS'!$D$10:$D$69,"Pago",'MOVIMIENTOS'!$E$10:$E$69,"Realizado",'MOVIMIENTOS'!$N$10:$N$69,1),"")</f>
        <v>0</v>
      </c>
      <c r="E36" s="40" t="n">
        <f>IF(ISNUMBER(B36),SUMIFS('MOVIMIENTOS'!$G$10:$G$69,'MOVIMIENTOS'!$O$10:$O$69,B36,'MOVIMIENTOS'!$D$10:$D$69,"Cobro",'MOVIMIENTOS'!$E$10:$E$69,"Previsto",'MOVIMIENTOS'!$N$10:$N$69,1),"")</f>
        <v>0</v>
      </c>
      <c r="F36" s="40" t="n">
        <f>IF(ISNUMBER(B36),SUMIFS('MOVIMIENTOS'!$G$10:$G$69,'MOVIMIENTOS'!$O$10:$O$69,B36,'MOVIMIENTOS'!$D$10:$D$69,"Pago",'MOVIMIENTOS'!$E$10:$E$69,"Previsto",'MOVIMIENTOS'!$N$10:$N$69,1),"")</f>
        <v>0</v>
      </c>
      <c r="G36" s="40" t="n">
        <f>IF(AND(ISNUMBER(B36),ISNUMBER(I35)),I35,"")</f>
        <v>500</v>
      </c>
      <c r="H36" s="40" t="n">
        <f>IF(AND(ISNUMBER(G36),J36=0),ROUND(G36-SUM(D36,F36),2),"")</f>
        <v>500</v>
      </c>
      <c r="I36" s="40" t="n">
        <f>IF(ISNUMBER(H36),ROUND(SUM(H36,C36,E36),2),"")</f>
        <v>500</v>
      </c>
      <c r="J36" s="41" t="n">
        <f>IF(ISNUMBER(B36),COUNTIFS('MOVIMIENTOS'!$O$10:$O$69,B36,'MOVIMIENTOS'!$M$10:$M$69,"&gt;0"),"")</f>
        <v>0</v>
      </c>
    </row>
    <row r="37" ht="32" customHeight="1">
      <c r="B37" s="39" t="n">
        <f>IF(L2=1,IF(8&lt;C23,C18+56,""),"")</f>
        <v>46363</v>
      </c>
      <c r="C37" s="40" t="n">
        <f>IF(ISNUMBER(B37),SUMIFS('MOVIMIENTOS'!$G$10:$G$69,'MOVIMIENTOS'!$O$10:$O$69,B37,'MOVIMIENTOS'!$D$10:$D$69,"Cobro",'MOVIMIENTOS'!$E$10:$E$69,"Realizado",'MOVIMIENTOS'!$N$10:$N$69,1),"")</f>
        <v>0</v>
      </c>
      <c r="D37" s="40" t="n">
        <f>IF(ISNUMBER(B37),SUMIFS('MOVIMIENTOS'!$G$10:$G$69,'MOVIMIENTOS'!$O$10:$O$69,B37,'MOVIMIENTOS'!$D$10:$D$69,"Pago",'MOVIMIENTOS'!$E$10:$E$69,"Realizado",'MOVIMIENTOS'!$N$10:$N$69,1),"")</f>
        <v>0</v>
      </c>
      <c r="E37" s="40" t="n">
        <f>IF(ISNUMBER(B37),SUMIFS('MOVIMIENTOS'!$G$10:$G$69,'MOVIMIENTOS'!$O$10:$O$69,B37,'MOVIMIENTOS'!$D$10:$D$69,"Cobro",'MOVIMIENTOS'!$E$10:$E$69,"Previsto",'MOVIMIENTOS'!$N$10:$N$69,1),"")</f>
        <v>0</v>
      </c>
      <c r="F37" s="40" t="n">
        <f>IF(ISNUMBER(B37),SUMIFS('MOVIMIENTOS'!$G$10:$G$69,'MOVIMIENTOS'!$O$10:$O$69,B37,'MOVIMIENTOS'!$D$10:$D$69,"Pago",'MOVIMIENTOS'!$E$10:$E$69,"Previsto",'MOVIMIENTOS'!$N$10:$N$69,1),"")</f>
        <v>0</v>
      </c>
      <c r="G37" s="40" t="n">
        <f>IF(AND(ISNUMBER(B37),ISNUMBER(I36)),I36,"")</f>
        <v>500</v>
      </c>
      <c r="H37" s="40" t="n">
        <f>IF(AND(ISNUMBER(G37),J37=0),ROUND(G37-SUM(D37,F37),2),"")</f>
        <v>500</v>
      </c>
      <c r="I37" s="40" t="n">
        <f>IF(ISNUMBER(H37),ROUND(SUM(H37,C37,E37),2),"")</f>
        <v>500</v>
      </c>
      <c r="J37" s="41" t="n">
        <f>IF(ISNUMBER(B37),COUNTIFS('MOVIMIENTOS'!$O$10:$O$69,B37,'MOVIMIENTOS'!$M$10:$M$69,"&gt;0"),"")</f>
        <v>0</v>
      </c>
    </row>
    <row r="38" ht="32" customHeight="1">
      <c r="B38" s="39" t="n">
        <f>IF(L2=1,IF(9&lt;C23,C18+63,""),"")</f>
        <v>46370</v>
      </c>
      <c r="C38" s="40" t="n">
        <f>IF(ISNUMBER(B38),SUMIFS('MOVIMIENTOS'!$G$10:$G$69,'MOVIMIENTOS'!$O$10:$O$69,B38,'MOVIMIENTOS'!$D$10:$D$69,"Cobro",'MOVIMIENTOS'!$E$10:$E$69,"Realizado",'MOVIMIENTOS'!$N$10:$N$69,1),"")</f>
        <v>0</v>
      </c>
      <c r="D38" s="40" t="n">
        <f>IF(ISNUMBER(B38),SUMIFS('MOVIMIENTOS'!$G$10:$G$69,'MOVIMIENTOS'!$O$10:$O$69,B38,'MOVIMIENTOS'!$D$10:$D$69,"Pago",'MOVIMIENTOS'!$E$10:$E$69,"Realizado",'MOVIMIENTOS'!$N$10:$N$69,1),"")</f>
        <v>0</v>
      </c>
      <c r="E38" s="40" t="n">
        <f>IF(ISNUMBER(B38),SUMIFS('MOVIMIENTOS'!$G$10:$G$69,'MOVIMIENTOS'!$O$10:$O$69,B38,'MOVIMIENTOS'!$D$10:$D$69,"Cobro",'MOVIMIENTOS'!$E$10:$E$69,"Previsto",'MOVIMIENTOS'!$N$10:$N$69,1),"")</f>
        <v>0</v>
      </c>
      <c r="F38" s="40" t="n">
        <f>IF(ISNUMBER(B38),SUMIFS('MOVIMIENTOS'!$G$10:$G$69,'MOVIMIENTOS'!$O$10:$O$69,B38,'MOVIMIENTOS'!$D$10:$D$69,"Pago",'MOVIMIENTOS'!$E$10:$E$69,"Previsto",'MOVIMIENTOS'!$N$10:$N$69,1),"")</f>
        <v>0</v>
      </c>
      <c r="G38" s="40" t="n">
        <f>IF(AND(ISNUMBER(B38),ISNUMBER(I37)),I37,"")</f>
        <v>500</v>
      </c>
      <c r="H38" s="40" t="n">
        <f>IF(AND(ISNUMBER(G38),J38=0),ROUND(G38-SUM(D38,F38),2),"")</f>
        <v>500</v>
      </c>
      <c r="I38" s="40" t="n">
        <f>IF(ISNUMBER(H38),ROUND(SUM(H38,C38,E38),2),"")</f>
        <v>500</v>
      </c>
      <c r="J38" s="41" t="n">
        <f>IF(ISNUMBER(B38),COUNTIFS('MOVIMIENTOS'!$O$10:$O$69,B38,'MOVIMIENTOS'!$M$10:$M$69,"&gt;0"),"")</f>
        <v>0</v>
      </c>
    </row>
    <row r="39" ht="32" customHeight="1">
      <c r="B39" s="39" t="n">
        <f>IF(L2=1,IF(10&lt;C23,C18+70,""),"")</f>
        <v>46377</v>
      </c>
      <c r="C39" s="40" t="n">
        <f>IF(ISNUMBER(B39),SUMIFS('MOVIMIENTOS'!$G$10:$G$69,'MOVIMIENTOS'!$O$10:$O$69,B39,'MOVIMIENTOS'!$D$10:$D$69,"Cobro",'MOVIMIENTOS'!$E$10:$E$69,"Realizado",'MOVIMIENTOS'!$N$10:$N$69,1),"")</f>
        <v>0</v>
      </c>
      <c r="D39" s="40" t="n">
        <f>IF(ISNUMBER(B39),SUMIFS('MOVIMIENTOS'!$G$10:$G$69,'MOVIMIENTOS'!$O$10:$O$69,B39,'MOVIMIENTOS'!$D$10:$D$69,"Pago",'MOVIMIENTOS'!$E$10:$E$69,"Realizado",'MOVIMIENTOS'!$N$10:$N$69,1),"")</f>
        <v>0</v>
      </c>
      <c r="E39" s="40" t="n">
        <f>IF(ISNUMBER(B39),SUMIFS('MOVIMIENTOS'!$G$10:$G$69,'MOVIMIENTOS'!$O$10:$O$69,B39,'MOVIMIENTOS'!$D$10:$D$69,"Cobro",'MOVIMIENTOS'!$E$10:$E$69,"Previsto",'MOVIMIENTOS'!$N$10:$N$69,1),"")</f>
        <v>0</v>
      </c>
      <c r="F39" s="40" t="n">
        <f>IF(ISNUMBER(B39),SUMIFS('MOVIMIENTOS'!$G$10:$G$69,'MOVIMIENTOS'!$O$10:$O$69,B39,'MOVIMIENTOS'!$D$10:$D$69,"Pago",'MOVIMIENTOS'!$E$10:$E$69,"Previsto",'MOVIMIENTOS'!$N$10:$N$69,1),"")</f>
        <v>0</v>
      </c>
      <c r="G39" s="40" t="n">
        <f>IF(AND(ISNUMBER(B39),ISNUMBER(I38)),I38,"")</f>
        <v>500</v>
      </c>
      <c r="H39" s="40" t="n">
        <f>IF(AND(ISNUMBER(G39),J39=0),ROUND(G39-SUM(D39,F39),2),"")</f>
        <v>500</v>
      </c>
      <c r="I39" s="40" t="n">
        <f>IF(ISNUMBER(H39),ROUND(SUM(H39,C39,E39),2),"")</f>
        <v>500</v>
      </c>
      <c r="J39" s="41" t="n">
        <f>IF(ISNUMBER(B39),COUNTIFS('MOVIMIENTOS'!$O$10:$O$69,B39,'MOVIMIENTOS'!$M$10:$M$69,"&gt;0"),"")</f>
        <v>0</v>
      </c>
    </row>
    <row r="40" ht="32" customHeight="1">
      <c r="B40" s="39" t="n">
        <f>IF(L2=1,IF(11&lt;C23,C18+77,""),"")</f>
        <v>46384</v>
      </c>
      <c r="C40" s="40" t="n">
        <f>IF(ISNUMBER(B40),SUMIFS('MOVIMIENTOS'!$G$10:$G$69,'MOVIMIENTOS'!$O$10:$O$69,B40,'MOVIMIENTOS'!$D$10:$D$69,"Cobro",'MOVIMIENTOS'!$E$10:$E$69,"Realizado",'MOVIMIENTOS'!$N$10:$N$69,1),"")</f>
        <v>0</v>
      </c>
      <c r="D40" s="40" t="n">
        <f>IF(ISNUMBER(B40),SUMIFS('MOVIMIENTOS'!$G$10:$G$69,'MOVIMIENTOS'!$O$10:$O$69,B40,'MOVIMIENTOS'!$D$10:$D$69,"Pago",'MOVIMIENTOS'!$E$10:$E$69,"Realizado",'MOVIMIENTOS'!$N$10:$N$69,1),"")</f>
        <v>0</v>
      </c>
      <c r="E40" s="40" t="n">
        <f>IF(ISNUMBER(B40),SUMIFS('MOVIMIENTOS'!$G$10:$G$69,'MOVIMIENTOS'!$O$10:$O$69,B40,'MOVIMIENTOS'!$D$10:$D$69,"Cobro",'MOVIMIENTOS'!$E$10:$E$69,"Previsto",'MOVIMIENTOS'!$N$10:$N$69,1),"")</f>
        <v>0</v>
      </c>
      <c r="F40" s="40" t="n">
        <f>IF(ISNUMBER(B40),SUMIFS('MOVIMIENTOS'!$G$10:$G$69,'MOVIMIENTOS'!$O$10:$O$69,B40,'MOVIMIENTOS'!$D$10:$D$69,"Pago",'MOVIMIENTOS'!$E$10:$E$69,"Previsto",'MOVIMIENTOS'!$N$10:$N$69,1),"")</f>
        <v>0</v>
      </c>
      <c r="G40" s="40" t="n">
        <f>IF(AND(ISNUMBER(B40),ISNUMBER(I39)),I39,"")</f>
        <v>500</v>
      </c>
      <c r="H40" s="40" t="n">
        <f>IF(AND(ISNUMBER(G40),J40=0),ROUND(G40-SUM(D40,F40),2),"")</f>
        <v>500</v>
      </c>
      <c r="I40" s="40" t="n">
        <f>IF(ISNUMBER(H40),ROUND(SUM(H40,C40,E40),2),"")</f>
        <v>500</v>
      </c>
      <c r="J40" s="41" t="n">
        <f>IF(ISNUMBER(B40),COUNTIFS('MOVIMIENTOS'!$O$10:$O$69,B40,'MOVIMIENTOS'!$M$10:$M$69,"&gt;0"),"")</f>
        <v>0</v>
      </c>
    </row>
    <row r="41" ht="32" customHeight="1">
      <c r="B41" s="39" t="str">
        <f>IF(L2=1,IF(12&lt;C23,C18+84,""),"")</f>
      </c>
      <c r="C41" s="40" t="str">
        <f>IF(ISNUMBER(B41),SUMIFS('MOVIMIENTOS'!$G$10:$G$69,'MOVIMIENTOS'!$O$10:$O$69,B41,'MOVIMIENTOS'!$D$10:$D$69,"Cobro",'MOVIMIENTOS'!$E$10:$E$69,"Realizado",'MOVIMIENTOS'!$N$10:$N$69,1),"")</f>
      </c>
      <c r="D41" s="40" t="str">
        <f>IF(ISNUMBER(B41),SUMIFS('MOVIMIENTOS'!$G$10:$G$69,'MOVIMIENTOS'!$O$10:$O$69,B41,'MOVIMIENTOS'!$D$10:$D$69,"Pago",'MOVIMIENTOS'!$E$10:$E$69,"Realizado",'MOVIMIENTOS'!$N$10:$N$69,1),"")</f>
      </c>
      <c r="E41" s="40" t="str">
        <f>IF(ISNUMBER(B41),SUMIFS('MOVIMIENTOS'!$G$10:$G$69,'MOVIMIENTOS'!$O$10:$O$69,B41,'MOVIMIENTOS'!$D$10:$D$69,"Cobro",'MOVIMIENTOS'!$E$10:$E$69,"Previsto",'MOVIMIENTOS'!$N$10:$N$69,1),"")</f>
      </c>
      <c r="F41" s="40" t="str">
        <f>IF(ISNUMBER(B41),SUMIFS('MOVIMIENTOS'!$G$10:$G$69,'MOVIMIENTOS'!$O$10:$O$69,B41,'MOVIMIENTOS'!$D$10:$D$69,"Pago",'MOVIMIENTOS'!$E$10:$E$69,"Previsto",'MOVIMIENTOS'!$N$10:$N$69,1),"")</f>
      </c>
      <c r="G41" s="40" t="str">
        <f>IF(AND(ISNUMBER(B41),ISNUMBER(I40)),I40,"")</f>
      </c>
      <c r="H41" s="40" t="str">
        <f>IF(AND(ISNUMBER(G41),J41=0),ROUND(G41-SUM(D41,F41),2),"")</f>
      </c>
      <c r="I41" s="40" t="str">
        <f>IF(ISNUMBER(H41),ROUND(SUM(H41,C41,E41),2),"")</f>
      </c>
      <c r="J41" s="41" t="str">
        <f>IF(ISNUMBER(B41),COUNTIFS('MOVIMIENTOS'!$O$10:$O$69,B41,'MOVIMIENTOS'!$M$10:$M$69,"&gt;0"),"")</f>
      </c>
    </row>
    <row r="42" ht="32" customHeight="1">
      <c r="B42" s="39" t="str">
        <f>IF(L2=1,IF(13&lt;C23,C18+91,""),"")</f>
      </c>
      <c r="C42" s="40" t="str">
        <f>IF(ISNUMBER(B42),SUMIFS('MOVIMIENTOS'!$G$10:$G$69,'MOVIMIENTOS'!$O$10:$O$69,B42,'MOVIMIENTOS'!$D$10:$D$69,"Cobro",'MOVIMIENTOS'!$E$10:$E$69,"Realizado",'MOVIMIENTOS'!$N$10:$N$69,1),"")</f>
      </c>
      <c r="D42" s="40" t="str">
        <f>IF(ISNUMBER(B42),SUMIFS('MOVIMIENTOS'!$G$10:$G$69,'MOVIMIENTOS'!$O$10:$O$69,B42,'MOVIMIENTOS'!$D$10:$D$69,"Pago",'MOVIMIENTOS'!$E$10:$E$69,"Realizado",'MOVIMIENTOS'!$N$10:$N$69,1),"")</f>
      </c>
      <c r="E42" s="40" t="str">
        <f>IF(ISNUMBER(B42),SUMIFS('MOVIMIENTOS'!$G$10:$G$69,'MOVIMIENTOS'!$O$10:$O$69,B42,'MOVIMIENTOS'!$D$10:$D$69,"Cobro",'MOVIMIENTOS'!$E$10:$E$69,"Previsto",'MOVIMIENTOS'!$N$10:$N$69,1),"")</f>
      </c>
      <c r="F42" s="40" t="str">
        <f>IF(ISNUMBER(B42),SUMIFS('MOVIMIENTOS'!$G$10:$G$69,'MOVIMIENTOS'!$O$10:$O$69,B42,'MOVIMIENTOS'!$D$10:$D$69,"Pago",'MOVIMIENTOS'!$E$10:$E$69,"Previsto",'MOVIMIENTOS'!$N$10:$N$69,1),"")</f>
      </c>
      <c r="G42" s="40" t="str">
        <f>IF(AND(ISNUMBER(B42),ISNUMBER(I41)),I41,"")</f>
      </c>
      <c r="H42" s="40" t="str">
        <f>IF(AND(ISNUMBER(G42),J42=0),ROUND(G42-SUM(D42,F42),2),"")</f>
      </c>
      <c r="I42" s="40" t="str">
        <f>IF(ISNUMBER(H42),ROUND(SUM(H42,C42,E42),2),"")</f>
      </c>
      <c r="J42" s="41" t="str">
        <f>IF(ISNUMBER(B42),COUNTIFS('MOVIMIENTOS'!$O$10:$O$69,B42,'MOVIMIENTOS'!$M$10:$M$69,"&gt;0"),"")</f>
      </c>
    </row>
    <row r="43" ht="32" customHeight="1">
      <c r="B43" s="39" t="str">
        <f>IF(L2=1,IF(14&lt;C23,C18+98,""),"")</f>
      </c>
      <c r="C43" s="40" t="str">
        <f>IF(ISNUMBER(B43),SUMIFS('MOVIMIENTOS'!$G$10:$G$69,'MOVIMIENTOS'!$O$10:$O$69,B43,'MOVIMIENTOS'!$D$10:$D$69,"Cobro",'MOVIMIENTOS'!$E$10:$E$69,"Realizado",'MOVIMIENTOS'!$N$10:$N$69,1),"")</f>
      </c>
      <c r="D43" s="40" t="str">
        <f>IF(ISNUMBER(B43),SUMIFS('MOVIMIENTOS'!$G$10:$G$69,'MOVIMIENTOS'!$O$10:$O$69,B43,'MOVIMIENTOS'!$D$10:$D$69,"Pago",'MOVIMIENTOS'!$E$10:$E$69,"Realizado",'MOVIMIENTOS'!$N$10:$N$69,1),"")</f>
      </c>
      <c r="E43" s="40" t="str">
        <f>IF(ISNUMBER(B43),SUMIFS('MOVIMIENTOS'!$G$10:$G$69,'MOVIMIENTOS'!$O$10:$O$69,B43,'MOVIMIENTOS'!$D$10:$D$69,"Cobro",'MOVIMIENTOS'!$E$10:$E$69,"Previsto",'MOVIMIENTOS'!$N$10:$N$69,1),"")</f>
      </c>
      <c r="F43" s="40" t="str">
        <f>IF(ISNUMBER(B43),SUMIFS('MOVIMIENTOS'!$G$10:$G$69,'MOVIMIENTOS'!$O$10:$O$69,B43,'MOVIMIENTOS'!$D$10:$D$69,"Pago",'MOVIMIENTOS'!$E$10:$E$69,"Previsto",'MOVIMIENTOS'!$N$10:$N$69,1),"")</f>
      </c>
      <c r="G43" s="40" t="str">
        <f>IF(AND(ISNUMBER(B43),ISNUMBER(I42)),I42,"")</f>
      </c>
      <c r="H43" s="40" t="str">
        <f>IF(AND(ISNUMBER(G43),J43=0),ROUND(G43-SUM(D43,F43),2),"")</f>
      </c>
      <c r="I43" s="40" t="str">
        <f>IF(ISNUMBER(H43),ROUND(SUM(H43,C43,E43),2),"")</f>
      </c>
      <c r="J43" s="41" t="str">
        <f>IF(ISNUMBER(B43),COUNTIFS('MOVIMIENTOS'!$O$10:$O$69,B43,'MOVIMIENTOS'!$M$10:$M$69,"&gt;0"),"")</f>
      </c>
    </row>
    <row r="44" ht="32" customHeight="1">
      <c r="B44" s="39" t="str">
        <f>IF(L2=1,IF(15&lt;C23,C18+105,""),"")</f>
      </c>
      <c r="C44" s="40" t="str">
        <f>IF(ISNUMBER(B44),SUMIFS('MOVIMIENTOS'!$G$10:$G$69,'MOVIMIENTOS'!$O$10:$O$69,B44,'MOVIMIENTOS'!$D$10:$D$69,"Cobro",'MOVIMIENTOS'!$E$10:$E$69,"Realizado",'MOVIMIENTOS'!$N$10:$N$69,1),"")</f>
      </c>
      <c r="D44" s="40" t="str">
        <f>IF(ISNUMBER(B44),SUMIFS('MOVIMIENTOS'!$G$10:$G$69,'MOVIMIENTOS'!$O$10:$O$69,B44,'MOVIMIENTOS'!$D$10:$D$69,"Pago",'MOVIMIENTOS'!$E$10:$E$69,"Realizado",'MOVIMIENTOS'!$N$10:$N$69,1),"")</f>
      </c>
      <c r="E44" s="40" t="str">
        <f>IF(ISNUMBER(B44),SUMIFS('MOVIMIENTOS'!$G$10:$G$69,'MOVIMIENTOS'!$O$10:$O$69,B44,'MOVIMIENTOS'!$D$10:$D$69,"Cobro",'MOVIMIENTOS'!$E$10:$E$69,"Previsto",'MOVIMIENTOS'!$N$10:$N$69,1),"")</f>
      </c>
      <c r="F44" s="40" t="str">
        <f>IF(ISNUMBER(B44),SUMIFS('MOVIMIENTOS'!$G$10:$G$69,'MOVIMIENTOS'!$O$10:$O$69,B44,'MOVIMIENTOS'!$D$10:$D$69,"Pago",'MOVIMIENTOS'!$E$10:$E$69,"Previsto",'MOVIMIENTOS'!$N$10:$N$69,1),"")</f>
      </c>
      <c r="G44" s="40" t="str">
        <f>IF(AND(ISNUMBER(B44),ISNUMBER(I43)),I43,"")</f>
      </c>
      <c r="H44" s="40" t="str">
        <f>IF(AND(ISNUMBER(G44),J44=0),ROUND(G44-SUM(D44,F44),2),"")</f>
      </c>
      <c r="I44" s="40" t="str">
        <f>IF(ISNUMBER(H44),ROUND(SUM(H44,C44,E44),2),"")</f>
      </c>
      <c r="J44" s="41" t="str">
        <f>IF(ISNUMBER(B44),COUNTIFS('MOVIMIENTOS'!$O$10:$O$69,B44,'MOVIMIENTOS'!$M$10:$M$69,"&gt;0"),"")</f>
      </c>
    </row>
    <row r="45" ht="32" customHeight="1">
      <c r="B45" s="39" t="str">
        <f>IF(L2=1,IF(16&lt;C23,C18+112,""),"")</f>
      </c>
      <c r="C45" s="40" t="str">
        <f>IF(ISNUMBER(B45),SUMIFS('MOVIMIENTOS'!$G$10:$G$69,'MOVIMIENTOS'!$O$10:$O$69,B45,'MOVIMIENTOS'!$D$10:$D$69,"Cobro",'MOVIMIENTOS'!$E$10:$E$69,"Realizado",'MOVIMIENTOS'!$N$10:$N$69,1),"")</f>
      </c>
      <c r="D45" s="40" t="str">
        <f>IF(ISNUMBER(B45),SUMIFS('MOVIMIENTOS'!$G$10:$G$69,'MOVIMIENTOS'!$O$10:$O$69,B45,'MOVIMIENTOS'!$D$10:$D$69,"Pago",'MOVIMIENTOS'!$E$10:$E$69,"Realizado",'MOVIMIENTOS'!$N$10:$N$69,1),"")</f>
      </c>
      <c r="E45" s="40" t="str">
        <f>IF(ISNUMBER(B45),SUMIFS('MOVIMIENTOS'!$G$10:$G$69,'MOVIMIENTOS'!$O$10:$O$69,B45,'MOVIMIENTOS'!$D$10:$D$69,"Cobro",'MOVIMIENTOS'!$E$10:$E$69,"Previsto",'MOVIMIENTOS'!$N$10:$N$69,1),"")</f>
      </c>
      <c r="F45" s="40" t="str">
        <f>IF(ISNUMBER(B45),SUMIFS('MOVIMIENTOS'!$G$10:$G$69,'MOVIMIENTOS'!$O$10:$O$69,B45,'MOVIMIENTOS'!$D$10:$D$69,"Pago",'MOVIMIENTOS'!$E$10:$E$69,"Previsto",'MOVIMIENTOS'!$N$10:$N$69,1),"")</f>
      </c>
      <c r="G45" s="40" t="str">
        <f>IF(AND(ISNUMBER(B45),ISNUMBER(I44)),I44,"")</f>
      </c>
      <c r="H45" s="40" t="str">
        <f>IF(AND(ISNUMBER(G45),J45=0),ROUND(G45-SUM(D45,F45),2),"")</f>
      </c>
      <c r="I45" s="40" t="str">
        <f>IF(ISNUMBER(H45),ROUND(SUM(H45,C45,E45),2),"")</f>
      </c>
      <c r="J45" s="41" t="str">
        <f>IF(ISNUMBER(B45),COUNTIFS('MOVIMIENTOS'!$O$10:$O$69,B45,'MOVIMIENTOS'!$M$10:$M$69,"&gt;0"),"")</f>
      </c>
    </row>
    <row r="46" ht="32" customHeight="1">
      <c r="B46" s="39" t="str">
        <f>IF(L2=1,IF(17&lt;C23,C18+119,""),"")</f>
      </c>
      <c r="C46" s="40" t="str">
        <f>IF(ISNUMBER(B46),SUMIFS('MOVIMIENTOS'!$G$10:$G$69,'MOVIMIENTOS'!$O$10:$O$69,B46,'MOVIMIENTOS'!$D$10:$D$69,"Cobro",'MOVIMIENTOS'!$E$10:$E$69,"Realizado",'MOVIMIENTOS'!$N$10:$N$69,1),"")</f>
      </c>
      <c r="D46" s="40" t="str">
        <f>IF(ISNUMBER(B46),SUMIFS('MOVIMIENTOS'!$G$10:$G$69,'MOVIMIENTOS'!$O$10:$O$69,B46,'MOVIMIENTOS'!$D$10:$D$69,"Pago",'MOVIMIENTOS'!$E$10:$E$69,"Realizado",'MOVIMIENTOS'!$N$10:$N$69,1),"")</f>
      </c>
      <c r="E46" s="40" t="str">
        <f>IF(ISNUMBER(B46),SUMIFS('MOVIMIENTOS'!$G$10:$G$69,'MOVIMIENTOS'!$O$10:$O$69,B46,'MOVIMIENTOS'!$D$10:$D$69,"Cobro",'MOVIMIENTOS'!$E$10:$E$69,"Previsto",'MOVIMIENTOS'!$N$10:$N$69,1),"")</f>
      </c>
      <c r="F46" s="40" t="str">
        <f>IF(ISNUMBER(B46),SUMIFS('MOVIMIENTOS'!$G$10:$G$69,'MOVIMIENTOS'!$O$10:$O$69,B46,'MOVIMIENTOS'!$D$10:$D$69,"Pago",'MOVIMIENTOS'!$E$10:$E$69,"Previsto",'MOVIMIENTOS'!$N$10:$N$69,1),"")</f>
      </c>
      <c r="G46" s="40" t="str">
        <f>IF(AND(ISNUMBER(B46),ISNUMBER(I45)),I45,"")</f>
      </c>
      <c r="H46" s="40" t="str">
        <f>IF(AND(ISNUMBER(G46),J46=0),ROUND(G46-SUM(D46,F46),2),"")</f>
      </c>
      <c r="I46" s="40" t="str">
        <f>IF(ISNUMBER(H46),ROUND(SUM(H46,C46,E46),2),"")</f>
      </c>
      <c r="J46" s="41" t="str">
        <f>IF(ISNUMBER(B46),COUNTIFS('MOVIMIENTOS'!$O$10:$O$69,B46,'MOVIMIENTOS'!$M$10:$M$69,"&gt;0"),"")</f>
      </c>
    </row>
    <row r="47" ht="32" customHeight="1">
      <c r="B47" s="39" t="str">
        <f>IF(L2=1,IF(18&lt;C23,C18+126,""),"")</f>
      </c>
      <c r="C47" s="40" t="str">
        <f>IF(ISNUMBER(B47),SUMIFS('MOVIMIENTOS'!$G$10:$G$69,'MOVIMIENTOS'!$O$10:$O$69,B47,'MOVIMIENTOS'!$D$10:$D$69,"Cobro",'MOVIMIENTOS'!$E$10:$E$69,"Realizado",'MOVIMIENTOS'!$N$10:$N$69,1),"")</f>
      </c>
      <c r="D47" s="40" t="str">
        <f>IF(ISNUMBER(B47),SUMIFS('MOVIMIENTOS'!$G$10:$G$69,'MOVIMIENTOS'!$O$10:$O$69,B47,'MOVIMIENTOS'!$D$10:$D$69,"Pago",'MOVIMIENTOS'!$E$10:$E$69,"Realizado",'MOVIMIENTOS'!$N$10:$N$69,1),"")</f>
      </c>
      <c r="E47" s="40" t="str">
        <f>IF(ISNUMBER(B47),SUMIFS('MOVIMIENTOS'!$G$10:$G$69,'MOVIMIENTOS'!$O$10:$O$69,B47,'MOVIMIENTOS'!$D$10:$D$69,"Cobro",'MOVIMIENTOS'!$E$10:$E$69,"Previsto",'MOVIMIENTOS'!$N$10:$N$69,1),"")</f>
      </c>
      <c r="F47" s="40" t="str">
        <f>IF(ISNUMBER(B47),SUMIFS('MOVIMIENTOS'!$G$10:$G$69,'MOVIMIENTOS'!$O$10:$O$69,B47,'MOVIMIENTOS'!$D$10:$D$69,"Pago",'MOVIMIENTOS'!$E$10:$E$69,"Previsto",'MOVIMIENTOS'!$N$10:$N$69,1),"")</f>
      </c>
      <c r="G47" s="40" t="str">
        <f>IF(AND(ISNUMBER(B47),ISNUMBER(I46)),I46,"")</f>
      </c>
      <c r="H47" s="40" t="str">
        <f>IF(AND(ISNUMBER(G47),J47=0),ROUND(G47-SUM(D47,F47),2),"")</f>
      </c>
      <c r="I47" s="40" t="str">
        <f>IF(ISNUMBER(H47),ROUND(SUM(H47,C47,E47),2),"")</f>
      </c>
      <c r="J47" s="41" t="str">
        <f>IF(ISNUMBER(B47),COUNTIFS('MOVIMIENTOS'!$O$10:$O$69,B47,'MOVIMIENTOS'!$M$10:$M$69,"&gt;0"),"")</f>
      </c>
    </row>
    <row r="48" ht="32" customHeight="1">
      <c r="B48" s="39" t="str">
        <f>IF(L2=1,IF(19&lt;C23,C18+133,""),"")</f>
      </c>
      <c r="C48" s="40" t="str">
        <f>IF(ISNUMBER(B48),SUMIFS('MOVIMIENTOS'!$G$10:$G$69,'MOVIMIENTOS'!$O$10:$O$69,B48,'MOVIMIENTOS'!$D$10:$D$69,"Cobro",'MOVIMIENTOS'!$E$10:$E$69,"Realizado",'MOVIMIENTOS'!$N$10:$N$69,1),"")</f>
      </c>
      <c r="D48" s="40" t="str">
        <f>IF(ISNUMBER(B48),SUMIFS('MOVIMIENTOS'!$G$10:$G$69,'MOVIMIENTOS'!$O$10:$O$69,B48,'MOVIMIENTOS'!$D$10:$D$69,"Pago",'MOVIMIENTOS'!$E$10:$E$69,"Realizado",'MOVIMIENTOS'!$N$10:$N$69,1),"")</f>
      </c>
      <c r="E48" s="40" t="str">
        <f>IF(ISNUMBER(B48),SUMIFS('MOVIMIENTOS'!$G$10:$G$69,'MOVIMIENTOS'!$O$10:$O$69,B48,'MOVIMIENTOS'!$D$10:$D$69,"Cobro",'MOVIMIENTOS'!$E$10:$E$69,"Previsto",'MOVIMIENTOS'!$N$10:$N$69,1),"")</f>
      </c>
      <c r="F48" s="40" t="str">
        <f>IF(ISNUMBER(B48),SUMIFS('MOVIMIENTOS'!$G$10:$G$69,'MOVIMIENTOS'!$O$10:$O$69,B48,'MOVIMIENTOS'!$D$10:$D$69,"Pago",'MOVIMIENTOS'!$E$10:$E$69,"Previsto",'MOVIMIENTOS'!$N$10:$N$69,1),"")</f>
      </c>
      <c r="G48" s="40" t="str">
        <f>IF(AND(ISNUMBER(B48),ISNUMBER(I47)),I47,"")</f>
      </c>
      <c r="H48" s="40" t="str">
        <f>IF(AND(ISNUMBER(G48),J48=0),ROUND(G48-SUM(D48,F48),2),"")</f>
      </c>
      <c r="I48" s="40" t="str">
        <f>IF(ISNUMBER(H48),ROUND(SUM(H48,C48,E48),2),"")</f>
      </c>
      <c r="J48" s="41" t="str">
        <f>IF(ISNUMBER(B48),COUNTIFS('MOVIMIENTOS'!$O$10:$O$69,B48,'MOVIMIENTOS'!$M$10:$M$69,"&gt;0"),"")</f>
      </c>
    </row>
    <row r="49" ht="32" customHeight="1">
      <c r="B49" s="39" t="str">
        <f>IF(L2=1,IF(20&lt;C23,C18+140,""),"")</f>
      </c>
      <c r="C49" s="40" t="str">
        <f>IF(ISNUMBER(B49),SUMIFS('MOVIMIENTOS'!$G$10:$G$69,'MOVIMIENTOS'!$O$10:$O$69,B49,'MOVIMIENTOS'!$D$10:$D$69,"Cobro",'MOVIMIENTOS'!$E$10:$E$69,"Realizado",'MOVIMIENTOS'!$N$10:$N$69,1),"")</f>
      </c>
      <c r="D49" s="40" t="str">
        <f>IF(ISNUMBER(B49),SUMIFS('MOVIMIENTOS'!$G$10:$G$69,'MOVIMIENTOS'!$O$10:$O$69,B49,'MOVIMIENTOS'!$D$10:$D$69,"Pago",'MOVIMIENTOS'!$E$10:$E$69,"Realizado",'MOVIMIENTOS'!$N$10:$N$69,1),"")</f>
      </c>
      <c r="E49" s="40" t="str">
        <f>IF(ISNUMBER(B49),SUMIFS('MOVIMIENTOS'!$G$10:$G$69,'MOVIMIENTOS'!$O$10:$O$69,B49,'MOVIMIENTOS'!$D$10:$D$69,"Cobro",'MOVIMIENTOS'!$E$10:$E$69,"Previsto",'MOVIMIENTOS'!$N$10:$N$69,1),"")</f>
      </c>
      <c r="F49" s="40" t="str">
        <f>IF(ISNUMBER(B49),SUMIFS('MOVIMIENTOS'!$G$10:$G$69,'MOVIMIENTOS'!$O$10:$O$69,B49,'MOVIMIENTOS'!$D$10:$D$69,"Pago",'MOVIMIENTOS'!$E$10:$E$69,"Previsto",'MOVIMIENTOS'!$N$10:$N$69,1),"")</f>
      </c>
      <c r="G49" s="40" t="str">
        <f>IF(AND(ISNUMBER(B49),ISNUMBER(I48)),I48,"")</f>
      </c>
      <c r="H49" s="40" t="str">
        <f>IF(AND(ISNUMBER(G49),J49=0),ROUND(G49-SUM(D49,F49),2),"")</f>
      </c>
      <c r="I49" s="40" t="str">
        <f>IF(ISNUMBER(H49),ROUND(SUM(H49,C49,E49),2),"")</f>
      </c>
      <c r="J49" s="41" t="str">
        <f>IF(ISNUMBER(B49),COUNTIFS('MOVIMIENTOS'!$O$10:$O$69,B49,'MOVIMIENTOS'!$M$10:$M$69,"&gt;0"),"")</f>
      </c>
    </row>
    <row r="50" ht="32" customHeight="1">
      <c r="B50" s="39" t="str">
        <f>IF(L2=1,IF(21&lt;C23,C18+147,""),"")</f>
      </c>
      <c r="C50" s="40" t="str">
        <f>IF(ISNUMBER(B50),SUMIFS('MOVIMIENTOS'!$G$10:$G$69,'MOVIMIENTOS'!$O$10:$O$69,B50,'MOVIMIENTOS'!$D$10:$D$69,"Cobro",'MOVIMIENTOS'!$E$10:$E$69,"Realizado",'MOVIMIENTOS'!$N$10:$N$69,1),"")</f>
      </c>
      <c r="D50" s="40" t="str">
        <f>IF(ISNUMBER(B50),SUMIFS('MOVIMIENTOS'!$G$10:$G$69,'MOVIMIENTOS'!$O$10:$O$69,B50,'MOVIMIENTOS'!$D$10:$D$69,"Pago",'MOVIMIENTOS'!$E$10:$E$69,"Realizado",'MOVIMIENTOS'!$N$10:$N$69,1),"")</f>
      </c>
      <c r="E50" s="40" t="str">
        <f>IF(ISNUMBER(B50),SUMIFS('MOVIMIENTOS'!$G$10:$G$69,'MOVIMIENTOS'!$O$10:$O$69,B50,'MOVIMIENTOS'!$D$10:$D$69,"Cobro",'MOVIMIENTOS'!$E$10:$E$69,"Previsto",'MOVIMIENTOS'!$N$10:$N$69,1),"")</f>
      </c>
      <c r="F50" s="40" t="str">
        <f>IF(ISNUMBER(B50),SUMIFS('MOVIMIENTOS'!$G$10:$G$69,'MOVIMIENTOS'!$O$10:$O$69,B50,'MOVIMIENTOS'!$D$10:$D$69,"Pago",'MOVIMIENTOS'!$E$10:$E$69,"Previsto",'MOVIMIENTOS'!$N$10:$N$69,1),"")</f>
      </c>
      <c r="G50" s="40" t="str">
        <f>IF(AND(ISNUMBER(B50),ISNUMBER(I49)),I49,"")</f>
      </c>
      <c r="H50" s="40" t="str">
        <f>IF(AND(ISNUMBER(G50),J50=0),ROUND(G50-SUM(D50,F50),2),"")</f>
      </c>
      <c r="I50" s="40" t="str">
        <f>IF(ISNUMBER(H50),ROUND(SUM(H50,C50,E50),2),"")</f>
      </c>
      <c r="J50" s="41" t="str">
        <f>IF(ISNUMBER(B50),COUNTIFS('MOVIMIENTOS'!$O$10:$O$69,B50,'MOVIMIENTOS'!$M$10:$M$69,"&gt;0"),"")</f>
      </c>
    </row>
    <row r="51" ht="32" customHeight="1">
      <c r="B51" s="39" t="str">
        <f>IF(L2=1,IF(22&lt;C23,C18+154,""),"")</f>
      </c>
      <c r="C51" s="40" t="str">
        <f>IF(ISNUMBER(B51),SUMIFS('MOVIMIENTOS'!$G$10:$G$69,'MOVIMIENTOS'!$O$10:$O$69,B51,'MOVIMIENTOS'!$D$10:$D$69,"Cobro",'MOVIMIENTOS'!$E$10:$E$69,"Realizado",'MOVIMIENTOS'!$N$10:$N$69,1),"")</f>
      </c>
      <c r="D51" s="40" t="str">
        <f>IF(ISNUMBER(B51),SUMIFS('MOVIMIENTOS'!$G$10:$G$69,'MOVIMIENTOS'!$O$10:$O$69,B51,'MOVIMIENTOS'!$D$10:$D$69,"Pago",'MOVIMIENTOS'!$E$10:$E$69,"Realizado",'MOVIMIENTOS'!$N$10:$N$69,1),"")</f>
      </c>
      <c r="E51" s="40" t="str">
        <f>IF(ISNUMBER(B51),SUMIFS('MOVIMIENTOS'!$G$10:$G$69,'MOVIMIENTOS'!$O$10:$O$69,B51,'MOVIMIENTOS'!$D$10:$D$69,"Cobro",'MOVIMIENTOS'!$E$10:$E$69,"Previsto",'MOVIMIENTOS'!$N$10:$N$69,1),"")</f>
      </c>
      <c r="F51" s="40" t="str">
        <f>IF(ISNUMBER(B51),SUMIFS('MOVIMIENTOS'!$G$10:$G$69,'MOVIMIENTOS'!$O$10:$O$69,B51,'MOVIMIENTOS'!$D$10:$D$69,"Pago",'MOVIMIENTOS'!$E$10:$E$69,"Previsto",'MOVIMIENTOS'!$N$10:$N$69,1),"")</f>
      </c>
      <c r="G51" s="40" t="str">
        <f>IF(AND(ISNUMBER(B51),ISNUMBER(I50)),I50,"")</f>
      </c>
      <c r="H51" s="40" t="str">
        <f>IF(AND(ISNUMBER(G51),J51=0),ROUND(G51-SUM(D51,F51),2),"")</f>
      </c>
      <c r="I51" s="40" t="str">
        <f>IF(ISNUMBER(H51),ROUND(SUM(H51,C51,E51),2),"")</f>
      </c>
      <c r="J51" s="41" t="str">
        <f>IF(ISNUMBER(B51),COUNTIFS('MOVIMIENTOS'!$O$10:$O$69,B51,'MOVIMIENTOS'!$M$10:$M$69,"&gt;0"),"")</f>
      </c>
    </row>
    <row r="52" ht="32" customHeight="1">
      <c r="B52" s="39" t="str">
        <f>IF(L2=1,IF(23&lt;C23,C18+161,""),"")</f>
      </c>
      <c r="C52" s="40" t="str">
        <f>IF(ISNUMBER(B52),SUMIFS('MOVIMIENTOS'!$G$10:$G$69,'MOVIMIENTOS'!$O$10:$O$69,B52,'MOVIMIENTOS'!$D$10:$D$69,"Cobro",'MOVIMIENTOS'!$E$10:$E$69,"Realizado",'MOVIMIENTOS'!$N$10:$N$69,1),"")</f>
      </c>
      <c r="D52" s="40" t="str">
        <f>IF(ISNUMBER(B52),SUMIFS('MOVIMIENTOS'!$G$10:$G$69,'MOVIMIENTOS'!$O$10:$O$69,B52,'MOVIMIENTOS'!$D$10:$D$69,"Pago",'MOVIMIENTOS'!$E$10:$E$69,"Realizado",'MOVIMIENTOS'!$N$10:$N$69,1),"")</f>
      </c>
      <c r="E52" s="40" t="str">
        <f>IF(ISNUMBER(B52),SUMIFS('MOVIMIENTOS'!$G$10:$G$69,'MOVIMIENTOS'!$O$10:$O$69,B52,'MOVIMIENTOS'!$D$10:$D$69,"Cobro",'MOVIMIENTOS'!$E$10:$E$69,"Previsto",'MOVIMIENTOS'!$N$10:$N$69,1),"")</f>
      </c>
      <c r="F52" s="40" t="str">
        <f>IF(ISNUMBER(B52),SUMIFS('MOVIMIENTOS'!$G$10:$G$69,'MOVIMIENTOS'!$O$10:$O$69,B52,'MOVIMIENTOS'!$D$10:$D$69,"Pago",'MOVIMIENTOS'!$E$10:$E$69,"Previsto",'MOVIMIENTOS'!$N$10:$N$69,1),"")</f>
      </c>
      <c r="G52" s="40" t="str">
        <f>IF(AND(ISNUMBER(B52),ISNUMBER(I51)),I51,"")</f>
      </c>
      <c r="H52" s="40" t="str">
        <f>IF(AND(ISNUMBER(G52),J52=0),ROUND(G52-SUM(D52,F52),2),"")</f>
      </c>
      <c r="I52" s="40" t="str">
        <f>IF(ISNUMBER(H52),ROUND(SUM(H52,C52,E52),2),"")</f>
      </c>
      <c r="J52" s="41" t="str">
        <f>IF(ISNUMBER(B52),COUNTIFS('MOVIMIENTOS'!$O$10:$O$69,B52,'MOVIMIENTOS'!$M$10:$M$69,"&gt;0"),"")</f>
      </c>
    </row>
    <row r="53" ht="32" customHeight="1">
      <c r="B53" s="39" t="str">
        <f>IF(L2=1,IF(24&lt;C23,C18+168,""),"")</f>
      </c>
      <c r="C53" s="40" t="str">
        <f>IF(ISNUMBER(B53),SUMIFS('MOVIMIENTOS'!$G$10:$G$69,'MOVIMIENTOS'!$O$10:$O$69,B53,'MOVIMIENTOS'!$D$10:$D$69,"Cobro",'MOVIMIENTOS'!$E$10:$E$69,"Realizado",'MOVIMIENTOS'!$N$10:$N$69,1),"")</f>
      </c>
      <c r="D53" s="40" t="str">
        <f>IF(ISNUMBER(B53),SUMIFS('MOVIMIENTOS'!$G$10:$G$69,'MOVIMIENTOS'!$O$10:$O$69,B53,'MOVIMIENTOS'!$D$10:$D$69,"Pago",'MOVIMIENTOS'!$E$10:$E$69,"Realizado",'MOVIMIENTOS'!$N$10:$N$69,1),"")</f>
      </c>
      <c r="E53" s="40" t="str">
        <f>IF(ISNUMBER(B53),SUMIFS('MOVIMIENTOS'!$G$10:$G$69,'MOVIMIENTOS'!$O$10:$O$69,B53,'MOVIMIENTOS'!$D$10:$D$69,"Cobro",'MOVIMIENTOS'!$E$10:$E$69,"Previsto",'MOVIMIENTOS'!$N$10:$N$69,1),"")</f>
      </c>
      <c r="F53" s="40" t="str">
        <f>IF(ISNUMBER(B53),SUMIFS('MOVIMIENTOS'!$G$10:$G$69,'MOVIMIENTOS'!$O$10:$O$69,B53,'MOVIMIENTOS'!$D$10:$D$69,"Pago",'MOVIMIENTOS'!$E$10:$E$69,"Previsto",'MOVIMIENTOS'!$N$10:$N$69,1),"")</f>
      </c>
      <c r="G53" s="40" t="str">
        <f>IF(AND(ISNUMBER(B53),ISNUMBER(I52)),I52,"")</f>
      </c>
      <c r="H53" s="40" t="str">
        <f>IF(AND(ISNUMBER(G53),J53=0),ROUND(G53-SUM(D53,F53),2),"")</f>
      </c>
      <c r="I53" s="40" t="str">
        <f>IF(ISNUMBER(H53),ROUND(SUM(H53,C53,E53),2),"")</f>
      </c>
      <c r="J53" s="41" t="str">
        <f>IF(ISNUMBER(B53),COUNTIFS('MOVIMIENTOS'!$O$10:$O$69,B53,'MOVIMIENTOS'!$M$10:$M$69,"&gt;0"),"")</f>
      </c>
    </row>
    <row r="54" ht="32" customHeight="1">
      <c r="B54" s="39" t="str">
        <f>IF(L2=1,IF(25&lt;C23,C18+175,""),"")</f>
      </c>
      <c r="C54" s="40" t="str">
        <f>IF(ISNUMBER(B54),SUMIFS('MOVIMIENTOS'!$G$10:$G$69,'MOVIMIENTOS'!$O$10:$O$69,B54,'MOVIMIENTOS'!$D$10:$D$69,"Cobro",'MOVIMIENTOS'!$E$10:$E$69,"Realizado",'MOVIMIENTOS'!$N$10:$N$69,1),"")</f>
      </c>
      <c r="D54" s="40" t="str">
        <f>IF(ISNUMBER(B54),SUMIFS('MOVIMIENTOS'!$G$10:$G$69,'MOVIMIENTOS'!$O$10:$O$69,B54,'MOVIMIENTOS'!$D$10:$D$69,"Pago",'MOVIMIENTOS'!$E$10:$E$69,"Realizado",'MOVIMIENTOS'!$N$10:$N$69,1),"")</f>
      </c>
      <c r="E54" s="40" t="str">
        <f>IF(ISNUMBER(B54),SUMIFS('MOVIMIENTOS'!$G$10:$G$69,'MOVIMIENTOS'!$O$10:$O$69,B54,'MOVIMIENTOS'!$D$10:$D$69,"Cobro",'MOVIMIENTOS'!$E$10:$E$69,"Previsto",'MOVIMIENTOS'!$N$10:$N$69,1),"")</f>
      </c>
      <c r="F54" s="40" t="str">
        <f>IF(ISNUMBER(B54),SUMIFS('MOVIMIENTOS'!$G$10:$G$69,'MOVIMIENTOS'!$O$10:$O$69,B54,'MOVIMIENTOS'!$D$10:$D$69,"Pago",'MOVIMIENTOS'!$E$10:$E$69,"Previsto",'MOVIMIENTOS'!$N$10:$N$69,1),"")</f>
      </c>
      <c r="G54" s="40" t="str">
        <f>IF(AND(ISNUMBER(B54),ISNUMBER(I53)),I53,"")</f>
      </c>
      <c r="H54" s="40" t="str">
        <f>IF(AND(ISNUMBER(G54),J54=0),ROUND(G54-SUM(D54,F54),2),"")</f>
      </c>
      <c r="I54" s="40" t="str">
        <f>IF(ISNUMBER(H54),ROUND(SUM(H54,C54,E54),2),"")</f>
      </c>
      <c r="J54" s="41" t="str">
        <f>IF(ISNUMBER(B54),COUNTIFS('MOVIMIENTOS'!$O$10:$O$69,B54,'MOVIMIENTOS'!$M$10:$M$69,"&gt;0"),"")</f>
      </c>
    </row>
    <row r="55" ht="27" customHeight="1">
      <c r="B55" s="25"/>
      <c r="C55" s="25"/>
      <c r="D55" s="25"/>
      <c r="E55" s="25"/>
      <c r="F55" s="25"/>
      <c r="G55" s="25"/>
      <c r="H55" s="25"/>
      <c r="I55" s="25"/>
      <c r="J55" s="25"/>
    </row>
    <row r="56" ht="26" customHeight="1">
      <c r="B56" s="29" t="str">
        <v>¹ Tras pagar: saldo de apertura menos todos los pagos de la semana, antes de sumar cobros. Es un escenario de orden de pagos, no la cronología bancaria real. ² Cierre: después de los cobros. Los movimientos previstos siguen siendo hipótesis.</v>
      </c>
      <c r="C56" s="29"/>
      <c r="D56" s="29"/>
      <c r="E56" s="29"/>
      <c r="F56" s="29"/>
      <c r="G56" s="29"/>
      <c r="H56" s="29"/>
      <c r="I56" s="29"/>
      <c r="J56" s="29"/>
    </row>
    <row r="57" ht="26" customHeight="1">
      <c r="B57" s="29"/>
      <c r="C57" s="29"/>
      <c r="D57" s="29"/>
      <c r="E57" s="29"/>
      <c r="F57" s="29"/>
      <c r="G57" s="29"/>
      <c r="H57" s="29"/>
      <c r="I57" s="29"/>
      <c r="J57" s="29"/>
    </row>
    <row r="58" ht="27" customHeight="1">
      <c r="B58" s="25"/>
      <c r="C58" s="25"/>
      <c r="D58" s="25"/>
      <c r="E58" s="25"/>
      <c r="F58" s="25"/>
      <c r="G58" s="25"/>
      <c r="H58" s="25"/>
      <c r="I58" s="25"/>
      <c r="J58" s="25"/>
    </row>
    <row r="59" ht="26" customHeight="1">
      <c r="B59" s="29" t="str">
        <v>La cifra no cubre obligaciones o semanas que no hayamos cargado ni posibles cambios de fechas. Declarar Completa exige revisar el alcance. No es beneficio, financiación concedida ni garantía del dinero necesario en la obra entera.</v>
      </c>
      <c r="C59" s="29"/>
      <c r="D59" s="29"/>
      <c r="E59" s="29"/>
      <c r="F59" s="29"/>
      <c r="G59" s="29"/>
      <c r="H59" s="29"/>
      <c r="I59" s="29"/>
      <c r="J59" s="29"/>
    </row>
    <row r="60" ht="26" customHeight="1">
      <c r="B60" s="29"/>
      <c r="C60" s="29"/>
      <c r="D60" s="29"/>
      <c r="E60" s="29"/>
      <c r="F60" s="29"/>
      <c r="G60" s="29"/>
      <c r="H60" s="29"/>
      <c r="I60" s="29"/>
      <c r="J60" s="29"/>
    </row>
    <row r="61" ht="27" customHeight="1">
      <c r="B61" s="25"/>
      <c r="C61" s="25"/>
      <c r="D61" s="25"/>
      <c r="E61" s="25"/>
      <c r="F61" s="25"/>
      <c r="G61" s="25"/>
      <c r="H61" s="25"/>
      <c r="I61" s="25"/>
      <c r="J61" s="25"/>
    </row>
    <row r="62" ht="27" customHeight="1">
      <c r="B62" s="30" t="str">
        <v>Cuitó Digital · cuitodigital.com</v>
      </c>
      <c r="C62" s="30"/>
      <c r="D62" s="30"/>
      <c r="E62" s="30"/>
      <c r="F62" s="30"/>
      <c r="G62" s="30"/>
      <c r="H62" s="30"/>
      <c r="I62" s="30"/>
      <c r="J62" s="30"/>
    </row>
  </sheetData>
  <sheetProtection sheet="1" objects="1" scenarios="1" formatCells="1" formatColumns="0" formatRows="0" insertColumns="1" insertRows="1" deleteColumns="1" deleteRows="1" sort="1" autoFilter="1" selectLockedCells="0" selectUnlockedCells="0"/>
  <mergeCells>
    <mergeCell ref="B2:I3"/>
    <mergeCell ref="B5:J5"/>
    <mergeCell ref="B7:E7"/>
    <mergeCell ref="G7:J7"/>
    <mergeCell ref="B8:E8"/>
    <mergeCell ref="G8:J8"/>
    <mergeCell ref="B9:E9"/>
    <mergeCell ref="G9:J9"/>
    <mergeCell ref="B10:E10"/>
    <mergeCell ref="G10:J11"/>
    <mergeCell ref="B12:E12"/>
    <mergeCell ref="G12:I12"/>
    <mergeCell ref="B14:J15"/>
    <mergeCell ref="D17:J17"/>
    <mergeCell ref="D18:J18"/>
    <mergeCell ref="D19:J19"/>
    <mergeCell ref="D20:J20"/>
    <mergeCell ref="D21:J21"/>
    <mergeCell ref="D22:J22"/>
    <mergeCell ref="D23:J23"/>
    <mergeCell ref="B25:J26"/>
    <mergeCell ref="B56:J57"/>
    <mergeCell ref="B59:J60"/>
    <mergeCell ref="B62:J62"/>
  </mergeCells>
  <conditionalFormatting sqref="H29:I54">
    <cfRule type="cellIs" dxfId="0" priority="1" operator="lessThan">
      <formula>0</formula>
    </cfRule>
  </conditionalFormatting>
  <conditionalFormatting sqref="J29:J54">
    <cfRule type="cellIs" dxfId="1" priority="2" operator="greaterThan">
      <formula>0</formula>
    </cfRule>
  </conditionalFormatting>
  <conditionalFormatting sqref="F10:F10">
    <cfRule type="expression" dxfId="5" priority="3">
      <formula>$L$6=0</formula>
    </cfRule>
    <cfRule type="expression" dxfId="6" priority="4">
      <formula>$L$6=1</formula>
    </cfRule>
    <cfRule type="expression" dxfId="7" priority="5">
      <formula>$L$6=2</formula>
    </cfRule>
  </conditionalFormatting>
  <dataValidations count="2">
    <dataValidation type="list" sqref="C21" showErrorMessage="1" errorStyle="stop" allowBlank="1" errorTitle="Revisamos el dato" error="Elegimos una opción válida. Un dato pendiente no es cero.">
      <formula1>"En revisión,Completa"</formula1>
    </dataValidation>
    <dataValidation type="whole" operator="between" sqref="C23" showErrorMessage="1" errorStyle="stop" allowBlank="1" errorTitle="Revisamos el dato" error="Elegimos una opción válida. Un dato pendiente no es cero.">
      <formula1>1</formula1>
      <formula2>26</formula2>
    </dataValidation>
  </dataValidations>
  <pageMargins left=".25" right=".25" top=".35" bottom=".35" header=".15" footer=".15"/>
  <pageSetup paperSize="9" orientation="landscape" fitToWidth="1" fitToHeight="0"/>
  <headerFooter>
    <oddFooter>&amp;LCuitó Digital · cuitodigital.com&amp;R&amp;P</oddFooter>
  </headerFooter>
  <drawing r:id="Rc2bc464c5b4345d1"/>
</worksheet>
</file>

<file path=xl/worksheets/sheet2.xml><?xml version="1.0" encoding="utf-8"?>
<worksheet xmlns="http://schemas.openxmlformats.org/spreadsheetml/2006/main" xmlns:r="http://schemas.openxmlformats.org/officeDocument/2006/relationships">
  <sheetPr>
    <pageSetUpPr fitToPage="1"/>
  </sheetPr>
  <sheetViews>
    <sheetView showGridLines="0" workbookViewId="0" zoomScale="80">
      <pane ySplit="9" topLeftCell="A10" activePane="bottomLeft" state="frozen"/>
    </sheetView>
  </sheetViews>
  <sheetFormatPr defaultRowHeight="15"/>
  <cols>
    <col min="1" max="1" width="3" hidden="0" customWidth="1"/>
    <col min="2" max="2" width="14" hidden="0" customWidth="1"/>
    <col min="3" max="3" width="43" hidden="0" customWidth="1"/>
    <col min="4" max="4" width="15" hidden="0" customWidth="1"/>
    <col min="5" max="5" width="18" hidden="0" customWidth="1"/>
    <col min="6" max="6" width="19" hidden="0" customWidth="1"/>
    <col min="7" max="7" width="23" hidden="0" customWidth="1"/>
    <col min="8" max="8" width="52" hidden="0" customWidth="1"/>
    <col min="9" max="9" width="14" hidden="0" customWidth="1"/>
    <col min="10" max="10" width="56" hidden="0" customWidth="1"/>
    <col min="11" max="11" hidden="1"/>
    <col min="12" max="12" hidden="1"/>
    <col min="13" max="13" hidden="1"/>
    <col min="14" max="14" hidden="1"/>
    <col min="15" max="15" hidden="1"/>
    <col min="16" max="16" hidden="1"/>
  </cols>
  <sheetData>
    <row r="1" ht="27" customHeight="1">
      <c r="B1" s="25"/>
      <c r="C1" s="25"/>
      <c r="D1" s="25"/>
      <c r="E1" s="25"/>
      <c r="F1" s="25"/>
      <c r="G1" s="25"/>
      <c r="H1" s="25"/>
      <c r="I1" s="25"/>
      <c r="J1" s="25"/>
    </row>
    <row r="2" ht="26" customHeight="1">
      <c r="B2" s="26" t="str">
        <v>Cobros y pagos: cada movimiento una sola vez</v>
      </c>
      <c r="C2" s="26"/>
      <c r="D2" s="26"/>
      <c r="E2" s="26"/>
      <c r="F2" s="26"/>
      <c r="G2" s="26"/>
      <c r="H2" s="26"/>
      <c r="I2" s="26"/>
      <c r="J2" s="25"/>
    </row>
    <row r="3" ht="26" customHeight="1">
      <c r="B3" s="26"/>
      <c r="C3" s="26"/>
      <c r="D3" s="26"/>
      <c r="E3" s="26"/>
      <c r="F3" s="26"/>
      <c r="G3" s="26"/>
      <c r="H3" s="26"/>
      <c r="I3" s="26"/>
      <c r="J3" s="25"/>
    </row>
    <row r="4" ht="27" customHeight="1">
      <c r="B4" s="28"/>
      <c r="C4" s="28"/>
      <c r="D4" s="28"/>
      <c r="E4" s="28"/>
      <c r="F4" s="28"/>
      <c r="G4" s="28"/>
      <c r="H4" s="28"/>
      <c r="I4" s="28"/>
      <c r="J4" s="28"/>
    </row>
    <row r="5" ht="26" customHeight="1">
      <c r="B5" s="29" t="str">
        <v>Importes positivos: Cobro suma y Pago resta. Realizado significa que el dinero ha entrado o salido; una oferta, factura o acuerdo no lo prueba por sí solo. Actualizamos la misma fila, no duplicamos el previsto al realizarlo.</v>
      </c>
      <c r="C5" s="29"/>
      <c r="D5" s="29"/>
      <c r="E5" s="29"/>
      <c r="F5" s="29"/>
      <c r="G5" s="29"/>
      <c r="H5" s="29"/>
      <c r="I5" s="29"/>
      <c r="J5" s="29"/>
    </row>
    <row r="6" ht="26" customHeight="1">
      <c r="B6" s="29"/>
      <c r="C6" s="29"/>
      <c r="D6" s="29"/>
      <c r="E6" s="29"/>
      <c r="F6" s="29"/>
      <c r="G6" s="29"/>
      <c r="H6" s="29"/>
      <c r="I6" s="29"/>
      <c r="J6" s="29"/>
    </row>
    <row r="7" ht="31" customHeight="1">
      <c r="B7" s="29" t="str">
        <v>Los importes son los efectivos a ingresar o pagar. No calculamos impuestos ni convertimos automáticamente una base presupuestaria en dinero de caja.</v>
      </c>
      <c r="C7" s="29"/>
      <c r="D7" s="29"/>
      <c r="E7" s="29"/>
      <c r="F7" s="29"/>
      <c r="G7" s="29"/>
      <c r="H7" s="29"/>
      <c r="I7" s="29"/>
      <c r="J7" s="29"/>
    </row>
    <row r="8" ht="27" customHeight="1">
      <c r="B8" s="25"/>
      <c r="C8" s="25"/>
      <c r="D8" s="25"/>
      <c r="E8" s="25"/>
      <c r="F8" s="25"/>
      <c r="G8" s="25"/>
      <c r="H8" s="25"/>
      <c r="I8" s="25"/>
      <c r="J8" s="25"/>
    </row>
    <row r="9" ht="51" customHeight="1">
      <c r="B9" s="38" t="str">
        <v>ID único</v>
      </c>
      <c r="C9" s="38" t="str">
        <v>Concepto</v>
      </c>
      <c r="D9" s="38" t="str">
        <v>Sentido</v>
      </c>
      <c r="E9" s="38" t="str">
        <v>Estado</v>
      </c>
      <c r="F9" s="38" t="str">
        <v>Fecha esperada / real</v>
      </c>
      <c r="G9" s="38" t="str">
        <v>Importe efectivo</v>
      </c>
      <c r="H9" s="38" t="str">
        <v>Fuente / referencia / qué falta</v>
      </c>
      <c r="I9" s="38" t="str">
        <v>Semáforo</v>
      </c>
      <c r="J9" s="38" t="str">
        <v>Qué resolvemos</v>
      </c>
    </row>
    <row r="10" ht="69" customHeight="1">
      <c r="B10" s="34" t="str">
        <v>EJ-01</v>
      </c>
      <c r="C10" s="34" t="str">
        <v>Ejercicio · cobro inicial</v>
      </c>
      <c r="D10" s="34" t="str">
        <v>Cobro</v>
      </c>
      <c r="E10" s="34" t="str">
        <v>Realizado</v>
      </c>
      <c r="F10" s="35" t="n">
        <v>46307</v>
      </c>
      <c r="G10" s="36" t="n">
        <v>2000</v>
      </c>
      <c r="H10" s="34" t="str">
        <v>Supuesto didáctico: no justificante bancario real.</v>
      </c>
      <c r="I10" s="33" t="str">
        <f>IF(K10=0,"",IF(M10=2,"ROJO",IF(M10=1,"ÁMBAR","VERDE")))</f>
        <v>VERDE</v>
      </c>
      <c r="J10" s="33" t="str">
        <f>IF(K10=0,"",IF(OR(ISERROR(B10),ISERROR(C10),ISERROR(D10),ISERROR(E10),ISERROR(F10),ISERROR(G10),ISERROR(H10)),"Hay una entrada con error de fórmula. Corregimos el dato; no lo convertimos en cero.",IF(OR(ISERROR('CAJA'!$C$17),ISERROR('CAJA'!$C$18),ISERROR('CAJA'!$C$19),ISERROR('CAJA'!$C$20),ISERROR('CAJA'!$C$21),ISERROR('CAJA'!$C$22),ISERROR('CAJA'!$C$23)),"Corregimos la entrada con error en CAJA antes de validar el movimiento.",IF(AND(AND(LEN(TRIM(B10&amp;""))&gt;0,TRIM(B10)&lt;&gt;"Pendiente",TRIM(B10)&lt;&gt;"Por confirmar",TRIM(B10)&lt;&gt;"No consta",TRIM(B10)&lt;&gt;"Desconocido"),SUMPRODUCT(($L$10:$L$69=L10)*1)&gt;1),"ID repetido: actualizamos el mismo movimiento o separamos únicamente la parte realizada y el resto pendiente.",IF(AND(IF(ISNUMBER(F10),AND(F10&gt;=1,F10&lt;=2958465,F10=INT(F10)),FALSE),IF(ISNUMBER('CAJA'!$C$19),AND('CAJA'!$C$19&gt;=1,'CAJA'!$C$19&lt;=2958465,'CAJA'!$C$19=INT('CAJA'!$C$19)),FALSE),E10="Realizado",F10&gt;'CAJA'!$C$19),"Realizado en fecha posterior al corte: revisamos fecha y estado.",IF(AND(IF(ISNUMBER(F10),AND(F10&gt;=1,F10&lt;=2958465,F10=INT(F10)),FALSE),IF(ISNUMBER('CAJA'!$C$19),AND('CAJA'!$C$19&gt;=1,'CAJA'!$C$19&lt;=2958465,'CAJA'!$C$19=INT('CAJA'!$C$19)),FALSE),E10="Previsto",F10&lt;'CAJA'!$C$19),"Previsión vencida: actualizamos su fecha esperada o registramos el movimiento realizado; no lo damos por cobrado.",IF(AND(IF(ISNUMBER(F10),AND(F10&gt;=1,F10&lt;=2958465,F10=INT(F10)),FALSE),'CAJA'!$L$2=1,F10&lt;'CAJA'!$C$18),"Anterior al horizonte: revisamos si ya está en el saldo inicial para no contarlo dos veces.",IF(OR(AND(LEN(TRIM(G10&amp;""))&gt;0,NOT(IF(ISNUMBER(G10),AND(G10&gt;=0,G10=ROUND(G10,2)),FALSE))),AND(LEN(TRIM(F10&amp;""))&gt;0,NOT(IF(ISNUMBER(F10),AND(F10&gt;=1,F10&lt;=2958465,F10=INT(F10)),FALSE))),AND(LEN(TRIM(D10&amp;""))&gt;0,NOT(OR(D10="Cobro",D10="Pago"))),AND(LEN(TRIM(E10&amp;""))&gt;0,NOT(OR(E10="Previsto",E10="Realizado"))),AND(AND(LEN(TRIM(B10&amp;""))&gt;0,TRIM(B10)&lt;&gt;"Pendiente",TRIM(B10)&lt;&gt;"Por confirmar",TRIM(B10)&lt;&gt;"No consta",TRIM(B10)&lt;&gt;"Desconocido"),SUMPRODUCT(($L$10:$L$69=L10)*1)&gt;1),AND(IF(ISNUMBER(F10),AND(F10&gt;=1,F10&lt;=2958465,F10=INT(F10)),FALSE),IF(ISNUMBER('CAJA'!$C$19),AND('CAJA'!$C$19&gt;=1,'CAJA'!$C$19&lt;=2958465,'CAJA'!$C$19=INT('CAJA'!$C$19)),FALSE),OR(AND(E10="Realizado",F10&gt;'CAJA'!$C$19),AND(E10="Previsto",F10&lt;'CAJA'!$C$19))),AND(IF(ISNUMBER(F10),AND(F10&gt;=1,F10&lt;=2958465,F10=INT(F10)),FALSE),'CAJA'!$L$2=1,F10&lt;'CAJA'!$C$18)),"Revisamos fecha, importe positivo/cero explícito y opciones de sentido/estado. Fechas sin hora e importes a céntimos.",IF(NOT(AND(LEN(TRIM(B10&amp;""))&gt;0,TRIM(B10)&lt;&gt;"Pendiente",TRIM(B10)&lt;&gt;"Por confirmar",TRIM(B10)&lt;&gt;"No consta",TRIM(B10)&lt;&gt;"Desconocido")),"Asignamos un identificador único.",IF(NOT(AND(LEN(TRIM(C10&amp;""))&gt;0,TRIM(C10)&lt;&gt;"Pendiente",TRIM(C10)&lt;&gt;"Por confirmar",TRIM(C10)&lt;&gt;"No consta",TRIM(C10)&lt;&gt;"Desconocido")),"Identificamos el concepto.",IF(NOT(OR(D10="Cobro",D10="Pago")),"Elegimos Cobro o Pago.",IF(NOT(OR(E10="Previsto",E10="Realizado")),"Elegimos Previsto o Realizado según lo acreditado.",IF(NOT(IF(ISNUMBER(F10),AND(F10&gt;=1,F10&lt;=2958465,F10=INT(F10)),FALSE)),"Falta fecha/semana: un plazo relativo o la fecha de una oferta no bastan.",IF(NOT(IF(ISNUMBER(G10),AND(G10&gt;=0,G10=ROUND(G10,2)),FALSE)),"Falta importe efectivo; el total de presupuesto no acredita este movimiento.",IF(NOT(AND(LEN(TRIM(H10&amp;""))&gt;0,TRIM(H10)&lt;&gt;"Pendiente",TRIM(H10)&lt;&gt;"Por confirmar",TRIM(H10)&lt;&gt;"No consta",TRIM(H10)&lt;&gt;"Desconocido")),"Identificamos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CAJA.",IF(AND(IF(ISNUMBER(F10),AND(F10&gt;=1,F10&lt;=2958465,F10=INT(F10)),FALSE),'CAJA'!$L$2=1,F10&gt;='CAJA'!$L$9),"Fuera del horizonte: ampliamos semanas (hasta 26) o revisamos la ventana. Aquí no se suma.","Dato registrado para la previsión; el estado Realizado requiere su evidencia de cobro/pago."))))))))))))))))))</f>
        <v>Dato registrado para la previsión; el estado Realizado requiere su evidencia de cobro/pago.</v>
      </c>
      <c r="K10" t="n" s="27">
        <f>IF(COUNTA(B10:H10)&gt;0,1,0)</f>
        <v>1</v>
      </c>
      <c r="L10" t="str" s="27">
        <f>IF(COUNTA(B10:H10)&gt;0,IFERROR("ID:"&amp;UPPER(TRIM(B10&amp;"")),""),"")</f>
        <v>ID:EJ-01</v>
      </c>
      <c r="M10" t="n" s="27">
        <f>IF(NOT(COUNTA(B10:H10)&gt;0),"",IF(OR(ISERROR(B10),ISERROR(C10),ISERROR(D10),ISERROR(E10),ISERROR(F10),ISERROR(G10),ISERROR(H10)),2,IF(OR(ISERROR('CAJA'!$C$17),ISERROR('CAJA'!$C$18),ISERROR('CAJA'!$C$19),ISERROR('CAJA'!$C$20),ISERROR('CAJA'!$C$21),ISERROR('CAJA'!$C$22),ISERROR('CAJA'!$C$23)),1,IF(OR(AND(LEN(TRIM(G10&amp;""))&gt;0,NOT(IF(ISNUMBER(G10),AND(G10&gt;=0,G10=ROUND(G10,2)),FALSE))),AND(LEN(TRIM(F10&amp;""))&gt;0,NOT(IF(ISNUMBER(F10),AND(F10&gt;=1,F10&lt;=2958465,F10=INT(F10)),FALSE))),AND(LEN(TRIM(D10&amp;""))&gt;0,NOT(OR(D10="Cobro",D10="Pago"))),AND(LEN(TRIM(E10&amp;""))&gt;0,NOT(OR(E10="Previsto",E10="Realizado"))),AND(AND(LEN(TRIM(B10&amp;""))&gt;0,TRIM(B10)&lt;&gt;"Pendiente",TRIM(B10)&lt;&gt;"Por confirmar",TRIM(B10)&lt;&gt;"No consta",TRIM(B10)&lt;&gt;"Desconocido"),SUMPRODUCT(($L$10:$L$69=L10)*1)&gt;1),AND(IF(ISNUMBER(F10),AND(F10&gt;=1,F10&lt;=2958465,F10=INT(F10)),FALSE),IF(ISNUMBER('CAJA'!$C$19),AND('CAJA'!$C$19&gt;=1,'CAJA'!$C$19&lt;=2958465,'CAJA'!$C$19=INT('CAJA'!$C$19)),FALSE),OR(AND(E10="Realizado",F10&gt;'CAJA'!$C$19),AND(E10="Previsto",F10&lt;'CAJA'!$C$19))),AND(IF(ISNUMBER(F10),AND(F10&gt;=1,F10&lt;=2958465,F10=INT(F10)),FALSE),'CAJA'!$L$2=1,F10&lt;'CAJA'!$C$18)),2,IF(AND(AND(LEN(TRIM(B10&amp;""))&gt;0,TRIM(B10)&lt;&gt;"Pendiente",TRIM(B10)&lt;&gt;"Por confirmar",TRIM(B10)&lt;&gt;"No consta",TRIM(B10)&lt;&gt;"Desconocido"),AND(LEN(TRIM(C10&amp;""))&gt;0,TRIM(C10)&lt;&gt;"Pendiente",TRIM(C10)&lt;&gt;"Por confirmar",TRIM(C10)&lt;&gt;"No consta",TRIM(C10)&lt;&gt;"Desconocido"),OR(D10="Cobro",D10="Pago"),OR(E10="Previsto",E10="Realizado"),IF(ISNUMBER(F10),AND(F10&gt;=1,F10&lt;=2958465,F10=INT(F10)),FALSE),IF(ISNUMBER(G10),AND(G10&gt;=0,G10=ROUND(G10,2)),FALSE),AND(LEN(TRIM(H10&amp;""))&gt;0,TRIM(H10)&lt;&gt;"Pendiente",TRIM(H10)&lt;&gt;"Por confirmar",TRIM(H10)&lt;&gt;"No consta",TRIM(H10)&lt;&gt;"Desconocido"),'CAJA'!$L$2=1,IF(ISNUMBER('CAJA'!$C$19),AND('CAJA'!$C$19&gt;=1,'CAJA'!$C$19&lt;=2958465,'CAJA'!$C$19=INT('CAJA'!$C$19)),FALSE),F10&gt;='CAJA'!$C$18,F10&lt;'CAJA'!$L$9,NOT(OR(AND(LEN(TRIM(G10&amp;""))&gt;0,NOT(IF(ISNUMBER(G10),AND(G10&gt;=0,G10=ROUND(G10,2)),FALSE))),AND(LEN(TRIM(F10&amp;""))&gt;0,NOT(IF(ISNUMBER(F10),AND(F10&gt;=1,F10&lt;=2958465,F10=INT(F10)),FALSE))),AND(LEN(TRIM(D10&amp;""))&gt;0,NOT(OR(D10="Cobro",D10="Pago"))),AND(LEN(TRIM(E10&amp;""))&gt;0,NOT(OR(E10="Previsto",E10="Realizado"))),AND(AND(LEN(TRIM(B10&amp;""))&gt;0,TRIM(B10)&lt;&gt;"Pendiente",TRIM(B10)&lt;&gt;"Por confirmar",TRIM(B10)&lt;&gt;"No consta",TRIM(B10)&lt;&gt;"Desconocido"),SUMPRODUCT(($L$10:$L$69=L10)*1)&gt;1),AND(IF(ISNUMBER(F10),AND(F10&gt;=1,F10&lt;=2958465,F10=INT(F10)),FALSE),IF(ISNUMBER('CAJA'!$C$19),AND('CAJA'!$C$19&gt;=1,'CAJA'!$C$19&lt;=2958465,'CAJA'!$C$19=INT('CAJA'!$C$19)),FALSE),OR(AND(E10="Realizado",F10&gt;'CAJA'!$C$19),AND(E10="Previsto",F10&lt;'CAJA'!$C$19))),AND(IF(ISNUMBER(F10),AND(F10&gt;=1,F10&lt;=2958465,F10=INT(F10)),FALSE),'CAJA'!$L$2=1,F10&lt;'CAJA'!$C$18)))),0,1)))))</f>
        <v>0</v>
      </c>
      <c r="N10" t="n" s="27">
        <f>IF(AND(K10=1,ISNUMBER(M10),M10=0),1,0)</f>
        <v>1</v>
      </c>
      <c r="O10" t="n" s="27">
        <f>IF(IF(ISNUMBER(F10),AND(F10&gt;=1,F10&lt;=2958465,F10=INT(F10)),FALSE),F10-WEEKDAY(F10,2)+1,"")</f>
        <v>46307</v>
      </c>
      <c r="P10" t="n" s="27">
        <f>IF(AND(K10=1,ISNUMBER(M10),M10&gt;0),IF(NOT(IF(ISNUMBER(F10),AND(F10&gt;=1,F10&lt;=2958465,F10=INT(F10)),FALSE)),1,IF('CAJA'!$L$2&lt;&gt;1,1,IF(OR(F10&lt;'CAJA'!$C$18,F10&gt;='CAJA'!$L$9),1,0))),0)</f>
        <v>0</v>
      </c>
    </row>
    <row r="11" ht="69" customHeight="1">
      <c r="B11" s="34" t="str">
        <v>EJ-02</v>
      </c>
      <c r="C11" s="34" t="str">
        <v>Ejercicio · compras y pagos</v>
      </c>
      <c r="D11" s="34" t="str">
        <v>Pago</v>
      </c>
      <c r="E11" s="34" t="str">
        <v>Realizado</v>
      </c>
      <c r="F11" s="35" t="n">
        <v>46309</v>
      </c>
      <c r="G11" s="36" t="n">
        <v>4500</v>
      </c>
      <c r="H11" s="34" t="str">
        <v>Supuesto didáctico: no justificante bancario real.</v>
      </c>
      <c r="I11" s="33" t="str">
        <f>IF(K11=0,"",IF(M11=2,"ROJO",IF(M11=1,"ÁMBAR","VERDE")))</f>
        <v>VERDE</v>
      </c>
      <c r="J11" s="33" t="str">
        <f>IF(K11=0,"",IF(OR(ISERROR(B11),ISERROR(C11),ISERROR(D11),ISERROR(E11),ISERROR(F11),ISERROR(G11),ISERROR(H11)),"Hay una entrada con error de fórmula. Corregimos el dato; no lo convertimos en cero.",IF(OR(ISERROR('CAJA'!$C$17),ISERROR('CAJA'!$C$18),ISERROR('CAJA'!$C$19),ISERROR('CAJA'!$C$20),ISERROR('CAJA'!$C$21),ISERROR('CAJA'!$C$22),ISERROR('CAJA'!$C$23)),"Corregimos la entrada con error en CAJA antes de validar el movimiento.",IF(AND(AND(LEN(TRIM(B11&amp;""))&gt;0,TRIM(B11)&lt;&gt;"Pendiente",TRIM(B11)&lt;&gt;"Por confirmar",TRIM(B11)&lt;&gt;"No consta",TRIM(B11)&lt;&gt;"Desconocido"),SUMPRODUCT(($L$10:$L$69=L11)*1)&gt;1),"ID repetido: actualizamos el mismo movimiento o separamos únicamente la parte realizada y el resto pendiente.",IF(AND(IF(ISNUMBER(F11),AND(F11&gt;=1,F11&lt;=2958465,F11=INT(F11)),FALSE),IF(ISNUMBER('CAJA'!$C$19),AND('CAJA'!$C$19&gt;=1,'CAJA'!$C$19&lt;=2958465,'CAJA'!$C$19=INT('CAJA'!$C$19)),FALSE),E11="Realizado",F11&gt;'CAJA'!$C$19),"Realizado en fecha posterior al corte: revisamos fecha y estado.",IF(AND(IF(ISNUMBER(F11),AND(F11&gt;=1,F11&lt;=2958465,F11=INT(F11)),FALSE),IF(ISNUMBER('CAJA'!$C$19),AND('CAJA'!$C$19&gt;=1,'CAJA'!$C$19&lt;=2958465,'CAJA'!$C$19=INT('CAJA'!$C$19)),FALSE),E11="Previsto",F11&lt;'CAJA'!$C$19),"Previsión vencida: actualizamos su fecha esperada o registramos el movimiento realizado; no lo damos por cobrado.",IF(AND(IF(ISNUMBER(F11),AND(F11&gt;=1,F11&lt;=2958465,F11=INT(F11)),FALSE),'CAJA'!$L$2=1,F11&lt;'CAJA'!$C$18),"Anterior al horizonte: revisamos si ya está en el saldo inicial para no contarlo dos veces.",IF(OR(AND(LEN(TRIM(G11&amp;""))&gt;0,NOT(IF(ISNUMBER(G11),AND(G11&gt;=0,G11=ROUND(G11,2)),FALSE))),AND(LEN(TRIM(F11&amp;""))&gt;0,NOT(IF(ISNUMBER(F11),AND(F11&gt;=1,F11&lt;=2958465,F11=INT(F11)),FALSE))),AND(LEN(TRIM(D11&amp;""))&gt;0,NOT(OR(D11="Cobro",D11="Pago"))),AND(LEN(TRIM(E11&amp;""))&gt;0,NOT(OR(E11="Previsto",E11="Realizado"))),AND(AND(LEN(TRIM(B11&amp;""))&gt;0,TRIM(B11)&lt;&gt;"Pendiente",TRIM(B11)&lt;&gt;"Por confirmar",TRIM(B11)&lt;&gt;"No consta",TRIM(B11)&lt;&gt;"Desconocido"),SUMPRODUCT(($L$10:$L$69=L11)*1)&gt;1),AND(IF(ISNUMBER(F11),AND(F11&gt;=1,F11&lt;=2958465,F11=INT(F11)),FALSE),IF(ISNUMBER('CAJA'!$C$19),AND('CAJA'!$C$19&gt;=1,'CAJA'!$C$19&lt;=2958465,'CAJA'!$C$19=INT('CAJA'!$C$19)),FALSE),OR(AND(E11="Realizado",F11&gt;'CAJA'!$C$19),AND(E11="Previsto",F11&lt;'CAJA'!$C$19))),AND(IF(ISNUMBER(F11),AND(F11&gt;=1,F11&lt;=2958465,F11=INT(F11)),FALSE),'CAJA'!$L$2=1,F11&lt;'CAJA'!$C$18)),"Revisamos fecha, importe positivo/cero explícito y opciones de sentido/estado. Fechas sin hora e importes a céntimos.",IF(NOT(AND(LEN(TRIM(B11&amp;""))&gt;0,TRIM(B11)&lt;&gt;"Pendiente",TRIM(B11)&lt;&gt;"Por confirmar",TRIM(B11)&lt;&gt;"No consta",TRIM(B11)&lt;&gt;"Desconocido")),"Asignamos un identificador único.",IF(NOT(AND(LEN(TRIM(C11&amp;""))&gt;0,TRIM(C11)&lt;&gt;"Pendiente",TRIM(C11)&lt;&gt;"Por confirmar",TRIM(C11)&lt;&gt;"No consta",TRIM(C11)&lt;&gt;"Desconocido")),"Identificamos el concepto.",IF(NOT(OR(D11="Cobro",D11="Pago")),"Elegimos Cobro o Pago.",IF(NOT(OR(E11="Previsto",E11="Realizado")),"Elegimos Previsto o Realizado según lo acreditado.",IF(NOT(IF(ISNUMBER(F11),AND(F11&gt;=1,F11&lt;=2958465,F11=INT(F11)),FALSE)),"Falta fecha/semana: un plazo relativo o la fecha de una oferta no bastan.",IF(NOT(IF(ISNUMBER(G11),AND(G11&gt;=0,G11=ROUND(G11,2)),FALSE)),"Falta importe efectivo; el total de presupuesto no acredita este movimiento.",IF(NOT(AND(LEN(TRIM(H11&amp;""))&gt;0,TRIM(H11)&lt;&gt;"Pendiente",TRIM(H11)&lt;&gt;"Por confirmar",TRIM(H11)&lt;&gt;"No consta",TRIM(H11)&lt;&gt;"Desconocido")),"Identificamos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CAJA.",IF(AND(IF(ISNUMBER(F11),AND(F11&gt;=1,F11&lt;=2958465,F11=INT(F11)),FALSE),'CAJA'!$L$2=1,F11&gt;='CAJA'!$L$9),"Fuera del horizonte: ampliamos semanas (hasta 26) o revisamos la ventana. Aquí no se suma.","Dato registrado para la previsión; el estado Realizado requiere su evidencia de cobro/pago."))))))))))))))))))</f>
        <v>Dato registrado para la previsión; el estado Realizado requiere su evidencia de cobro/pago.</v>
      </c>
      <c r="K11" t="n" s="27">
        <f>IF(COUNTA(B11:H11)&gt;0,1,0)</f>
        <v>1</v>
      </c>
      <c r="L11" t="str" s="27">
        <f>IF(COUNTA(B11:H11)&gt;0,IFERROR("ID:"&amp;UPPER(TRIM(B11&amp;"")),""),"")</f>
        <v>ID:EJ-02</v>
      </c>
      <c r="M11" t="n" s="27">
        <f>IF(NOT(COUNTA(B11:H11)&gt;0),"",IF(OR(ISERROR(B11),ISERROR(C11),ISERROR(D11),ISERROR(E11),ISERROR(F11),ISERROR(G11),ISERROR(H11)),2,IF(OR(ISERROR('CAJA'!$C$17),ISERROR('CAJA'!$C$18),ISERROR('CAJA'!$C$19),ISERROR('CAJA'!$C$20),ISERROR('CAJA'!$C$21),ISERROR('CAJA'!$C$22),ISERROR('CAJA'!$C$23)),1,IF(OR(AND(LEN(TRIM(G11&amp;""))&gt;0,NOT(IF(ISNUMBER(G11),AND(G11&gt;=0,G11=ROUND(G11,2)),FALSE))),AND(LEN(TRIM(F11&amp;""))&gt;0,NOT(IF(ISNUMBER(F11),AND(F11&gt;=1,F11&lt;=2958465,F11=INT(F11)),FALSE))),AND(LEN(TRIM(D11&amp;""))&gt;0,NOT(OR(D11="Cobro",D11="Pago"))),AND(LEN(TRIM(E11&amp;""))&gt;0,NOT(OR(E11="Previsto",E11="Realizado"))),AND(AND(LEN(TRIM(B11&amp;""))&gt;0,TRIM(B11)&lt;&gt;"Pendiente",TRIM(B11)&lt;&gt;"Por confirmar",TRIM(B11)&lt;&gt;"No consta",TRIM(B11)&lt;&gt;"Desconocido"),SUMPRODUCT(($L$10:$L$69=L11)*1)&gt;1),AND(IF(ISNUMBER(F11),AND(F11&gt;=1,F11&lt;=2958465,F11=INT(F11)),FALSE),IF(ISNUMBER('CAJA'!$C$19),AND('CAJA'!$C$19&gt;=1,'CAJA'!$C$19&lt;=2958465,'CAJA'!$C$19=INT('CAJA'!$C$19)),FALSE),OR(AND(E11="Realizado",F11&gt;'CAJA'!$C$19),AND(E11="Previsto",F11&lt;'CAJA'!$C$19))),AND(IF(ISNUMBER(F11),AND(F11&gt;=1,F11&lt;=2958465,F11=INT(F11)),FALSE),'CAJA'!$L$2=1,F11&lt;'CAJA'!$C$18)),2,IF(AND(AND(LEN(TRIM(B11&amp;""))&gt;0,TRIM(B11)&lt;&gt;"Pendiente",TRIM(B11)&lt;&gt;"Por confirmar",TRIM(B11)&lt;&gt;"No consta",TRIM(B11)&lt;&gt;"Desconocido"),AND(LEN(TRIM(C11&amp;""))&gt;0,TRIM(C11)&lt;&gt;"Pendiente",TRIM(C11)&lt;&gt;"Por confirmar",TRIM(C11)&lt;&gt;"No consta",TRIM(C11)&lt;&gt;"Desconocido"),OR(D11="Cobro",D11="Pago"),OR(E11="Previsto",E11="Realizado"),IF(ISNUMBER(F11),AND(F11&gt;=1,F11&lt;=2958465,F11=INT(F11)),FALSE),IF(ISNUMBER(G11),AND(G11&gt;=0,G11=ROUND(G11,2)),FALSE),AND(LEN(TRIM(H11&amp;""))&gt;0,TRIM(H11)&lt;&gt;"Pendiente",TRIM(H11)&lt;&gt;"Por confirmar",TRIM(H11)&lt;&gt;"No consta",TRIM(H11)&lt;&gt;"Desconocido"),'CAJA'!$L$2=1,IF(ISNUMBER('CAJA'!$C$19),AND('CAJA'!$C$19&gt;=1,'CAJA'!$C$19&lt;=2958465,'CAJA'!$C$19=INT('CAJA'!$C$19)),FALSE),F11&gt;='CAJA'!$C$18,F11&lt;'CAJA'!$L$9,NOT(OR(AND(LEN(TRIM(G11&amp;""))&gt;0,NOT(IF(ISNUMBER(G11),AND(G11&gt;=0,G11=ROUND(G11,2)),FALSE))),AND(LEN(TRIM(F11&amp;""))&gt;0,NOT(IF(ISNUMBER(F11),AND(F11&gt;=1,F11&lt;=2958465,F11=INT(F11)),FALSE))),AND(LEN(TRIM(D11&amp;""))&gt;0,NOT(OR(D11="Cobro",D11="Pago"))),AND(LEN(TRIM(E11&amp;""))&gt;0,NOT(OR(E11="Previsto",E11="Realizado"))),AND(AND(LEN(TRIM(B11&amp;""))&gt;0,TRIM(B11)&lt;&gt;"Pendiente",TRIM(B11)&lt;&gt;"Por confirmar",TRIM(B11)&lt;&gt;"No consta",TRIM(B11)&lt;&gt;"Desconocido"),SUMPRODUCT(($L$10:$L$69=L11)*1)&gt;1),AND(IF(ISNUMBER(F11),AND(F11&gt;=1,F11&lt;=2958465,F11=INT(F11)),FALSE),IF(ISNUMBER('CAJA'!$C$19),AND('CAJA'!$C$19&gt;=1,'CAJA'!$C$19&lt;=2958465,'CAJA'!$C$19=INT('CAJA'!$C$19)),FALSE),OR(AND(E11="Realizado",F11&gt;'CAJA'!$C$19),AND(E11="Previsto",F11&lt;'CAJA'!$C$19))),AND(IF(ISNUMBER(F11),AND(F11&gt;=1,F11&lt;=2958465,F11=INT(F11)),FALSE),'CAJA'!$L$2=1,F11&lt;'CAJA'!$C$18)))),0,1)))))</f>
        <v>0</v>
      </c>
      <c r="N11" t="n" s="27">
        <f>IF(AND(K11=1,ISNUMBER(M11),M11=0),1,0)</f>
        <v>1</v>
      </c>
      <c r="O11" t="n" s="27">
        <f>IF(IF(ISNUMBER(F11),AND(F11&gt;=1,F11&lt;=2958465,F11=INT(F11)),FALSE),F11-WEEKDAY(F11,2)+1,"")</f>
        <v>46307</v>
      </c>
      <c r="P11" t="n" s="27">
        <f>IF(AND(K11=1,ISNUMBER(M11),M11&gt;0),IF(NOT(IF(ISNUMBER(F11),AND(F11&gt;=1,F11&lt;=2958465,F11=INT(F11)),FALSE)),1,IF('CAJA'!$L$2&lt;&gt;1,1,IF(OR(F11&lt;'CAJA'!$C$18,F11&gt;='CAJA'!$L$9),1,0))),0)</f>
        <v>0</v>
      </c>
    </row>
    <row r="12" ht="69" customHeight="1">
      <c r="B12" s="34" t="str">
        <v>EJ-03</v>
      </c>
      <c r="C12" s="34" t="str">
        <v>Ejercicio · pago previsto</v>
      </c>
      <c r="D12" s="34" t="str">
        <v>Pago</v>
      </c>
      <c r="E12" s="34" t="str">
        <v>Previsto</v>
      </c>
      <c r="F12" s="35" t="n">
        <v>46315</v>
      </c>
      <c r="G12" s="36" t="n">
        <v>3000</v>
      </c>
      <c r="H12" s="34" t="str">
        <v>Hipótesis didáctica de pago.</v>
      </c>
      <c r="I12" s="33" t="str">
        <f>IF(K12=0,"",IF(M12=2,"ROJO",IF(M12=1,"ÁMBAR","VERDE")))</f>
        <v>VERDE</v>
      </c>
      <c r="J12" s="33" t="str">
        <f>IF(K12=0,"",IF(OR(ISERROR(B12),ISERROR(C12),ISERROR(D12),ISERROR(E12),ISERROR(F12),ISERROR(G12),ISERROR(H12)),"Hay una entrada con error de fórmula. Corregimos el dato; no lo convertimos en cero.",IF(OR(ISERROR('CAJA'!$C$17),ISERROR('CAJA'!$C$18),ISERROR('CAJA'!$C$19),ISERROR('CAJA'!$C$20),ISERROR('CAJA'!$C$21),ISERROR('CAJA'!$C$22),ISERROR('CAJA'!$C$23)),"Corregimos la entrada con error en CAJA antes de validar el movimiento.",IF(AND(AND(LEN(TRIM(B12&amp;""))&gt;0,TRIM(B12)&lt;&gt;"Pendiente",TRIM(B12)&lt;&gt;"Por confirmar",TRIM(B12)&lt;&gt;"No consta",TRIM(B12)&lt;&gt;"Desconocido"),SUMPRODUCT(($L$10:$L$69=L12)*1)&gt;1),"ID repetido: actualizamos el mismo movimiento o separamos únicamente la parte realizada y el resto pendiente.",IF(AND(IF(ISNUMBER(F12),AND(F12&gt;=1,F12&lt;=2958465,F12=INT(F12)),FALSE),IF(ISNUMBER('CAJA'!$C$19),AND('CAJA'!$C$19&gt;=1,'CAJA'!$C$19&lt;=2958465,'CAJA'!$C$19=INT('CAJA'!$C$19)),FALSE),E12="Realizado",F12&gt;'CAJA'!$C$19),"Realizado en fecha posterior al corte: revisamos fecha y estado.",IF(AND(IF(ISNUMBER(F12),AND(F12&gt;=1,F12&lt;=2958465,F12=INT(F12)),FALSE),IF(ISNUMBER('CAJA'!$C$19),AND('CAJA'!$C$19&gt;=1,'CAJA'!$C$19&lt;=2958465,'CAJA'!$C$19=INT('CAJA'!$C$19)),FALSE),E12="Previsto",F12&lt;'CAJA'!$C$19),"Previsión vencida: actualizamos su fecha esperada o registramos el movimiento realizado; no lo damos por cobrado.",IF(AND(IF(ISNUMBER(F12),AND(F12&gt;=1,F12&lt;=2958465,F12=INT(F12)),FALSE),'CAJA'!$L$2=1,F12&lt;'CAJA'!$C$18),"Anterior al horizonte: revisamos si ya está en el saldo inicial para no contarlo dos veces.",IF(OR(AND(LEN(TRIM(G12&amp;""))&gt;0,NOT(IF(ISNUMBER(G12),AND(G12&gt;=0,G12=ROUND(G12,2)),FALSE))),AND(LEN(TRIM(F12&amp;""))&gt;0,NOT(IF(ISNUMBER(F12),AND(F12&gt;=1,F12&lt;=2958465,F12=INT(F12)),FALSE))),AND(LEN(TRIM(D12&amp;""))&gt;0,NOT(OR(D12="Cobro",D12="Pago"))),AND(LEN(TRIM(E12&amp;""))&gt;0,NOT(OR(E12="Previsto",E12="Realizado"))),AND(AND(LEN(TRIM(B12&amp;""))&gt;0,TRIM(B12)&lt;&gt;"Pendiente",TRIM(B12)&lt;&gt;"Por confirmar",TRIM(B12)&lt;&gt;"No consta",TRIM(B12)&lt;&gt;"Desconocido"),SUMPRODUCT(($L$10:$L$69=L12)*1)&gt;1),AND(IF(ISNUMBER(F12),AND(F12&gt;=1,F12&lt;=2958465,F12=INT(F12)),FALSE),IF(ISNUMBER('CAJA'!$C$19),AND('CAJA'!$C$19&gt;=1,'CAJA'!$C$19&lt;=2958465,'CAJA'!$C$19=INT('CAJA'!$C$19)),FALSE),OR(AND(E12="Realizado",F12&gt;'CAJA'!$C$19),AND(E12="Previsto",F12&lt;'CAJA'!$C$19))),AND(IF(ISNUMBER(F12),AND(F12&gt;=1,F12&lt;=2958465,F12=INT(F12)),FALSE),'CAJA'!$L$2=1,F12&lt;'CAJA'!$C$18)),"Revisamos fecha, importe positivo/cero explícito y opciones de sentido/estado. Fechas sin hora e importes a céntimos.",IF(NOT(AND(LEN(TRIM(B12&amp;""))&gt;0,TRIM(B12)&lt;&gt;"Pendiente",TRIM(B12)&lt;&gt;"Por confirmar",TRIM(B12)&lt;&gt;"No consta",TRIM(B12)&lt;&gt;"Desconocido")),"Asignamos un identificador único.",IF(NOT(AND(LEN(TRIM(C12&amp;""))&gt;0,TRIM(C12)&lt;&gt;"Pendiente",TRIM(C12)&lt;&gt;"Por confirmar",TRIM(C12)&lt;&gt;"No consta",TRIM(C12)&lt;&gt;"Desconocido")),"Identificamos el concepto.",IF(NOT(OR(D12="Cobro",D12="Pago")),"Elegimos Cobro o Pago.",IF(NOT(OR(E12="Previsto",E12="Realizado")),"Elegimos Previsto o Realizado según lo acreditado.",IF(NOT(IF(ISNUMBER(F12),AND(F12&gt;=1,F12&lt;=2958465,F12=INT(F12)),FALSE)),"Falta fecha/semana: un plazo relativo o la fecha de una oferta no bastan.",IF(NOT(IF(ISNUMBER(G12),AND(G12&gt;=0,G12=ROUND(G12,2)),FALSE)),"Falta importe efectivo; el total de presupuesto no acredita este movimiento.",IF(NOT(AND(LEN(TRIM(H12&amp;""))&gt;0,TRIM(H12)&lt;&gt;"Pendiente",TRIM(H12)&lt;&gt;"Por confirmar",TRIM(H12)&lt;&gt;"No consta",TRIM(H12)&lt;&gt;"Desconocido")),"Identificamos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CAJA.",IF(AND(IF(ISNUMBER(F12),AND(F12&gt;=1,F12&lt;=2958465,F12=INT(F12)),FALSE),'CAJA'!$L$2=1,F12&gt;='CAJA'!$L$9),"Fuera del horizonte: ampliamos semanas (hasta 26) o revisamos la ventana. Aquí no se suma.","Dato registrado para la previsión; el estado Realizado requiere su evidencia de cobro/pago."))))))))))))))))))</f>
        <v>Dato registrado para la previsión; el estado Realizado requiere su evidencia de cobro/pago.</v>
      </c>
      <c r="K12" t="n" s="27">
        <f>IF(COUNTA(B12:H12)&gt;0,1,0)</f>
        <v>1</v>
      </c>
      <c r="L12" t="str" s="27">
        <f>IF(COUNTA(B12:H12)&gt;0,IFERROR("ID:"&amp;UPPER(TRIM(B12&amp;"")),""),"")</f>
        <v>ID:EJ-03</v>
      </c>
      <c r="M12" t="n" s="27">
        <f>IF(NOT(COUNTA(B12:H12)&gt;0),"",IF(OR(ISERROR(B12),ISERROR(C12),ISERROR(D12),ISERROR(E12),ISERROR(F12),ISERROR(G12),ISERROR(H12)),2,IF(OR(ISERROR('CAJA'!$C$17),ISERROR('CAJA'!$C$18),ISERROR('CAJA'!$C$19),ISERROR('CAJA'!$C$20),ISERROR('CAJA'!$C$21),ISERROR('CAJA'!$C$22),ISERROR('CAJA'!$C$23)),1,IF(OR(AND(LEN(TRIM(G12&amp;""))&gt;0,NOT(IF(ISNUMBER(G12),AND(G12&gt;=0,G12=ROUND(G12,2)),FALSE))),AND(LEN(TRIM(F12&amp;""))&gt;0,NOT(IF(ISNUMBER(F12),AND(F12&gt;=1,F12&lt;=2958465,F12=INT(F12)),FALSE))),AND(LEN(TRIM(D12&amp;""))&gt;0,NOT(OR(D12="Cobro",D12="Pago"))),AND(LEN(TRIM(E12&amp;""))&gt;0,NOT(OR(E12="Previsto",E12="Realizado"))),AND(AND(LEN(TRIM(B12&amp;""))&gt;0,TRIM(B12)&lt;&gt;"Pendiente",TRIM(B12)&lt;&gt;"Por confirmar",TRIM(B12)&lt;&gt;"No consta",TRIM(B12)&lt;&gt;"Desconocido"),SUMPRODUCT(($L$10:$L$69=L12)*1)&gt;1),AND(IF(ISNUMBER(F12),AND(F12&gt;=1,F12&lt;=2958465,F12=INT(F12)),FALSE),IF(ISNUMBER('CAJA'!$C$19),AND('CAJA'!$C$19&gt;=1,'CAJA'!$C$19&lt;=2958465,'CAJA'!$C$19=INT('CAJA'!$C$19)),FALSE),OR(AND(E12="Realizado",F12&gt;'CAJA'!$C$19),AND(E12="Previsto",F12&lt;'CAJA'!$C$19))),AND(IF(ISNUMBER(F12),AND(F12&gt;=1,F12&lt;=2958465,F12=INT(F12)),FALSE),'CAJA'!$L$2=1,F12&lt;'CAJA'!$C$18)),2,IF(AND(AND(LEN(TRIM(B12&amp;""))&gt;0,TRIM(B12)&lt;&gt;"Pendiente",TRIM(B12)&lt;&gt;"Por confirmar",TRIM(B12)&lt;&gt;"No consta",TRIM(B12)&lt;&gt;"Desconocido"),AND(LEN(TRIM(C12&amp;""))&gt;0,TRIM(C12)&lt;&gt;"Pendiente",TRIM(C12)&lt;&gt;"Por confirmar",TRIM(C12)&lt;&gt;"No consta",TRIM(C12)&lt;&gt;"Desconocido"),OR(D12="Cobro",D12="Pago"),OR(E12="Previsto",E12="Realizado"),IF(ISNUMBER(F12),AND(F12&gt;=1,F12&lt;=2958465,F12=INT(F12)),FALSE),IF(ISNUMBER(G12),AND(G12&gt;=0,G12=ROUND(G12,2)),FALSE),AND(LEN(TRIM(H12&amp;""))&gt;0,TRIM(H12)&lt;&gt;"Pendiente",TRIM(H12)&lt;&gt;"Por confirmar",TRIM(H12)&lt;&gt;"No consta",TRIM(H12)&lt;&gt;"Desconocido"),'CAJA'!$L$2=1,IF(ISNUMBER('CAJA'!$C$19),AND('CAJA'!$C$19&gt;=1,'CAJA'!$C$19&lt;=2958465,'CAJA'!$C$19=INT('CAJA'!$C$19)),FALSE),F12&gt;='CAJA'!$C$18,F12&lt;'CAJA'!$L$9,NOT(OR(AND(LEN(TRIM(G12&amp;""))&gt;0,NOT(IF(ISNUMBER(G12),AND(G12&gt;=0,G12=ROUND(G12,2)),FALSE))),AND(LEN(TRIM(F12&amp;""))&gt;0,NOT(IF(ISNUMBER(F12),AND(F12&gt;=1,F12&lt;=2958465,F12=INT(F12)),FALSE))),AND(LEN(TRIM(D12&amp;""))&gt;0,NOT(OR(D12="Cobro",D12="Pago"))),AND(LEN(TRIM(E12&amp;""))&gt;0,NOT(OR(E12="Previsto",E12="Realizado"))),AND(AND(LEN(TRIM(B12&amp;""))&gt;0,TRIM(B12)&lt;&gt;"Pendiente",TRIM(B12)&lt;&gt;"Por confirmar",TRIM(B12)&lt;&gt;"No consta",TRIM(B12)&lt;&gt;"Desconocido"),SUMPRODUCT(($L$10:$L$69=L12)*1)&gt;1),AND(IF(ISNUMBER(F12),AND(F12&gt;=1,F12&lt;=2958465,F12=INT(F12)),FALSE),IF(ISNUMBER('CAJA'!$C$19),AND('CAJA'!$C$19&gt;=1,'CAJA'!$C$19&lt;=2958465,'CAJA'!$C$19=INT('CAJA'!$C$19)),FALSE),OR(AND(E12="Realizado",F12&gt;'CAJA'!$C$19),AND(E12="Previsto",F12&lt;'CAJA'!$C$19))),AND(IF(ISNUMBER(F12),AND(F12&gt;=1,F12&lt;=2958465,F12=INT(F12)),FALSE),'CAJA'!$L$2=1,F12&lt;'CAJA'!$C$18)))),0,1)))))</f>
        <v>0</v>
      </c>
      <c r="N12" t="n" s="27">
        <f>IF(AND(K12=1,ISNUMBER(M12),M12=0),1,0)</f>
        <v>1</v>
      </c>
      <c r="O12" t="n" s="27">
        <f>IF(IF(ISNUMBER(F12),AND(F12&gt;=1,F12&lt;=2958465,F12=INT(F12)),FALSE),F12-WEEKDAY(F12,2)+1,"")</f>
        <v>46314</v>
      </c>
      <c r="P12" t="n" s="27">
        <f>IF(AND(K12=1,ISNUMBER(M12),M12&gt;0),IF(NOT(IF(ISNUMBER(F12),AND(F12&gt;=1,F12&lt;=2958465,F12=INT(F12)),FALSE)),1,IF('CAJA'!$L$2&lt;&gt;1,1,IF(OR(F12&lt;'CAJA'!$C$18,F12&gt;='CAJA'!$L$9),1,0))),0)</f>
        <v>0</v>
      </c>
    </row>
    <row r="13" ht="69" customHeight="1">
      <c r="B13" s="34" t="str">
        <v>EJ-04</v>
      </c>
      <c r="C13" s="34" t="str">
        <v>Ejercicio · cobro previsto</v>
      </c>
      <c r="D13" s="34" t="str">
        <v>Cobro</v>
      </c>
      <c r="E13" s="34" t="str">
        <v>Previsto</v>
      </c>
      <c r="F13" s="35" t="n">
        <v>46318</v>
      </c>
      <c r="G13" s="36" t="n">
        <v>5000</v>
      </c>
      <c r="H13" s="34" t="str">
        <v>Hipótesis didáctica de cobro.</v>
      </c>
      <c r="I13" s="33" t="str">
        <f>IF(K13=0,"",IF(M13=2,"ROJO",IF(M13=1,"ÁMBAR","VERDE")))</f>
        <v>VERDE</v>
      </c>
      <c r="J13" s="33" t="str">
        <f>IF(K13=0,"",IF(OR(ISERROR(B13),ISERROR(C13),ISERROR(D13),ISERROR(E13),ISERROR(F13),ISERROR(G13),ISERROR(H13)),"Hay una entrada con error de fórmula. Corregimos el dato; no lo convertimos en cero.",IF(OR(ISERROR('CAJA'!$C$17),ISERROR('CAJA'!$C$18),ISERROR('CAJA'!$C$19),ISERROR('CAJA'!$C$20),ISERROR('CAJA'!$C$21),ISERROR('CAJA'!$C$22),ISERROR('CAJA'!$C$23)),"Corregimos la entrada con error en CAJA antes de validar el movimiento.",IF(AND(AND(LEN(TRIM(B13&amp;""))&gt;0,TRIM(B13)&lt;&gt;"Pendiente",TRIM(B13)&lt;&gt;"Por confirmar",TRIM(B13)&lt;&gt;"No consta",TRIM(B13)&lt;&gt;"Desconocido"),SUMPRODUCT(($L$10:$L$69=L13)*1)&gt;1),"ID repetido: actualizamos el mismo movimiento o separamos únicamente la parte realizada y el resto pendiente.",IF(AND(IF(ISNUMBER(F13),AND(F13&gt;=1,F13&lt;=2958465,F13=INT(F13)),FALSE),IF(ISNUMBER('CAJA'!$C$19),AND('CAJA'!$C$19&gt;=1,'CAJA'!$C$19&lt;=2958465,'CAJA'!$C$19=INT('CAJA'!$C$19)),FALSE),E13="Realizado",F13&gt;'CAJA'!$C$19),"Realizado en fecha posterior al corte: revisamos fecha y estado.",IF(AND(IF(ISNUMBER(F13),AND(F13&gt;=1,F13&lt;=2958465,F13=INT(F13)),FALSE),IF(ISNUMBER('CAJA'!$C$19),AND('CAJA'!$C$19&gt;=1,'CAJA'!$C$19&lt;=2958465,'CAJA'!$C$19=INT('CAJA'!$C$19)),FALSE),E13="Previsto",F13&lt;'CAJA'!$C$19),"Previsión vencida: actualizamos su fecha esperada o registramos el movimiento realizado; no lo damos por cobrado.",IF(AND(IF(ISNUMBER(F13),AND(F13&gt;=1,F13&lt;=2958465,F13=INT(F13)),FALSE),'CAJA'!$L$2=1,F13&lt;'CAJA'!$C$18),"Anterior al horizonte: revisamos si ya está en el saldo inicial para no contarlo dos veces.",IF(OR(AND(LEN(TRIM(G13&amp;""))&gt;0,NOT(IF(ISNUMBER(G13),AND(G13&gt;=0,G13=ROUND(G13,2)),FALSE))),AND(LEN(TRIM(F13&amp;""))&gt;0,NOT(IF(ISNUMBER(F13),AND(F13&gt;=1,F13&lt;=2958465,F13=INT(F13)),FALSE))),AND(LEN(TRIM(D13&amp;""))&gt;0,NOT(OR(D13="Cobro",D13="Pago"))),AND(LEN(TRIM(E13&amp;""))&gt;0,NOT(OR(E13="Previsto",E13="Realizado"))),AND(AND(LEN(TRIM(B13&amp;""))&gt;0,TRIM(B13)&lt;&gt;"Pendiente",TRIM(B13)&lt;&gt;"Por confirmar",TRIM(B13)&lt;&gt;"No consta",TRIM(B13)&lt;&gt;"Desconocido"),SUMPRODUCT(($L$10:$L$69=L13)*1)&gt;1),AND(IF(ISNUMBER(F13),AND(F13&gt;=1,F13&lt;=2958465,F13=INT(F13)),FALSE),IF(ISNUMBER('CAJA'!$C$19),AND('CAJA'!$C$19&gt;=1,'CAJA'!$C$19&lt;=2958465,'CAJA'!$C$19=INT('CAJA'!$C$19)),FALSE),OR(AND(E13="Realizado",F13&gt;'CAJA'!$C$19),AND(E13="Previsto",F13&lt;'CAJA'!$C$19))),AND(IF(ISNUMBER(F13),AND(F13&gt;=1,F13&lt;=2958465,F13=INT(F13)),FALSE),'CAJA'!$L$2=1,F13&lt;'CAJA'!$C$18)),"Revisamos fecha, importe positivo/cero explícito y opciones de sentido/estado. Fechas sin hora e importes a céntimos.",IF(NOT(AND(LEN(TRIM(B13&amp;""))&gt;0,TRIM(B13)&lt;&gt;"Pendiente",TRIM(B13)&lt;&gt;"Por confirmar",TRIM(B13)&lt;&gt;"No consta",TRIM(B13)&lt;&gt;"Desconocido")),"Asignamos un identificador único.",IF(NOT(AND(LEN(TRIM(C13&amp;""))&gt;0,TRIM(C13)&lt;&gt;"Pendiente",TRIM(C13)&lt;&gt;"Por confirmar",TRIM(C13)&lt;&gt;"No consta",TRIM(C13)&lt;&gt;"Desconocido")),"Identificamos el concepto.",IF(NOT(OR(D13="Cobro",D13="Pago")),"Elegimos Cobro o Pago.",IF(NOT(OR(E13="Previsto",E13="Realizado")),"Elegimos Previsto o Realizado según lo acreditado.",IF(NOT(IF(ISNUMBER(F13),AND(F13&gt;=1,F13&lt;=2958465,F13=INT(F13)),FALSE)),"Falta fecha/semana: un plazo relativo o la fecha de una oferta no bastan.",IF(NOT(IF(ISNUMBER(G13),AND(G13&gt;=0,G13=ROUND(G13,2)),FALSE)),"Falta importe efectivo; el total de presupuesto no acredita este movimiento.",IF(NOT(AND(LEN(TRIM(H13&amp;""))&gt;0,TRIM(H13)&lt;&gt;"Pendiente",TRIM(H13)&lt;&gt;"Por confirmar",TRIM(H13)&lt;&gt;"No consta",TRIM(H13)&lt;&gt;"Desconocido")),"Identificamos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CAJA.",IF(AND(IF(ISNUMBER(F13),AND(F13&gt;=1,F13&lt;=2958465,F13=INT(F13)),FALSE),'CAJA'!$L$2=1,F13&gt;='CAJA'!$L$9),"Fuera del horizonte: ampliamos semanas (hasta 26) o revisamos la ventana. Aquí no se suma.","Dato registrado para la previsión; el estado Realizado requiere su evidencia de cobro/pago."))))))))))))))))))</f>
        <v>Dato registrado para la previsión; el estado Realizado requiere su evidencia de cobro/pago.</v>
      </c>
      <c r="K13" t="n" s="27">
        <f>IF(COUNTA(B13:H13)&gt;0,1,0)</f>
        <v>1</v>
      </c>
      <c r="L13" t="str" s="27">
        <f>IF(COUNTA(B13:H13)&gt;0,IFERROR("ID:"&amp;UPPER(TRIM(B13&amp;"")),""),"")</f>
        <v>ID:EJ-04</v>
      </c>
      <c r="M13" t="n" s="27">
        <f>IF(NOT(COUNTA(B13:H13)&gt;0),"",IF(OR(ISERROR(B13),ISERROR(C13),ISERROR(D13),ISERROR(E13),ISERROR(F13),ISERROR(G13),ISERROR(H13)),2,IF(OR(ISERROR('CAJA'!$C$17),ISERROR('CAJA'!$C$18),ISERROR('CAJA'!$C$19),ISERROR('CAJA'!$C$20),ISERROR('CAJA'!$C$21),ISERROR('CAJA'!$C$22),ISERROR('CAJA'!$C$23)),1,IF(OR(AND(LEN(TRIM(G13&amp;""))&gt;0,NOT(IF(ISNUMBER(G13),AND(G13&gt;=0,G13=ROUND(G13,2)),FALSE))),AND(LEN(TRIM(F13&amp;""))&gt;0,NOT(IF(ISNUMBER(F13),AND(F13&gt;=1,F13&lt;=2958465,F13=INT(F13)),FALSE))),AND(LEN(TRIM(D13&amp;""))&gt;0,NOT(OR(D13="Cobro",D13="Pago"))),AND(LEN(TRIM(E13&amp;""))&gt;0,NOT(OR(E13="Previsto",E13="Realizado"))),AND(AND(LEN(TRIM(B13&amp;""))&gt;0,TRIM(B13)&lt;&gt;"Pendiente",TRIM(B13)&lt;&gt;"Por confirmar",TRIM(B13)&lt;&gt;"No consta",TRIM(B13)&lt;&gt;"Desconocido"),SUMPRODUCT(($L$10:$L$69=L13)*1)&gt;1),AND(IF(ISNUMBER(F13),AND(F13&gt;=1,F13&lt;=2958465,F13=INT(F13)),FALSE),IF(ISNUMBER('CAJA'!$C$19),AND('CAJA'!$C$19&gt;=1,'CAJA'!$C$19&lt;=2958465,'CAJA'!$C$19=INT('CAJA'!$C$19)),FALSE),OR(AND(E13="Realizado",F13&gt;'CAJA'!$C$19),AND(E13="Previsto",F13&lt;'CAJA'!$C$19))),AND(IF(ISNUMBER(F13),AND(F13&gt;=1,F13&lt;=2958465,F13=INT(F13)),FALSE),'CAJA'!$L$2=1,F13&lt;'CAJA'!$C$18)),2,IF(AND(AND(LEN(TRIM(B13&amp;""))&gt;0,TRIM(B13)&lt;&gt;"Pendiente",TRIM(B13)&lt;&gt;"Por confirmar",TRIM(B13)&lt;&gt;"No consta",TRIM(B13)&lt;&gt;"Desconocido"),AND(LEN(TRIM(C13&amp;""))&gt;0,TRIM(C13)&lt;&gt;"Pendiente",TRIM(C13)&lt;&gt;"Por confirmar",TRIM(C13)&lt;&gt;"No consta",TRIM(C13)&lt;&gt;"Desconocido"),OR(D13="Cobro",D13="Pago"),OR(E13="Previsto",E13="Realizado"),IF(ISNUMBER(F13),AND(F13&gt;=1,F13&lt;=2958465,F13=INT(F13)),FALSE),IF(ISNUMBER(G13),AND(G13&gt;=0,G13=ROUND(G13,2)),FALSE),AND(LEN(TRIM(H13&amp;""))&gt;0,TRIM(H13)&lt;&gt;"Pendiente",TRIM(H13)&lt;&gt;"Por confirmar",TRIM(H13)&lt;&gt;"No consta",TRIM(H13)&lt;&gt;"Desconocido"),'CAJA'!$L$2=1,IF(ISNUMBER('CAJA'!$C$19),AND('CAJA'!$C$19&gt;=1,'CAJA'!$C$19&lt;=2958465,'CAJA'!$C$19=INT('CAJA'!$C$19)),FALSE),F13&gt;='CAJA'!$C$18,F13&lt;'CAJA'!$L$9,NOT(OR(AND(LEN(TRIM(G13&amp;""))&gt;0,NOT(IF(ISNUMBER(G13),AND(G13&gt;=0,G13=ROUND(G13,2)),FALSE))),AND(LEN(TRIM(F13&amp;""))&gt;0,NOT(IF(ISNUMBER(F13),AND(F13&gt;=1,F13&lt;=2958465,F13=INT(F13)),FALSE))),AND(LEN(TRIM(D13&amp;""))&gt;0,NOT(OR(D13="Cobro",D13="Pago"))),AND(LEN(TRIM(E13&amp;""))&gt;0,NOT(OR(E13="Previsto",E13="Realizado"))),AND(AND(LEN(TRIM(B13&amp;""))&gt;0,TRIM(B13)&lt;&gt;"Pendiente",TRIM(B13)&lt;&gt;"Por confirmar",TRIM(B13)&lt;&gt;"No consta",TRIM(B13)&lt;&gt;"Desconocido"),SUMPRODUCT(($L$10:$L$69=L13)*1)&gt;1),AND(IF(ISNUMBER(F13),AND(F13&gt;=1,F13&lt;=2958465,F13=INT(F13)),FALSE),IF(ISNUMBER('CAJA'!$C$19),AND('CAJA'!$C$19&gt;=1,'CAJA'!$C$19&lt;=2958465,'CAJA'!$C$19=INT('CAJA'!$C$19)),FALSE),OR(AND(E13="Realizado",F13&gt;'CAJA'!$C$19),AND(E13="Previsto",F13&lt;'CAJA'!$C$19))),AND(IF(ISNUMBER(F13),AND(F13&gt;=1,F13&lt;=2958465,F13=INT(F13)),FALSE),'CAJA'!$L$2=1,F13&lt;'CAJA'!$C$18)))),0,1)))))</f>
        <v>0</v>
      </c>
      <c r="N13" t="n" s="27">
        <f>IF(AND(K13=1,ISNUMBER(M13),M13=0),1,0)</f>
        <v>1</v>
      </c>
      <c r="O13" t="n" s="27">
        <f>IF(IF(ISNUMBER(F13),AND(F13&gt;=1,F13&lt;=2958465,F13=INT(F13)),FALSE),F13-WEEKDAY(F13,2)+1,"")</f>
        <v>46314</v>
      </c>
      <c r="P13" t="n" s="27">
        <f>IF(AND(K13=1,ISNUMBER(M13),M13&gt;0),IF(NOT(IF(ISNUMBER(F13),AND(F13&gt;=1,F13&lt;=2958465,F13=INT(F13)),FALSE)),1,IF('CAJA'!$L$2&lt;&gt;1,1,IF(OR(F13&lt;'CAJA'!$C$18,F13&gt;='CAJA'!$L$9),1,0))),0)</f>
        <v>0</v>
      </c>
    </row>
    <row r="14" ht="69" customHeight="1">
      <c r="B14" s="34"/>
      <c r="C14" s="34"/>
      <c r="D14" s="34"/>
      <c r="E14" s="34"/>
      <c r="F14" s="35"/>
      <c r="G14" s="36"/>
      <c r="H14" s="34"/>
      <c r="I14" s="33" t="str">
        <f>IF(K14=0,"",IF(M14=2,"ROJO",IF(M14=1,"ÁMBAR","VERDE")))</f>
      </c>
      <c r="J14" s="33" t="str">
        <f>IF(K14=0,"",IF(OR(ISERROR(B14),ISERROR(C14),ISERROR(D14),ISERROR(E14),ISERROR(F14),ISERROR(G14),ISERROR(H14)),"Hay una entrada con error de fórmula. Corregimos el dato; no lo convertimos en cero.",IF(OR(ISERROR('CAJA'!$C$17),ISERROR('CAJA'!$C$18),ISERROR('CAJA'!$C$19),ISERROR('CAJA'!$C$20),ISERROR('CAJA'!$C$21),ISERROR('CAJA'!$C$22),ISERROR('CAJA'!$C$23)),"Corregimos la entrada con error en CAJA antes de validar el movimiento.",IF(AND(AND(LEN(TRIM(B14&amp;""))&gt;0,TRIM(B14)&lt;&gt;"Pendiente",TRIM(B14)&lt;&gt;"Por confirmar",TRIM(B14)&lt;&gt;"No consta",TRIM(B14)&lt;&gt;"Desconocido"),SUMPRODUCT(($L$10:$L$69=L14)*1)&gt;1),"ID repetido: actualizamos el mismo movimiento o separamos únicamente la parte realizada y el resto pendiente.",IF(AND(IF(ISNUMBER(F14),AND(F14&gt;=1,F14&lt;=2958465,F14=INT(F14)),FALSE),IF(ISNUMBER('CAJA'!$C$19),AND('CAJA'!$C$19&gt;=1,'CAJA'!$C$19&lt;=2958465,'CAJA'!$C$19=INT('CAJA'!$C$19)),FALSE),E14="Realizado",F14&gt;'CAJA'!$C$19),"Realizado en fecha posterior al corte: revisamos fecha y estado.",IF(AND(IF(ISNUMBER(F14),AND(F14&gt;=1,F14&lt;=2958465,F14=INT(F14)),FALSE),IF(ISNUMBER('CAJA'!$C$19),AND('CAJA'!$C$19&gt;=1,'CAJA'!$C$19&lt;=2958465,'CAJA'!$C$19=INT('CAJA'!$C$19)),FALSE),E14="Previsto",F14&lt;'CAJA'!$C$19),"Previsión vencida: actualizamos su fecha esperada o registramos el movimiento realizado; no lo damos por cobrado.",IF(AND(IF(ISNUMBER(F14),AND(F14&gt;=1,F14&lt;=2958465,F14=INT(F14)),FALSE),'CAJA'!$L$2=1,F14&lt;'CAJA'!$C$18),"Anterior al horizonte: revisamos si ya está en el saldo inicial para no contarlo dos veces.",IF(OR(AND(LEN(TRIM(G14&amp;""))&gt;0,NOT(IF(ISNUMBER(G14),AND(G14&gt;=0,G14=ROUND(G14,2)),FALSE))),AND(LEN(TRIM(F14&amp;""))&gt;0,NOT(IF(ISNUMBER(F14),AND(F14&gt;=1,F14&lt;=2958465,F14=INT(F14)),FALSE))),AND(LEN(TRIM(D14&amp;""))&gt;0,NOT(OR(D14="Cobro",D14="Pago"))),AND(LEN(TRIM(E14&amp;""))&gt;0,NOT(OR(E14="Previsto",E14="Realizado"))),AND(AND(LEN(TRIM(B14&amp;""))&gt;0,TRIM(B14)&lt;&gt;"Pendiente",TRIM(B14)&lt;&gt;"Por confirmar",TRIM(B14)&lt;&gt;"No consta",TRIM(B14)&lt;&gt;"Desconocido"),SUMPRODUCT(($L$10:$L$69=L14)*1)&gt;1),AND(IF(ISNUMBER(F14),AND(F14&gt;=1,F14&lt;=2958465,F14=INT(F14)),FALSE),IF(ISNUMBER('CAJA'!$C$19),AND('CAJA'!$C$19&gt;=1,'CAJA'!$C$19&lt;=2958465,'CAJA'!$C$19=INT('CAJA'!$C$19)),FALSE),OR(AND(E14="Realizado",F14&gt;'CAJA'!$C$19),AND(E14="Previsto",F14&lt;'CAJA'!$C$19))),AND(IF(ISNUMBER(F14),AND(F14&gt;=1,F14&lt;=2958465,F14=INT(F14)),FALSE),'CAJA'!$L$2=1,F14&lt;'CAJA'!$C$18)),"Revisamos fecha, importe positivo/cero explícito y opciones de sentido/estado. Fechas sin hora e importes a céntimos.",IF(NOT(AND(LEN(TRIM(B14&amp;""))&gt;0,TRIM(B14)&lt;&gt;"Pendiente",TRIM(B14)&lt;&gt;"Por confirmar",TRIM(B14)&lt;&gt;"No consta",TRIM(B14)&lt;&gt;"Desconocido")),"Asignamos un identificador único.",IF(NOT(AND(LEN(TRIM(C14&amp;""))&gt;0,TRIM(C14)&lt;&gt;"Pendiente",TRIM(C14)&lt;&gt;"Por confirmar",TRIM(C14)&lt;&gt;"No consta",TRIM(C14)&lt;&gt;"Desconocido")),"Identificamos el concepto.",IF(NOT(OR(D14="Cobro",D14="Pago")),"Elegimos Cobro o Pago.",IF(NOT(OR(E14="Previsto",E14="Realizado")),"Elegimos Previsto o Realizado según lo acreditado.",IF(NOT(IF(ISNUMBER(F14),AND(F14&gt;=1,F14&lt;=2958465,F14=INT(F14)),FALSE)),"Falta fecha/semana: un plazo relativo o la fecha de una oferta no bastan.",IF(NOT(IF(ISNUMBER(G14),AND(G14&gt;=0,G14=ROUND(G14,2)),FALSE)),"Falta importe efectivo; el total de presupuesto no acredita este movimiento.",IF(NOT(AND(LEN(TRIM(H14&amp;""))&gt;0,TRIM(H14)&lt;&gt;"Pendiente",TRIM(H14)&lt;&gt;"Por confirmar",TRIM(H14)&lt;&gt;"No consta",TRIM(H14)&lt;&gt;"Desconocido")),"Identificamos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CAJA.",IF(AND(IF(ISNUMBER(F14),AND(F14&gt;=1,F14&lt;=2958465,F14=INT(F14)),FALSE),'CAJA'!$L$2=1,F14&gt;='CAJA'!$L$9),"Fuera del horizonte: ampliamos semanas (hasta 26) o revisamos la ventana. Aquí no se suma.","Dato registrado para la previsión; el estado Realizado requiere su evidencia de cobro/pago."))))))))))))))))))</f>
      </c>
      <c r="K14" t="n" s="27">
        <f>IF(COUNTA(B14:H14)&gt;0,1,0)</f>
        <v>0</v>
      </c>
      <c r="L14" t="str" s="27">
        <f>IF(COUNTA(B14:H14)&gt;0,IFERROR("ID:"&amp;UPPER(TRIM(B14&amp;"")),""),"")</f>
      </c>
      <c r="M14" t="str" s="27">
        <f>IF(NOT(COUNTA(B14:H14)&gt;0),"",IF(OR(ISERROR(B14),ISERROR(C14),ISERROR(D14),ISERROR(E14),ISERROR(F14),ISERROR(G14),ISERROR(H14)),2,IF(OR(ISERROR('CAJA'!$C$17),ISERROR('CAJA'!$C$18),ISERROR('CAJA'!$C$19),ISERROR('CAJA'!$C$20),ISERROR('CAJA'!$C$21),ISERROR('CAJA'!$C$22),ISERROR('CAJA'!$C$23)),1,IF(OR(AND(LEN(TRIM(G14&amp;""))&gt;0,NOT(IF(ISNUMBER(G14),AND(G14&gt;=0,G14=ROUND(G14,2)),FALSE))),AND(LEN(TRIM(F14&amp;""))&gt;0,NOT(IF(ISNUMBER(F14),AND(F14&gt;=1,F14&lt;=2958465,F14=INT(F14)),FALSE))),AND(LEN(TRIM(D14&amp;""))&gt;0,NOT(OR(D14="Cobro",D14="Pago"))),AND(LEN(TRIM(E14&amp;""))&gt;0,NOT(OR(E14="Previsto",E14="Realizado"))),AND(AND(LEN(TRIM(B14&amp;""))&gt;0,TRIM(B14)&lt;&gt;"Pendiente",TRIM(B14)&lt;&gt;"Por confirmar",TRIM(B14)&lt;&gt;"No consta",TRIM(B14)&lt;&gt;"Desconocido"),SUMPRODUCT(($L$10:$L$69=L14)*1)&gt;1),AND(IF(ISNUMBER(F14),AND(F14&gt;=1,F14&lt;=2958465,F14=INT(F14)),FALSE),IF(ISNUMBER('CAJA'!$C$19),AND('CAJA'!$C$19&gt;=1,'CAJA'!$C$19&lt;=2958465,'CAJA'!$C$19=INT('CAJA'!$C$19)),FALSE),OR(AND(E14="Realizado",F14&gt;'CAJA'!$C$19),AND(E14="Previsto",F14&lt;'CAJA'!$C$19))),AND(IF(ISNUMBER(F14),AND(F14&gt;=1,F14&lt;=2958465,F14=INT(F14)),FALSE),'CAJA'!$L$2=1,F14&lt;'CAJA'!$C$18)),2,IF(AND(AND(LEN(TRIM(B14&amp;""))&gt;0,TRIM(B14)&lt;&gt;"Pendiente",TRIM(B14)&lt;&gt;"Por confirmar",TRIM(B14)&lt;&gt;"No consta",TRIM(B14)&lt;&gt;"Desconocido"),AND(LEN(TRIM(C14&amp;""))&gt;0,TRIM(C14)&lt;&gt;"Pendiente",TRIM(C14)&lt;&gt;"Por confirmar",TRIM(C14)&lt;&gt;"No consta",TRIM(C14)&lt;&gt;"Desconocido"),OR(D14="Cobro",D14="Pago"),OR(E14="Previsto",E14="Realizado"),IF(ISNUMBER(F14),AND(F14&gt;=1,F14&lt;=2958465,F14=INT(F14)),FALSE),IF(ISNUMBER(G14),AND(G14&gt;=0,G14=ROUND(G14,2)),FALSE),AND(LEN(TRIM(H14&amp;""))&gt;0,TRIM(H14)&lt;&gt;"Pendiente",TRIM(H14)&lt;&gt;"Por confirmar",TRIM(H14)&lt;&gt;"No consta",TRIM(H14)&lt;&gt;"Desconocido"),'CAJA'!$L$2=1,IF(ISNUMBER('CAJA'!$C$19),AND('CAJA'!$C$19&gt;=1,'CAJA'!$C$19&lt;=2958465,'CAJA'!$C$19=INT('CAJA'!$C$19)),FALSE),F14&gt;='CAJA'!$C$18,F14&lt;'CAJA'!$L$9,NOT(OR(AND(LEN(TRIM(G14&amp;""))&gt;0,NOT(IF(ISNUMBER(G14),AND(G14&gt;=0,G14=ROUND(G14,2)),FALSE))),AND(LEN(TRIM(F14&amp;""))&gt;0,NOT(IF(ISNUMBER(F14),AND(F14&gt;=1,F14&lt;=2958465,F14=INT(F14)),FALSE))),AND(LEN(TRIM(D14&amp;""))&gt;0,NOT(OR(D14="Cobro",D14="Pago"))),AND(LEN(TRIM(E14&amp;""))&gt;0,NOT(OR(E14="Previsto",E14="Realizado"))),AND(AND(LEN(TRIM(B14&amp;""))&gt;0,TRIM(B14)&lt;&gt;"Pendiente",TRIM(B14)&lt;&gt;"Por confirmar",TRIM(B14)&lt;&gt;"No consta",TRIM(B14)&lt;&gt;"Desconocido"),SUMPRODUCT(($L$10:$L$69=L14)*1)&gt;1),AND(IF(ISNUMBER(F14),AND(F14&gt;=1,F14&lt;=2958465,F14=INT(F14)),FALSE),IF(ISNUMBER('CAJA'!$C$19),AND('CAJA'!$C$19&gt;=1,'CAJA'!$C$19&lt;=2958465,'CAJA'!$C$19=INT('CAJA'!$C$19)),FALSE),OR(AND(E14="Realizado",F14&gt;'CAJA'!$C$19),AND(E14="Previsto",F14&lt;'CAJA'!$C$19))),AND(IF(ISNUMBER(F14),AND(F14&gt;=1,F14&lt;=2958465,F14=INT(F14)),FALSE),'CAJA'!$L$2=1,F14&lt;'CAJA'!$C$18)))),0,1)))))</f>
      </c>
      <c r="N14" t="n" s="27">
        <f>IF(AND(K14=1,ISNUMBER(M14),M14=0),1,0)</f>
        <v>0</v>
      </c>
      <c r="O14" t="str" s="27">
        <f>IF(IF(ISNUMBER(F14),AND(F14&gt;=1,F14&lt;=2958465,F14=INT(F14)),FALSE),F14-WEEKDAY(F14,2)+1,"")</f>
      </c>
      <c r="P14" t="n" s="27">
        <f>IF(AND(K14=1,ISNUMBER(M14),M14&gt;0),IF(NOT(IF(ISNUMBER(F14),AND(F14&gt;=1,F14&lt;=2958465,F14=INT(F14)),FALSE)),1,IF('CAJA'!$L$2&lt;&gt;1,1,IF(OR(F14&lt;'CAJA'!$C$18,F14&gt;='CAJA'!$L$9),1,0))),0)</f>
        <v>0</v>
      </c>
    </row>
    <row r="15" ht="69" customHeight="1">
      <c r="B15" s="34"/>
      <c r="C15" s="34"/>
      <c r="D15" s="34"/>
      <c r="E15" s="34"/>
      <c r="F15" s="35"/>
      <c r="G15" s="36"/>
      <c r="H15" s="34"/>
      <c r="I15" s="33" t="str">
        <f>IF(K15=0,"",IF(M15=2,"ROJO",IF(M15=1,"ÁMBAR","VERDE")))</f>
      </c>
      <c r="J15" s="33" t="str">
        <f>IF(K15=0,"",IF(OR(ISERROR(B15),ISERROR(C15),ISERROR(D15),ISERROR(E15),ISERROR(F15),ISERROR(G15),ISERROR(H15)),"Hay una entrada con error de fórmula. Corregimos el dato; no lo convertimos en cero.",IF(OR(ISERROR('CAJA'!$C$17),ISERROR('CAJA'!$C$18),ISERROR('CAJA'!$C$19),ISERROR('CAJA'!$C$20),ISERROR('CAJA'!$C$21),ISERROR('CAJA'!$C$22),ISERROR('CAJA'!$C$23)),"Corregimos la entrada con error en CAJA antes de validar el movimiento.",IF(AND(AND(LEN(TRIM(B15&amp;""))&gt;0,TRIM(B15)&lt;&gt;"Pendiente",TRIM(B15)&lt;&gt;"Por confirmar",TRIM(B15)&lt;&gt;"No consta",TRIM(B15)&lt;&gt;"Desconocido"),SUMPRODUCT(($L$10:$L$69=L15)*1)&gt;1),"ID repetido: actualizamos el mismo movimiento o separamos únicamente la parte realizada y el resto pendiente.",IF(AND(IF(ISNUMBER(F15),AND(F15&gt;=1,F15&lt;=2958465,F15=INT(F15)),FALSE),IF(ISNUMBER('CAJA'!$C$19),AND('CAJA'!$C$19&gt;=1,'CAJA'!$C$19&lt;=2958465,'CAJA'!$C$19=INT('CAJA'!$C$19)),FALSE),E15="Realizado",F15&gt;'CAJA'!$C$19),"Realizado en fecha posterior al corte: revisamos fecha y estado.",IF(AND(IF(ISNUMBER(F15),AND(F15&gt;=1,F15&lt;=2958465,F15=INT(F15)),FALSE),IF(ISNUMBER('CAJA'!$C$19),AND('CAJA'!$C$19&gt;=1,'CAJA'!$C$19&lt;=2958465,'CAJA'!$C$19=INT('CAJA'!$C$19)),FALSE),E15="Previsto",F15&lt;'CAJA'!$C$19),"Previsión vencida: actualizamos su fecha esperada o registramos el movimiento realizado; no lo damos por cobrado.",IF(AND(IF(ISNUMBER(F15),AND(F15&gt;=1,F15&lt;=2958465,F15=INT(F15)),FALSE),'CAJA'!$L$2=1,F15&lt;'CAJA'!$C$18),"Anterior al horizonte: revisamos si ya está en el saldo inicial para no contarlo dos veces.",IF(OR(AND(LEN(TRIM(G15&amp;""))&gt;0,NOT(IF(ISNUMBER(G15),AND(G15&gt;=0,G15=ROUND(G15,2)),FALSE))),AND(LEN(TRIM(F15&amp;""))&gt;0,NOT(IF(ISNUMBER(F15),AND(F15&gt;=1,F15&lt;=2958465,F15=INT(F15)),FALSE))),AND(LEN(TRIM(D15&amp;""))&gt;0,NOT(OR(D15="Cobro",D15="Pago"))),AND(LEN(TRIM(E15&amp;""))&gt;0,NOT(OR(E15="Previsto",E15="Realizado"))),AND(AND(LEN(TRIM(B15&amp;""))&gt;0,TRIM(B15)&lt;&gt;"Pendiente",TRIM(B15)&lt;&gt;"Por confirmar",TRIM(B15)&lt;&gt;"No consta",TRIM(B15)&lt;&gt;"Desconocido"),SUMPRODUCT(($L$10:$L$69=L15)*1)&gt;1),AND(IF(ISNUMBER(F15),AND(F15&gt;=1,F15&lt;=2958465,F15=INT(F15)),FALSE),IF(ISNUMBER('CAJA'!$C$19),AND('CAJA'!$C$19&gt;=1,'CAJA'!$C$19&lt;=2958465,'CAJA'!$C$19=INT('CAJA'!$C$19)),FALSE),OR(AND(E15="Realizado",F15&gt;'CAJA'!$C$19),AND(E15="Previsto",F15&lt;'CAJA'!$C$19))),AND(IF(ISNUMBER(F15),AND(F15&gt;=1,F15&lt;=2958465,F15=INT(F15)),FALSE),'CAJA'!$L$2=1,F15&lt;'CAJA'!$C$18)),"Revisamos fecha, importe positivo/cero explícito y opciones de sentido/estado. Fechas sin hora e importes a céntimos.",IF(NOT(AND(LEN(TRIM(B15&amp;""))&gt;0,TRIM(B15)&lt;&gt;"Pendiente",TRIM(B15)&lt;&gt;"Por confirmar",TRIM(B15)&lt;&gt;"No consta",TRIM(B15)&lt;&gt;"Desconocido")),"Asignamos un identificador único.",IF(NOT(AND(LEN(TRIM(C15&amp;""))&gt;0,TRIM(C15)&lt;&gt;"Pendiente",TRIM(C15)&lt;&gt;"Por confirmar",TRIM(C15)&lt;&gt;"No consta",TRIM(C15)&lt;&gt;"Desconocido")),"Identificamos el concepto.",IF(NOT(OR(D15="Cobro",D15="Pago")),"Elegimos Cobro o Pago.",IF(NOT(OR(E15="Previsto",E15="Realizado")),"Elegimos Previsto o Realizado según lo acreditado.",IF(NOT(IF(ISNUMBER(F15),AND(F15&gt;=1,F15&lt;=2958465,F15=INT(F15)),FALSE)),"Falta fecha/semana: un plazo relativo o la fecha de una oferta no bastan.",IF(NOT(IF(ISNUMBER(G15),AND(G15&gt;=0,G15=ROUND(G15,2)),FALSE)),"Falta importe efectivo; el total de presupuesto no acredita este movimiento.",IF(NOT(AND(LEN(TRIM(H15&amp;""))&gt;0,TRIM(H15)&lt;&gt;"Pendiente",TRIM(H15)&lt;&gt;"Por confirmar",TRIM(H15)&lt;&gt;"No consta",TRIM(H15)&lt;&gt;"Desconocido")),"Identificamos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CAJA.",IF(AND(IF(ISNUMBER(F15),AND(F15&gt;=1,F15&lt;=2958465,F15=INT(F15)),FALSE),'CAJA'!$L$2=1,F15&gt;='CAJA'!$L$9),"Fuera del horizonte: ampliamos semanas (hasta 26) o revisamos la ventana. Aquí no se suma.","Dato registrado para la previsión; el estado Realizado requiere su evidencia de cobro/pago."))))))))))))))))))</f>
      </c>
      <c r="K15" t="n" s="27">
        <f>IF(COUNTA(B15:H15)&gt;0,1,0)</f>
        <v>0</v>
      </c>
      <c r="L15" t="str" s="27">
        <f>IF(COUNTA(B15:H15)&gt;0,IFERROR("ID:"&amp;UPPER(TRIM(B15&amp;"")),""),"")</f>
      </c>
      <c r="M15" t="str" s="27">
        <f>IF(NOT(COUNTA(B15:H15)&gt;0),"",IF(OR(ISERROR(B15),ISERROR(C15),ISERROR(D15),ISERROR(E15),ISERROR(F15),ISERROR(G15),ISERROR(H15)),2,IF(OR(ISERROR('CAJA'!$C$17),ISERROR('CAJA'!$C$18),ISERROR('CAJA'!$C$19),ISERROR('CAJA'!$C$20),ISERROR('CAJA'!$C$21),ISERROR('CAJA'!$C$22),ISERROR('CAJA'!$C$23)),1,IF(OR(AND(LEN(TRIM(G15&amp;""))&gt;0,NOT(IF(ISNUMBER(G15),AND(G15&gt;=0,G15=ROUND(G15,2)),FALSE))),AND(LEN(TRIM(F15&amp;""))&gt;0,NOT(IF(ISNUMBER(F15),AND(F15&gt;=1,F15&lt;=2958465,F15=INT(F15)),FALSE))),AND(LEN(TRIM(D15&amp;""))&gt;0,NOT(OR(D15="Cobro",D15="Pago"))),AND(LEN(TRIM(E15&amp;""))&gt;0,NOT(OR(E15="Previsto",E15="Realizado"))),AND(AND(LEN(TRIM(B15&amp;""))&gt;0,TRIM(B15)&lt;&gt;"Pendiente",TRIM(B15)&lt;&gt;"Por confirmar",TRIM(B15)&lt;&gt;"No consta",TRIM(B15)&lt;&gt;"Desconocido"),SUMPRODUCT(($L$10:$L$69=L15)*1)&gt;1),AND(IF(ISNUMBER(F15),AND(F15&gt;=1,F15&lt;=2958465,F15=INT(F15)),FALSE),IF(ISNUMBER('CAJA'!$C$19),AND('CAJA'!$C$19&gt;=1,'CAJA'!$C$19&lt;=2958465,'CAJA'!$C$19=INT('CAJA'!$C$19)),FALSE),OR(AND(E15="Realizado",F15&gt;'CAJA'!$C$19),AND(E15="Previsto",F15&lt;'CAJA'!$C$19))),AND(IF(ISNUMBER(F15),AND(F15&gt;=1,F15&lt;=2958465,F15=INT(F15)),FALSE),'CAJA'!$L$2=1,F15&lt;'CAJA'!$C$18)),2,IF(AND(AND(LEN(TRIM(B15&amp;""))&gt;0,TRIM(B15)&lt;&gt;"Pendiente",TRIM(B15)&lt;&gt;"Por confirmar",TRIM(B15)&lt;&gt;"No consta",TRIM(B15)&lt;&gt;"Desconocido"),AND(LEN(TRIM(C15&amp;""))&gt;0,TRIM(C15)&lt;&gt;"Pendiente",TRIM(C15)&lt;&gt;"Por confirmar",TRIM(C15)&lt;&gt;"No consta",TRIM(C15)&lt;&gt;"Desconocido"),OR(D15="Cobro",D15="Pago"),OR(E15="Previsto",E15="Realizado"),IF(ISNUMBER(F15),AND(F15&gt;=1,F15&lt;=2958465,F15=INT(F15)),FALSE),IF(ISNUMBER(G15),AND(G15&gt;=0,G15=ROUND(G15,2)),FALSE),AND(LEN(TRIM(H15&amp;""))&gt;0,TRIM(H15)&lt;&gt;"Pendiente",TRIM(H15)&lt;&gt;"Por confirmar",TRIM(H15)&lt;&gt;"No consta",TRIM(H15)&lt;&gt;"Desconocido"),'CAJA'!$L$2=1,IF(ISNUMBER('CAJA'!$C$19),AND('CAJA'!$C$19&gt;=1,'CAJA'!$C$19&lt;=2958465,'CAJA'!$C$19=INT('CAJA'!$C$19)),FALSE),F15&gt;='CAJA'!$C$18,F15&lt;'CAJA'!$L$9,NOT(OR(AND(LEN(TRIM(G15&amp;""))&gt;0,NOT(IF(ISNUMBER(G15),AND(G15&gt;=0,G15=ROUND(G15,2)),FALSE))),AND(LEN(TRIM(F15&amp;""))&gt;0,NOT(IF(ISNUMBER(F15),AND(F15&gt;=1,F15&lt;=2958465,F15=INT(F15)),FALSE))),AND(LEN(TRIM(D15&amp;""))&gt;0,NOT(OR(D15="Cobro",D15="Pago"))),AND(LEN(TRIM(E15&amp;""))&gt;0,NOT(OR(E15="Previsto",E15="Realizado"))),AND(AND(LEN(TRIM(B15&amp;""))&gt;0,TRIM(B15)&lt;&gt;"Pendiente",TRIM(B15)&lt;&gt;"Por confirmar",TRIM(B15)&lt;&gt;"No consta",TRIM(B15)&lt;&gt;"Desconocido"),SUMPRODUCT(($L$10:$L$69=L15)*1)&gt;1),AND(IF(ISNUMBER(F15),AND(F15&gt;=1,F15&lt;=2958465,F15=INT(F15)),FALSE),IF(ISNUMBER('CAJA'!$C$19),AND('CAJA'!$C$19&gt;=1,'CAJA'!$C$19&lt;=2958465,'CAJA'!$C$19=INT('CAJA'!$C$19)),FALSE),OR(AND(E15="Realizado",F15&gt;'CAJA'!$C$19),AND(E15="Previsto",F15&lt;'CAJA'!$C$19))),AND(IF(ISNUMBER(F15),AND(F15&gt;=1,F15&lt;=2958465,F15=INT(F15)),FALSE),'CAJA'!$L$2=1,F15&lt;'CAJA'!$C$18)))),0,1)))))</f>
      </c>
      <c r="N15" t="n" s="27">
        <f>IF(AND(K15=1,ISNUMBER(M15),M15=0),1,0)</f>
        <v>0</v>
      </c>
      <c r="O15" t="str" s="27">
        <f>IF(IF(ISNUMBER(F15),AND(F15&gt;=1,F15&lt;=2958465,F15=INT(F15)),FALSE),F15-WEEKDAY(F15,2)+1,"")</f>
      </c>
      <c r="P15" t="n" s="27">
        <f>IF(AND(K15=1,ISNUMBER(M15),M15&gt;0),IF(NOT(IF(ISNUMBER(F15),AND(F15&gt;=1,F15&lt;=2958465,F15=INT(F15)),FALSE)),1,IF('CAJA'!$L$2&lt;&gt;1,1,IF(OR(F15&lt;'CAJA'!$C$18,F15&gt;='CAJA'!$L$9),1,0))),0)</f>
        <v>0</v>
      </c>
    </row>
    <row r="16" ht="69" customHeight="1">
      <c r="B16" s="34"/>
      <c r="C16" s="34"/>
      <c r="D16" s="34"/>
      <c r="E16" s="34"/>
      <c r="F16" s="35"/>
      <c r="G16" s="36"/>
      <c r="H16" s="34"/>
      <c r="I16" s="33" t="str">
        <f>IF(K16=0,"",IF(M16=2,"ROJO",IF(M16=1,"ÁMBAR","VERDE")))</f>
      </c>
      <c r="J16" s="33" t="str">
        <f>IF(K16=0,"",IF(OR(ISERROR(B16),ISERROR(C16),ISERROR(D16),ISERROR(E16),ISERROR(F16),ISERROR(G16),ISERROR(H16)),"Hay una entrada con error de fórmula. Corregimos el dato; no lo convertimos en cero.",IF(OR(ISERROR('CAJA'!$C$17),ISERROR('CAJA'!$C$18),ISERROR('CAJA'!$C$19),ISERROR('CAJA'!$C$20),ISERROR('CAJA'!$C$21),ISERROR('CAJA'!$C$22),ISERROR('CAJA'!$C$23)),"Corregimos la entrada con error en CAJA antes de validar el movimiento.",IF(AND(AND(LEN(TRIM(B16&amp;""))&gt;0,TRIM(B16)&lt;&gt;"Pendiente",TRIM(B16)&lt;&gt;"Por confirmar",TRIM(B16)&lt;&gt;"No consta",TRIM(B16)&lt;&gt;"Desconocido"),SUMPRODUCT(($L$10:$L$69=L16)*1)&gt;1),"ID repetido: actualizamos el mismo movimiento o separamos únicamente la parte realizada y el resto pendiente.",IF(AND(IF(ISNUMBER(F16),AND(F16&gt;=1,F16&lt;=2958465,F16=INT(F16)),FALSE),IF(ISNUMBER('CAJA'!$C$19),AND('CAJA'!$C$19&gt;=1,'CAJA'!$C$19&lt;=2958465,'CAJA'!$C$19=INT('CAJA'!$C$19)),FALSE),E16="Realizado",F16&gt;'CAJA'!$C$19),"Realizado en fecha posterior al corte: revisamos fecha y estado.",IF(AND(IF(ISNUMBER(F16),AND(F16&gt;=1,F16&lt;=2958465,F16=INT(F16)),FALSE),IF(ISNUMBER('CAJA'!$C$19),AND('CAJA'!$C$19&gt;=1,'CAJA'!$C$19&lt;=2958465,'CAJA'!$C$19=INT('CAJA'!$C$19)),FALSE),E16="Previsto",F16&lt;'CAJA'!$C$19),"Previsión vencida: actualizamos su fecha esperada o registramos el movimiento realizado; no lo damos por cobrado.",IF(AND(IF(ISNUMBER(F16),AND(F16&gt;=1,F16&lt;=2958465,F16=INT(F16)),FALSE),'CAJA'!$L$2=1,F16&lt;'CAJA'!$C$18),"Anterior al horizonte: revisamos si ya está en el saldo inicial para no contarlo dos veces.",IF(OR(AND(LEN(TRIM(G16&amp;""))&gt;0,NOT(IF(ISNUMBER(G16),AND(G16&gt;=0,G16=ROUND(G16,2)),FALSE))),AND(LEN(TRIM(F16&amp;""))&gt;0,NOT(IF(ISNUMBER(F16),AND(F16&gt;=1,F16&lt;=2958465,F16=INT(F16)),FALSE))),AND(LEN(TRIM(D16&amp;""))&gt;0,NOT(OR(D16="Cobro",D16="Pago"))),AND(LEN(TRIM(E16&amp;""))&gt;0,NOT(OR(E16="Previsto",E16="Realizado"))),AND(AND(LEN(TRIM(B16&amp;""))&gt;0,TRIM(B16)&lt;&gt;"Pendiente",TRIM(B16)&lt;&gt;"Por confirmar",TRIM(B16)&lt;&gt;"No consta",TRIM(B16)&lt;&gt;"Desconocido"),SUMPRODUCT(($L$10:$L$69=L16)*1)&gt;1),AND(IF(ISNUMBER(F16),AND(F16&gt;=1,F16&lt;=2958465,F16=INT(F16)),FALSE),IF(ISNUMBER('CAJA'!$C$19),AND('CAJA'!$C$19&gt;=1,'CAJA'!$C$19&lt;=2958465,'CAJA'!$C$19=INT('CAJA'!$C$19)),FALSE),OR(AND(E16="Realizado",F16&gt;'CAJA'!$C$19),AND(E16="Previsto",F16&lt;'CAJA'!$C$19))),AND(IF(ISNUMBER(F16),AND(F16&gt;=1,F16&lt;=2958465,F16=INT(F16)),FALSE),'CAJA'!$L$2=1,F16&lt;'CAJA'!$C$18)),"Revisamos fecha, importe positivo/cero explícito y opciones de sentido/estado. Fechas sin hora e importes a céntimos.",IF(NOT(AND(LEN(TRIM(B16&amp;""))&gt;0,TRIM(B16)&lt;&gt;"Pendiente",TRIM(B16)&lt;&gt;"Por confirmar",TRIM(B16)&lt;&gt;"No consta",TRIM(B16)&lt;&gt;"Desconocido")),"Asignamos un identificador único.",IF(NOT(AND(LEN(TRIM(C16&amp;""))&gt;0,TRIM(C16)&lt;&gt;"Pendiente",TRIM(C16)&lt;&gt;"Por confirmar",TRIM(C16)&lt;&gt;"No consta",TRIM(C16)&lt;&gt;"Desconocido")),"Identificamos el concepto.",IF(NOT(OR(D16="Cobro",D16="Pago")),"Elegimos Cobro o Pago.",IF(NOT(OR(E16="Previsto",E16="Realizado")),"Elegimos Previsto o Realizado según lo acreditado.",IF(NOT(IF(ISNUMBER(F16),AND(F16&gt;=1,F16&lt;=2958465,F16=INT(F16)),FALSE)),"Falta fecha/semana: un plazo relativo o la fecha de una oferta no bastan.",IF(NOT(IF(ISNUMBER(G16),AND(G16&gt;=0,G16=ROUND(G16,2)),FALSE)),"Falta importe efectivo; el total de presupuesto no acredita este movimiento.",IF(NOT(AND(LEN(TRIM(H16&amp;""))&gt;0,TRIM(H16)&lt;&gt;"Pendiente",TRIM(H16)&lt;&gt;"Por confirmar",TRIM(H16)&lt;&gt;"No consta",TRIM(H16)&lt;&gt;"Desconocido")),"Identificamos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CAJA.",IF(AND(IF(ISNUMBER(F16),AND(F16&gt;=1,F16&lt;=2958465,F16=INT(F16)),FALSE),'CAJA'!$L$2=1,F16&gt;='CAJA'!$L$9),"Fuera del horizonte: ampliamos semanas (hasta 26) o revisamos la ventana. Aquí no se suma.","Dato registrado para la previsión; el estado Realizado requiere su evidencia de cobro/pago."))))))))))))))))))</f>
      </c>
      <c r="K16" t="n" s="27">
        <f>IF(COUNTA(B16:H16)&gt;0,1,0)</f>
        <v>0</v>
      </c>
      <c r="L16" t="str" s="27">
        <f>IF(COUNTA(B16:H16)&gt;0,IFERROR("ID:"&amp;UPPER(TRIM(B16&amp;"")),""),"")</f>
      </c>
      <c r="M16" t="str" s="27">
        <f>IF(NOT(COUNTA(B16:H16)&gt;0),"",IF(OR(ISERROR(B16),ISERROR(C16),ISERROR(D16),ISERROR(E16),ISERROR(F16),ISERROR(G16),ISERROR(H16)),2,IF(OR(ISERROR('CAJA'!$C$17),ISERROR('CAJA'!$C$18),ISERROR('CAJA'!$C$19),ISERROR('CAJA'!$C$20),ISERROR('CAJA'!$C$21),ISERROR('CAJA'!$C$22),ISERROR('CAJA'!$C$23)),1,IF(OR(AND(LEN(TRIM(G16&amp;""))&gt;0,NOT(IF(ISNUMBER(G16),AND(G16&gt;=0,G16=ROUND(G16,2)),FALSE))),AND(LEN(TRIM(F16&amp;""))&gt;0,NOT(IF(ISNUMBER(F16),AND(F16&gt;=1,F16&lt;=2958465,F16=INT(F16)),FALSE))),AND(LEN(TRIM(D16&amp;""))&gt;0,NOT(OR(D16="Cobro",D16="Pago"))),AND(LEN(TRIM(E16&amp;""))&gt;0,NOT(OR(E16="Previsto",E16="Realizado"))),AND(AND(LEN(TRIM(B16&amp;""))&gt;0,TRIM(B16)&lt;&gt;"Pendiente",TRIM(B16)&lt;&gt;"Por confirmar",TRIM(B16)&lt;&gt;"No consta",TRIM(B16)&lt;&gt;"Desconocido"),SUMPRODUCT(($L$10:$L$69=L16)*1)&gt;1),AND(IF(ISNUMBER(F16),AND(F16&gt;=1,F16&lt;=2958465,F16=INT(F16)),FALSE),IF(ISNUMBER('CAJA'!$C$19),AND('CAJA'!$C$19&gt;=1,'CAJA'!$C$19&lt;=2958465,'CAJA'!$C$19=INT('CAJA'!$C$19)),FALSE),OR(AND(E16="Realizado",F16&gt;'CAJA'!$C$19),AND(E16="Previsto",F16&lt;'CAJA'!$C$19))),AND(IF(ISNUMBER(F16),AND(F16&gt;=1,F16&lt;=2958465,F16=INT(F16)),FALSE),'CAJA'!$L$2=1,F16&lt;'CAJA'!$C$18)),2,IF(AND(AND(LEN(TRIM(B16&amp;""))&gt;0,TRIM(B16)&lt;&gt;"Pendiente",TRIM(B16)&lt;&gt;"Por confirmar",TRIM(B16)&lt;&gt;"No consta",TRIM(B16)&lt;&gt;"Desconocido"),AND(LEN(TRIM(C16&amp;""))&gt;0,TRIM(C16)&lt;&gt;"Pendiente",TRIM(C16)&lt;&gt;"Por confirmar",TRIM(C16)&lt;&gt;"No consta",TRIM(C16)&lt;&gt;"Desconocido"),OR(D16="Cobro",D16="Pago"),OR(E16="Previsto",E16="Realizado"),IF(ISNUMBER(F16),AND(F16&gt;=1,F16&lt;=2958465,F16=INT(F16)),FALSE),IF(ISNUMBER(G16),AND(G16&gt;=0,G16=ROUND(G16,2)),FALSE),AND(LEN(TRIM(H16&amp;""))&gt;0,TRIM(H16)&lt;&gt;"Pendiente",TRIM(H16)&lt;&gt;"Por confirmar",TRIM(H16)&lt;&gt;"No consta",TRIM(H16)&lt;&gt;"Desconocido"),'CAJA'!$L$2=1,IF(ISNUMBER('CAJA'!$C$19),AND('CAJA'!$C$19&gt;=1,'CAJA'!$C$19&lt;=2958465,'CAJA'!$C$19=INT('CAJA'!$C$19)),FALSE),F16&gt;='CAJA'!$C$18,F16&lt;'CAJA'!$L$9,NOT(OR(AND(LEN(TRIM(G16&amp;""))&gt;0,NOT(IF(ISNUMBER(G16),AND(G16&gt;=0,G16=ROUND(G16,2)),FALSE))),AND(LEN(TRIM(F16&amp;""))&gt;0,NOT(IF(ISNUMBER(F16),AND(F16&gt;=1,F16&lt;=2958465,F16=INT(F16)),FALSE))),AND(LEN(TRIM(D16&amp;""))&gt;0,NOT(OR(D16="Cobro",D16="Pago"))),AND(LEN(TRIM(E16&amp;""))&gt;0,NOT(OR(E16="Previsto",E16="Realizado"))),AND(AND(LEN(TRIM(B16&amp;""))&gt;0,TRIM(B16)&lt;&gt;"Pendiente",TRIM(B16)&lt;&gt;"Por confirmar",TRIM(B16)&lt;&gt;"No consta",TRIM(B16)&lt;&gt;"Desconocido"),SUMPRODUCT(($L$10:$L$69=L16)*1)&gt;1),AND(IF(ISNUMBER(F16),AND(F16&gt;=1,F16&lt;=2958465,F16=INT(F16)),FALSE),IF(ISNUMBER('CAJA'!$C$19),AND('CAJA'!$C$19&gt;=1,'CAJA'!$C$19&lt;=2958465,'CAJA'!$C$19=INT('CAJA'!$C$19)),FALSE),OR(AND(E16="Realizado",F16&gt;'CAJA'!$C$19),AND(E16="Previsto",F16&lt;'CAJA'!$C$19))),AND(IF(ISNUMBER(F16),AND(F16&gt;=1,F16&lt;=2958465,F16=INT(F16)),FALSE),'CAJA'!$L$2=1,F16&lt;'CAJA'!$C$18)))),0,1)))))</f>
      </c>
      <c r="N16" t="n" s="27">
        <f>IF(AND(K16=1,ISNUMBER(M16),M16=0),1,0)</f>
        <v>0</v>
      </c>
      <c r="O16" t="str" s="27">
        <f>IF(IF(ISNUMBER(F16),AND(F16&gt;=1,F16&lt;=2958465,F16=INT(F16)),FALSE),F16-WEEKDAY(F16,2)+1,"")</f>
      </c>
      <c r="P16" t="n" s="27">
        <f>IF(AND(K16=1,ISNUMBER(M16),M16&gt;0),IF(NOT(IF(ISNUMBER(F16),AND(F16&gt;=1,F16&lt;=2958465,F16=INT(F16)),FALSE)),1,IF('CAJA'!$L$2&lt;&gt;1,1,IF(OR(F16&lt;'CAJA'!$C$18,F16&gt;='CAJA'!$L$9),1,0))),0)</f>
        <v>0</v>
      </c>
    </row>
    <row r="17" ht="69" customHeight="1">
      <c r="B17" s="34"/>
      <c r="C17" s="34"/>
      <c r="D17" s="34"/>
      <c r="E17" s="34"/>
      <c r="F17" s="35"/>
      <c r="G17" s="36"/>
      <c r="H17" s="34"/>
      <c r="I17" s="33" t="str">
        <f>IF(K17=0,"",IF(M17=2,"ROJO",IF(M17=1,"ÁMBAR","VERDE")))</f>
      </c>
      <c r="J17" s="33" t="str">
        <f>IF(K17=0,"",IF(OR(ISERROR(B17),ISERROR(C17),ISERROR(D17),ISERROR(E17),ISERROR(F17),ISERROR(G17),ISERROR(H17)),"Hay una entrada con error de fórmula. Corregimos el dato; no lo convertimos en cero.",IF(OR(ISERROR('CAJA'!$C$17),ISERROR('CAJA'!$C$18),ISERROR('CAJA'!$C$19),ISERROR('CAJA'!$C$20),ISERROR('CAJA'!$C$21),ISERROR('CAJA'!$C$22),ISERROR('CAJA'!$C$23)),"Corregimos la entrada con error en CAJA antes de validar el movimiento.",IF(AND(AND(LEN(TRIM(B17&amp;""))&gt;0,TRIM(B17)&lt;&gt;"Pendiente",TRIM(B17)&lt;&gt;"Por confirmar",TRIM(B17)&lt;&gt;"No consta",TRIM(B17)&lt;&gt;"Desconocido"),SUMPRODUCT(($L$10:$L$69=L17)*1)&gt;1),"ID repetido: actualizamos el mismo movimiento o separamos únicamente la parte realizada y el resto pendiente.",IF(AND(IF(ISNUMBER(F17),AND(F17&gt;=1,F17&lt;=2958465,F17=INT(F17)),FALSE),IF(ISNUMBER('CAJA'!$C$19),AND('CAJA'!$C$19&gt;=1,'CAJA'!$C$19&lt;=2958465,'CAJA'!$C$19=INT('CAJA'!$C$19)),FALSE),E17="Realizado",F17&gt;'CAJA'!$C$19),"Realizado en fecha posterior al corte: revisamos fecha y estado.",IF(AND(IF(ISNUMBER(F17),AND(F17&gt;=1,F17&lt;=2958465,F17=INT(F17)),FALSE),IF(ISNUMBER('CAJA'!$C$19),AND('CAJA'!$C$19&gt;=1,'CAJA'!$C$19&lt;=2958465,'CAJA'!$C$19=INT('CAJA'!$C$19)),FALSE),E17="Previsto",F17&lt;'CAJA'!$C$19),"Previsión vencida: actualizamos su fecha esperada o registramos el movimiento realizado; no lo damos por cobrado.",IF(AND(IF(ISNUMBER(F17),AND(F17&gt;=1,F17&lt;=2958465,F17=INT(F17)),FALSE),'CAJA'!$L$2=1,F17&lt;'CAJA'!$C$18),"Anterior al horizonte: revisamos si ya está en el saldo inicial para no contarlo dos veces.",IF(OR(AND(LEN(TRIM(G17&amp;""))&gt;0,NOT(IF(ISNUMBER(G17),AND(G17&gt;=0,G17=ROUND(G17,2)),FALSE))),AND(LEN(TRIM(F17&amp;""))&gt;0,NOT(IF(ISNUMBER(F17),AND(F17&gt;=1,F17&lt;=2958465,F17=INT(F17)),FALSE))),AND(LEN(TRIM(D17&amp;""))&gt;0,NOT(OR(D17="Cobro",D17="Pago"))),AND(LEN(TRIM(E17&amp;""))&gt;0,NOT(OR(E17="Previsto",E17="Realizado"))),AND(AND(LEN(TRIM(B17&amp;""))&gt;0,TRIM(B17)&lt;&gt;"Pendiente",TRIM(B17)&lt;&gt;"Por confirmar",TRIM(B17)&lt;&gt;"No consta",TRIM(B17)&lt;&gt;"Desconocido"),SUMPRODUCT(($L$10:$L$69=L17)*1)&gt;1),AND(IF(ISNUMBER(F17),AND(F17&gt;=1,F17&lt;=2958465,F17=INT(F17)),FALSE),IF(ISNUMBER('CAJA'!$C$19),AND('CAJA'!$C$19&gt;=1,'CAJA'!$C$19&lt;=2958465,'CAJA'!$C$19=INT('CAJA'!$C$19)),FALSE),OR(AND(E17="Realizado",F17&gt;'CAJA'!$C$19),AND(E17="Previsto",F17&lt;'CAJA'!$C$19))),AND(IF(ISNUMBER(F17),AND(F17&gt;=1,F17&lt;=2958465,F17=INT(F17)),FALSE),'CAJA'!$L$2=1,F17&lt;'CAJA'!$C$18)),"Revisamos fecha, importe positivo/cero explícito y opciones de sentido/estado. Fechas sin hora e importes a céntimos.",IF(NOT(AND(LEN(TRIM(B17&amp;""))&gt;0,TRIM(B17)&lt;&gt;"Pendiente",TRIM(B17)&lt;&gt;"Por confirmar",TRIM(B17)&lt;&gt;"No consta",TRIM(B17)&lt;&gt;"Desconocido")),"Asignamos un identificador único.",IF(NOT(AND(LEN(TRIM(C17&amp;""))&gt;0,TRIM(C17)&lt;&gt;"Pendiente",TRIM(C17)&lt;&gt;"Por confirmar",TRIM(C17)&lt;&gt;"No consta",TRIM(C17)&lt;&gt;"Desconocido")),"Identificamos el concepto.",IF(NOT(OR(D17="Cobro",D17="Pago")),"Elegimos Cobro o Pago.",IF(NOT(OR(E17="Previsto",E17="Realizado")),"Elegimos Previsto o Realizado según lo acreditado.",IF(NOT(IF(ISNUMBER(F17),AND(F17&gt;=1,F17&lt;=2958465,F17=INT(F17)),FALSE)),"Falta fecha/semana: un plazo relativo o la fecha de una oferta no bastan.",IF(NOT(IF(ISNUMBER(G17),AND(G17&gt;=0,G17=ROUND(G17,2)),FALSE)),"Falta importe efectivo; el total de presupuesto no acredita este movimiento.",IF(NOT(AND(LEN(TRIM(H17&amp;""))&gt;0,TRIM(H17)&lt;&gt;"Pendiente",TRIM(H17)&lt;&gt;"Por confirmar",TRIM(H17)&lt;&gt;"No consta",TRIM(H17)&lt;&gt;"Desconocido")),"Identificamos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CAJA.",IF(AND(IF(ISNUMBER(F17),AND(F17&gt;=1,F17&lt;=2958465,F17=INT(F17)),FALSE),'CAJA'!$L$2=1,F17&gt;='CAJA'!$L$9),"Fuera del horizonte: ampliamos semanas (hasta 26) o revisamos la ventana. Aquí no se suma.","Dato registrado para la previsión; el estado Realizado requiere su evidencia de cobro/pago."))))))))))))))))))</f>
      </c>
      <c r="K17" t="n" s="27">
        <f>IF(COUNTA(B17:H17)&gt;0,1,0)</f>
        <v>0</v>
      </c>
      <c r="L17" t="str" s="27">
        <f>IF(COUNTA(B17:H17)&gt;0,IFERROR("ID:"&amp;UPPER(TRIM(B17&amp;"")),""),"")</f>
      </c>
      <c r="M17" t="str" s="27">
        <f>IF(NOT(COUNTA(B17:H17)&gt;0),"",IF(OR(ISERROR(B17),ISERROR(C17),ISERROR(D17),ISERROR(E17),ISERROR(F17),ISERROR(G17),ISERROR(H17)),2,IF(OR(ISERROR('CAJA'!$C$17),ISERROR('CAJA'!$C$18),ISERROR('CAJA'!$C$19),ISERROR('CAJA'!$C$20),ISERROR('CAJA'!$C$21),ISERROR('CAJA'!$C$22),ISERROR('CAJA'!$C$23)),1,IF(OR(AND(LEN(TRIM(G17&amp;""))&gt;0,NOT(IF(ISNUMBER(G17),AND(G17&gt;=0,G17=ROUND(G17,2)),FALSE))),AND(LEN(TRIM(F17&amp;""))&gt;0,NOT(IF(ISNUMBER(F17),AND(F17&gt;=1,F17&lt;=2958465,F17=INT(F17)),FALSE))),AND(LEN(TRIM(D17&amp;""))&gt;0,NOT(OR(D17="Cobro",D17="Pago"))),AND(LEN(TRIM(E17&amp;""))&gt;0,NOT(OR(E17="Previsto",E17="Realizado"))),AND(AND(LEN(TRIM(B17&amp;""))&gt;0,TRIM(B17)&lt;&gt;"Pendiente",TRIM(B17)&lt;&gt;"Por confirmar",TRIM(B17)&lt;&gt;"No consta",TRIM(B17)&lt;&gt;"Desconocido"),SUMPRODUCT(($L$10:$L$69=L17)*1)&gt;1),AND(IF(ISNUMBER(F17),AND(F17&gt;=1,F17&lt;=2958465,F17=INT(F17)),FALSE),IF(ISNUMBER('CAJA'!$C$19),AND('CAJA'!$C$19&gt;=1,'CAJA'!$C$19&lt;=2958465,'CAJA'!$C$19=INT('CAJA'!$C$19)),FALSE),OR(AND(E17="Realizado",F17&gt;'CAJA'!$C$19),AND(E17="Previsto",F17&lt;'CAJA'!$C$19))),AND(IF(ISNUMBER(F17),AND(F17&gt;=1,F17&lt;=2958465,F17=INT(F17)),FALSE),'CAJA'!$L$2=1,F17&lt;'CAJA'!$C$18)),2,IF(AND(AND(LEN(TRIM(B17&amp;""))&gt;0,TRIM(B17)&lt;&gt;"Pendiente",TRIM(B17)&lt;&gt;"Por confirmar",TRIM(B17)&lt;&gt;"No consta",TRIM(B17)&lt;&gt;"Desconocido"),AND(LEN(TRIM(C17&amp;""))&gt;0,TRIM(C17)&lt;&gt;"Pendiente",TRIM(C17)&lt;&gt;"Por confirmar",TRIM(C17)&lt;&gt;"No consta",TRIM(C17)&lt;&gt;"Desconocido"),OR(D17="Cobro",D17="Pago"),OR(E17="Previsto",E17="Realizado"),IF(ISNUMBER(F17),AND(F17&gt;=1,F17&lt;=2958465,F17=INT(F17)),FALSE),IF(ISNUMBER(G17),AND(G17&gt;=0,G17=ROUND(G17,2)),FALSE),AND(LEN(TRIM(H17&amp;""))&gt;0,TRIM(H17)&lt;&gt;"Pendiente",TRIM(H17)&lt;&gt;"Por confirmar",TRIM(H17)&lt;&gt;"No consta",TRIM(H17)&lt;&gt;"Desconocido"),'CAJA'!$L$2=1,IF(ISNUMBER('CAJA'!$C$19),AND('CAJA'!$C$19&gt;=1,'CAJA'!$C$19&lt;=2958465,'CAJA'!$C$19=INT('CAJA'!$C$19)),FALSE),F17&gt;='CAJA'!$C$18,F17&lt;'CAJA'!$L$9,NOT(OR(AND(LEN(TRIM(G17&amp;""))&gt;0,NOT(IF(ISNUMBER(G17),AND(G17&gt;=0,G17=ROUND(G17,2)),FALSE))),AND(LEN(TRIM(F17&amp;""))&gt;0,NOT(IF(ISNUMBER(F17),AND(F17&gt;=1,F17&lt;=2958465,F17=INT(F17)),FALSE))),AND(LEN(TRIM(D17&amp;""))&gt;0,NOT(OR(D17="Cobro",D17="Pago"))),AND(LEN(TRIM(E17&amp;""))&gt;0,NOT(OR(E17="Previsto",E17="Realizado"))),AND(AND(LEN(TRIM(B17&amp;""))&gt;0,TRIM(B17)&lt;&gt;"Pendiente",TRIM(B17)&lt;&gt;"Por confirmar",TRIM(B17)&lt;&gt;"No consta",TRIM(B17)&lt;&gt;"Desconocido"),SUMPRODUCT(($L$10:$L$69=L17)*1)&gt;1),AND(IF(ISNUMBER(F17),AND(F17&gt;=1,F17&lt;=2958465,F17=INT(F17)),FALSE),IF(ISNUMBER('CAJA'!$C$19),AND('CAJA'!$C$19&gt;=1,'CAJA'!$C$19&lt;=2958465,'CAJA'!$C$19=INT('CAJA'!$C$19)),FALSE),OR(AND(E17="Realizado",F17&gt;'CAJA'!$C$19),AND(E17="Previsto",F17&lt;'CAJA'!$C$19))),AND(IF(ISNUMBER(F17),AND(F17&gt;=1,F17&lt;=2958465,F17=INT(F17)),FALSE),'CAJA'!$L$2=1,F17&lt;'CAJA'!$C$18)))),0,1)))))</f>
      </c>
      <c r="N17" t="n" s="27">
        <f>IF(AND(K17=1,ISNUMBER(M17),M17=0),1,0)</f>
        <v>0</v>
      </c>
      <c r="O17" t="str" s="27">
        <f>IF(IF(ISNUMBER(F17),AND(F17&gt;=1,F17&lt;=2958465,F17=INT(F17)),FALSE),F17-WEEKDAY(F17,2)+1,"")</f>
      </c>
      <c r="P17" t="n" s="27">
        <f>IF(AND(K17=1,ISNUMBER(M17),M17&gt;0),IF(NOT(IF(ISNUMBER(F17),AND(F17&gt;=1,F17&lt;=2958465,F17=INT(F17)),FALSE)),1,IF('CAJA'!$L$2&lt;&gt;1,1,IF(OR(F17&lt;'CAJA'!$C$18,F17&gt;='CAJA'!$L$9),1,0))),0)</f>
        <v>0</v>
      </c>
    </row>
    <row r="18" ht="69" customHeight="1">
      <c r="B18" s="34"/>
      <c r="C18" s="34"/>
      <c r="D18" s="34"/>
      <c r="E18" s="34"/>
      <c r="F18" s="35"/>
      <c r="G18" s="36"/>
      <c r="H18" s="34"/>
      <c r="I18" s="33" t="str">
        <f>IF(K18=0,"",IF(M18=2,"ROJO",IF(M18=1,"ÁMBAR","VERDE")))</f>
      </c>
      <c r="J18" s="33" t="str">
        <f>IF(K18=0,"",IF(OR(ISERROR(B18),ISERROR(C18),ISERROR(D18),ISERROR(E18),ISERROR(F18),ISERROR(G18),ISERROR(H18)),"Hay una entrada con error de fórmula. Corregimos el dato; no lo convertimos en cero.",IF(OR(ISERROR('CAJA'!$C$17),ISERROR('CAJA'!$C$18),ISERROR('CAJA'!$C$19),ISERROR('CAJA'!$C$20),ISERROR('CAJA'!$C$21),ISERROR('CAJA'!$C$22),ISERROR('CAJA'!$C$23)),"Corregimos la entrada con error en CAJA antes de validar el movimiento.",IF(AND(AND(LEN(TRIM(B18&amp;""))&gt;0,TRIM(B18)&lt;&gt;"Pendiente",TRIM(B18)&lt;&gt;"Por confirmar",TRIM(B18)&lt;&gt;"No consta",TRIM(B18)&lt;&gt;"Desconocido"),SUMPRODUCT(($L$10:$L$69=L18)*1)&gt;1),"ID repetido: actualizamos el mismo movimiento o separamos únicamente la parte realizada y el resto pendiente.",IF(AND(IF(ISNUMBER(F18),AND(F18&gt;=1,F18&lt;=2958465,F18=INT(F18)),FALSE),IF(ISNUMBER('CAJA'!$C$19),AND('CAJA'!$C$19&gt;=1,'CAJA'!$C$19&lt;=2958465,'CAJA'!$C$19=INT('CAJA'!$C$19)),FALSE),E18="Realizado",F18&gt;'CAJA'!$C$19),"Realizado en fecha posterior al corte: revisamos fecha y estado.",IF(AND(IF(ISNUMBER(F18),AND(F18&gt;=1,F18&lt;=2958465,F18=INT(F18)),FALSE),IF(ISNUMBER('CAJA'!$C$19),AND('CAJA'!$C$19&gt;=1,'CAJA'!$C$19&lt;=2958465,'CAJA'!$C$19=INT('CAJA'!$C$19)),FALSE),E18="Previsto",F18&lt;'CAJA'!$C$19),"Previsión vencida: actualizamos su fecha esperada o registramos el movimiento realizado; no lo damos por cobrado.",IF(AND(IF(ISNUMBER(F18),AND(F18&gt;=1,F18&lt;=2958465,F18=INT(F18)),FALSE),'CAJA'!$L$2=1,F18&lt;'CAJA'!$C$18),"Anterior al horizonte: revisamos si ya está en el saldo inicial para no contarlo dos veces.",IF(OR(AND(LEN(TRIM(G18&amp;""))&gt;0,NOT(IF(ISNUMBER(G18),AND(G18&gt;=0,G18=ROUND(G18,2)),FALSE))),AND(LEN(TRIM(F18&amp;""))&gt;0,NOT(IF(ISNUMBER(F18),AND(F18&gt;=1,F18&lt;=2958465,F18=INT(F18)),FALSE))),AND(LEN(TRIM(D18&amp;""))&gt;0,NOT(OR(D18="Cobro",D18="Pago"))),AND(LEN(TRIM(E18&amp;""))&gt;0,NOT(OR(E18="Previsto",E18="Realizado"))),AND(AND(LEN(TRIM(B18&amp;""))&gt;0,TRIM(B18)&lt;&gt;"Pendiente",TRIM(B18)&lt;&gt;"Por confirmar",TRIM(B18)&lt;&gt;"No consta",TRIM(B18)&lt;&gt;"Desconocido"),SUMPRODUCT(($L$10:$L$69=L18)*1)&gt;1),AND(IF(ISNUMBER(F18),AND(F18&gt;=1,F18&lt;=2958465,F18=INT(F18)),FALSE),IF(ISNUMBER('CAJA'!$C$19),AND('CAJA'!$C$19&gt;=1,'CAJA'!$C$19&lt;=2958465,'CAJA'!$C$19=INT('CAJA'!$C$19)),FALSE),OR(AND(E18="Realizado",F18&gt;'CAJA'!$C$19),AND(E18="Previsto",F18&lt;'CAJA'!$C$19))),AND(IF(ISNUMBER(F18),AND(F18&gt;=1,F18&lt;=2958465,F18=INT(F18)),FALSE),'CAJA'!$L$2=1,F18&lt;'CAJA'!$C$18)),"Revisamos fecha, importe positivo/cero explícito y opciones de sentido/estado. Fechas sin hora e importes a céntimos.",IF(NOT(AND(LEN(TRIM(B18&amp;""))&gt;0,TRIM(B18)&lt;&gt;"Pendiente",TRIM(B18)&lt;&gt;"Por confirmar",TRIM(B18)&lt;&gt;"No consta",TRIM(B18)&lt;&gt;"Desconocido")),"Asignamos un identificador único.",IF(NOT(AND(LEN(TRIM(C18&amp;""))&gt;0,TRIM(C18)&lt;&gt;"Pendiente",TRIM(C18)&lt;&gt;"Por confirmar",TRIM(C18)&lt;&gt;"No consta",TRIM(C18)&lt;&gt;"Desconocido")),"Identificamos el concepto.",IF(NOT(OR(D18="Cobro",D18="Pago")),"Elegimos Cobro o Pago.",IF(NOT(OR(E18="Previsto",E18="Realizado")),"Elegimos Previsto o Realizado según lo acreditado.",IF(NOT(IF(ISNUMBER(F18),AND(F18&gt;=1,F18&lt;=2958465,F18=INT(F18)),FALSE)),"Falta fecha/semana: un plazo relativo o la fecha de una oferta no bastan.",IF(NOT(IF(ISNUMBER(G18),AND(G18&gt;=0,G18=ROUND(G18,2)),FALSE)),"Falta importe efectivo; el total de presupuesto no acredita este movimiento.",IF(NOT(AND(LEN(TRIM(H18&amp;""))&gt;0,TRIM(H18)&lt;&gt;"Pendiente",TRIM(H18)&lt;&gt;"Por confirmar",TRIM(H18)&lt;&gt;"No consta",TRIM(H18)&lt;&gt;"Desconocido")),"Identificamos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CAJA.",IF(AND(IF(ISNUMBER(F18),AND(F18&gt;=1,F18&lt;=2958465,F18=INT(F18)),FALSE),'CAJA'!$L$2=1,F18&gt;='CAJA'!$L$9),"Fuera del horizonte: ampliamos semanas (hasta 26) o revisamos la ventana. Aquí no se suma.","Dato registrado para la previsión; el estado Realizado requiere su evidencia de cobro/pago."))))))))))))))))))</f>
      </c>
      <c r="K18" t="n" s="27">
        <f>IF(COUNTA(B18:H18)&gt;0,1,0)</f>
        <v>0</v>
      </c>
      <c r="L18" t="str" s="27">
        <f>IF(COUNTA(B18:H18)&gt;0,IFERROR("ID:"&amp;UPPER(TRIM(B18&amp;"")),""),"")</f>
      </c>
      <c r="M18" t="str" s="27">
        <f>IF(NOT(COUNTA(B18:H18)&gt;0),"",IF(OR(ISERROR(B18),ISERROR(C18),ISERROR(D18),ISERROR(E18),ISERROR(F18),ISERROR(G18),ISERROR(H18)),2,IF(OR(ISERROR('CAJA'!$C$17),ISERROR('CAJA'!$C$18),ISERROR('CAJA'!$C$19),ISERROR('CAJA'!$C$20),ISERROR('CAJA'!$C$21),ISERROR('CAJA'!$C$22),ISERROR('CAJA'!$C$23)),1,IF(OR(AND(LEN(TRIM(G18&amp;""))&gt;0,NOT(IF(ISNUMBER(G18),AND(G18&gt;=0,G18=ROUND(G18,2)),FALSE))),AND(LEN(TRIM(F18&amp;""))&gt;0,NOT(IF(ISNUMBER(F18),AND(F18&gt;=1,F18&lt;=2958465,F18=INT(F18)),FALSE))),AND(LEN(TRIM(D18&amp;""))&gt;0,NOT(OR(D18="Cobro",D18="Pago"))),AND(LEN(TRIM(E18&amp;""))&gt;0,NOT(OR(E18="Previsto",E18="Realizado"))),AND(AND(LEN(TRIM(B18&amp;""))&gt;0,TRIM(B18)&lt;&gt;"Pendiente",TRIM(B18)&lt;&gt;"Por confirmar",TRIM(B18)&lt;&gt;"No consta",TRIM(B18)&lt;&gt;"Desconocido"),SUMPRODUCT(($L$10:$L$69=L18)*1)&gt;1),AND(IF(ISNUMBER(F18),AND(F18&gt;=1,F18&lt;=2958465,F18=INT(F18)),FALSE),IF(ISNUMBER('CAJA'!$C$19),AND('CAJA'!$C$19&gt;=1,'CAJA'!$C$19&lt;=2958465,'CAJA'!$C$19=INT('CAJA'!$C$19)),FALSE),OR(AND(E18="Realizado",F18&gt;'CAJA'!$C$19),AND(E18="Previsto",F18&lt;'CAJA'!$C$19))),AND(IF(ISNUMBER(F18),AND(F18&gt;=1,F18&lt;=2958465,F18=INT(F18)),FALSE),'CAJA'!$L$2=1,F18&lt;'CAJA'!$C$18)),2,IF(AND(AND(LEN(TRIM(B18&amp;""))&gt;0,TRIM(B18)&lt;&gt;"Pendiente",TRIM(B18)&lt;&gt;"Por confirmar",TRIM(B18)&lt;&gt;"No consta",TRIM(B18)&lt;&gt;"Desconocido"),AND(LEN(TRIM(C18&amp;""))&gt;0,TRIM(C18)&lt;&gt;"Pendiente",TRIM(C18)&lt;&gt;"Por confirmar",TRIM(C18)&lt;&gt;"No consta",TRIM(C18)&lt;&gt;"Desconocido"),OR(D18="Cobro",D18="Pago"),OR(E18="Previsto",E18="Realizado"),IF(ISNUMBER(F18),AND(F18&gt;=1,F18&lt;=2958465,F18=INT(F18)),FALSE),IF(ISNUMBER(G18),AND(G18&gt;=0,G18=ROUND(G18,2)),FALSE),AND(LEN(TRIM(H18&amp;""))&gt;0,TRIM(H18)&lt;&gt;"Pendiente",TRIM(H18)&lt;&gt;"Por confirmar",TRIM(H18)&lt;&gt;"No consta",TRIM(H18)&lt;&gt;"Desconocido"),'CAJA'!$L$2=1,IF(ISNUMBER('CAJA'!$C$19),AND('CAJA'!$C$19&gt;=1,'CAJA'!$C$19&lt;=2958465,'CAJA'!$C$19=INT('CAJA'!$C$19)),FALSE),F18&gt;='CAJA'!$C$18,F18&lt;'CAJA'!$L$9,NOT(OR(AND(LEN(TRIM(G18&amp;""))&gt;0,NOT(IF(ISNUMBER(G18),AND(G18&gt;=0,G18=ROUND(G18,2)),FALSE))),AND(LEN(TRIM(F18&amp;""))&gt;0,NOT(IF(ISNUMBER(F18),AND(F18&gt;=1,F18&lt;=2958465,F18=INT(F18)),FALSE))),AND(LEN(TRIM(D18&amp;""))&gt;0,NOT(OR(D18="Cobro",D18="Pago"))),AND(LEN(TRIM(E18&amp;""))&gt;0,NOT(OR(E18="Previsto",E18="Realizado"))),AND(AND(LEN(TRIM(B18&amp;""))&gt;0,TRIM(B18)&lt;&gt;"Pendiente",TRIM(B18)&lt;&gt;"Por confirmar",TRIM(B18)&lt;&gt;"No consta",TRIM(B18)&lt;&gt;"Desconocido"),SUMPRODUCT(($L$10:$L$69=L18)*1)&gt;1),AND(IF(ISNUMBER(F18),AND(F18&gt;=1,F18&lt;=2958465,F18=INT(F18)),FALSE),IF(ISNUMBER('CAJA'!$C$19),AND('CAJA'!$C$19&gt;=1,'CAJA'!$C$19&lt;=2958465,'CAJA'!$C$19=INT('CAJA'!$C$19)),FALSE),OR(AND(E18="Realizado",F18&gt;'CAJA'!$C$19),AND(E18="Previsto",F18&lt;'CAJA'!$C$19))),AND(IF(ISNUMBER(F18),AND(F18&gt;=1,F18&lt;=2958465,F18=INT(F18)),FALSE),'CAJA'!$L$2=1,F18&lt;'CAJA'!$C$18)))),0,1)))))</f>
      </c>
      <c r="N18" t="n" s="27">
        <f>IF(AND(K18=1,ISNUMBER(M18),M18=0),1,0)</f>
        <v>0</v>
      </c>
      <c r="O18" t="str" s="27">
        <f>IF(IF(ISNUMBER(F18),AND(F18&gt;=1,F18&lt;=2958465,F18=INT(F18)),FALSE),F18-WEEKDAY(F18,2)+1,"")</f>
      </c>
      <c r="P18" t="n" s="27">
        <f>IF(AND(K18=1,ISNUMBER(M18),M18&gt;0),IF(NOT(IF(ISNUMBER(F18),AND(F18&gt;=1,F18&lt;=2958465,F18=INT(F18)),FALSE)),1,IF('CAJA'!$L$2&lt;&gt;1,1,IF(OR(F18&lt;'CAJA'!$C$18,F18&gt;='CAJA'!$L$9),1,0))),0)</f>
        <v>0</v>
      </c>
    </row>
    <row r="19" ht="69" customHeight="1">
      <c r="B19" s="34"/>
      <c r="C19" s="34"/>
      <c r="D19" s="34"/>
      <c r="E19" s="34"/>
      <c r="F19" s="35"/>
      <c r="G19" s="36"/>
      <c r="H19" s="34"/>
      <c r="I19" s="33" t="str">
        <f>IF(K19=0,"",IF(M19=2,"ROJO",IF(M19=1,"ÁMBAR","VERDE")))</f>
      </c>
      <c r="J19" s="33" t="str">
        <f>IF(K19=0,"",IF(OR(ISERROR(B19),ISERROR(C19),ISERROR(D19),ISERROR(E19),ISERROR(F19),ISERROR(G19),ISERROR(H19)),"Hay una entrada con error de fórmula. Corregimos el dato; no lo convertimos en cero.",IF(OR(ISERROR('CAJA'!$C$17),ISERROR('CAJA'!$C$18),ISERROR('CAJA'!$C$19),ISERROR('CAJA'!$C$20),ISERROR('CAJA'!$C$21),ISERROR('CAJA'!$C$22),ISERROR('CAJA'!$C$23)),"Corregimos la entrada con error en CAJA antes de validar el movimiento.",IF(AND(AND(LEN(TRIM(B19&amp;""))&gt;0,TRIM(B19)&lt;&gt;"Pendiente",TRIM(B19)&lt;&gt;"Por confirmar",TRIM(B19)&lt;&gt;"No consta",TRIM(B19)&lt;&gt;"Desconocido"),SUMPRODUCT(($L$10:$L$69=L19)*1)&gt;1),"ID repetido: actualizamos el mismo movimiento o separamos únicamente la parte realizada y el resto pendiente.",IF(AND(IF(ISNUMBER(F19),AND(F19&gt;=1,F19&lt;=2958465,F19=INT(F19)),FALSE),IF(ISNUMBER('CAJA'!$C$19),AND('CAJA'!$C$19&gt;=1,'CAJA'!$C$19&lt;=2958465,'CAJA'!$C$19=INT('CAJA'!$C$19)),FALSE),E19="Realizado",F19&gt;'CAJA'!$C$19),"Realizado en fecha posterior al corte: revisamos fecha y estado.",IF(AND(IF(ISNUMBER(F19),AND(F19&gt;=1,F19&lt;=2958465,F19=INT(F19)),FALSE),IF(ISNUMBER('CAJA'!$C$19),AND('CAJA'!$C$19&gt;=1,'CAJA'!$C$19&lt;=2958465,'CAJA'!$C$19=INT('CAJA'!$C$19)),FALSE),E19="Previsto",F19&lt;'CAJA'!$C$19),"Previsión vencida: actualizamos su fecha esperada o registramos el movimiento realizado; no lo damos por cobrado.",IF(AND(IF(ISNUMBER(F19),AND(F19&gt;=1,F19&lt;=2958465,F19=INT(F19)),FALSE),'CAJA'!$L$2=1,F19&lt;'CAJA'!$C$18),"Anterior al horizonte: revisamos si ya está en el saldo inicial para no contarlo dos veces.",IF(OR(AND(LEN(TRIM(G19&amp;""))&gt;0,NOT(IF(ISNUMBER(G19),AND(G19&gt;=0,G19=ROUND(G19,2)),FALSE))),AND(LEN(TRIM(F19&amp;""))&gt;0,NOT(IF(ISNUMBER(F19),AND(F19&gt;=1,F19&lt;=2958465,F19=INT(F19)),FALSE))),AND(LEN(TRIM(D19&amp;""))&gt;0,NOT(OR(D19="Cobro",D19="Pago"))),AND(LEN(TRIM(E19&amp;""))&gt;0,NOT(OR(E19="Previsto",E19="Realizado"))),AND(AND(LEN(TRIM(B19&amp;""))&gt;0,TRIM(B19)&lt;&gt;"Pendiente",TRIM(B19)&lt;&gt;"Por confirmar",TRIM(B19)&lt;&gt;"No consta",TRIM(B19)&lt;&gt;"Desconocido"),SUMPRODUCT(($L$10:$L$69=L19)*1)&gt;1),AND(IF(ISNUMBER(F19),AND(F19&gt;=1,F19&lt;=2958465,F19=INT(F19)),FALSE),IF(ISNUMBER('CAJA'!$C$19),AND('CAJA'!$C$19&gt;=1,'CAJA'!$C$19&lt;=2958465,'CAJA'!$C$19=INT('CAJA'!$C$19)),FALSE),OR(AND(E19="Realizado",F19&gt;'CAJA'!$C$19),AND(E19="Previsto",F19&lt;'CAJA'!$C$19))),AND(IF(ISNUMBER(F19),AND(F19&gt;=1,F19&lt;=2958465,F19=INT(F19)),FALSE),'CAJA'!$L$2=1,F19&lt;'CAJA'!$C$18)),"Revisamos fecha, importe positivo/cero explícito y opciones de sentido/estado. Fechas sin hora e importes a céntimos.",IF(NOT(AND(LEN(TRIM(B19&amp;""))&gt;0,TRIM(B19)&lt;&gt;"Pendiente",TRIM(B19)&lt;&gt;"Por confirmar",TRIM(B19)&lt;&gt;"No consta",TRIM(B19)&lt;&gt;"Desconocido")),"Asignamos un identificador único.",IF(NOT(AND(LEN(TRIM(C19&amp;""))&gt;0,TRIM(C19)&lt;&gt;"Pendiente",TRIM(C19)&lt;&gt;"Por confirmar",TRIM(C19)&lt;&gt;"No consta",TRIM(C19)&lt;&gt;"Desconocido")),"Identificamos el concepto.",IF(NOT(OR(D19="Cobro",D19="Pago")),"Elegimos Cobro o Pago.",IF(NOT(OR(E19="Previsto",E19="Realizado")),"Elegimos Previsto o Realizado según lo acreditado.",IF(NOT(IF(ISNUMBER(F19),AND(F19&gt;=1,F19&lt;=2958465,F19=INT(F19)),FALSE)),"Falta fecha/semana: un plazo relativo o la fecha de una oferta no bastan.",IF(NOT(IF(ISNUMBER(G19),AND(G19&gt;=0,G19=ROUND(G19,2)),FALSE)),"Falta importe efectivo; el total de presupuesto no acredita este movimiento.",IF(NOT(AND(LEN(TRIM(H19&amp;""))&gt;0,TRIM(H19)&lt;&gt;"Pendiente",TRIM(H19)&lt;&gt;"Por confirmar",TRIM(H19)&lt;&gt;"No consta",TRIM(H19)&lt;&gt;"Desconocido")),"Identificamos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CAJA.",IF(AND(IF(ISNUMBER(F19),AND(F19&gt;=1,F19&lt;=2958465,F19=INT(F19)),FALSE),'CAJA'!$L$2=1,F19&gt;='CAJA'!$L$9),"Fuera del horizonte: ampliamos semanas (hasta 26) o revisamos la ventana. Aquí no se suma.","Dato registrado para la previsión; el estado Realizado requiere su evidencia de cobro/pago."))))))))))))))))))</f>
      </c>
      <c r="K19" t="n" s="27">
        <f>IF(COUNTA(B19:H19)&gt;0,1,0)</f>
        <v>0</v>
      </c>
      <c r="L19" t="str" s="27">
        <f>IF(COUNTA(B19:H19)&gt;0,IFERROR("ID:"&amp;UPPER(TRIM(B19&amp;"")),""),"")</f>
      </c>
      <c r="M19" t="str" s="27">
        <f>IF(NOT(COUNTA(B19:H19)&gt;0),"",IF(OR(ISERROR(B19),ISERROR(C19),ISERROR(D19),ISERROR(E19),ISERROR(F19),ISERROR(G19),ISERROR(H19)),2,IF(OR(ISERROR('CAJA'!$C$17),ISERROR('CAJA'!$C$18),ISERROR('CAJA'!$C$19),ISERROR('CAJA'!$C$20),ISERROR('CAJA'!$C$21),ISERROR('CAJA'!$C$22),ISERROR('CAJA'!$C$23)),1,IF(OR(AND(LEN(TRIM(G19&amp;""))&gt;0,NOT(IF(ISNUMBER(G19),AND(G19&gt;=0,G19=ROUND(G19,2)),FALSE))),AND(LEN(TRIM(F19&amp;""))&gt;0,NOT(IF(ISNUMBER(F19),AND(F19&gt;=1,F19&lt;=2958465,F19=INT(F19)),FALSE))),AND(LEN(TRIM(D19&amp;""))&gt;0,NOT(OR(D19="Cobro",D19="Pago"))),AND(LEN(TRIM(E19&amp;""))&gt;0,NOT(OR(E19="Previsto",E19="Realizado"))),AND(AND(LEN(TRIM(B19&amp;""))&gt;0,TRIM(B19)&lt;&gt;"Pendiente",TRIM(B19)&lt;&gt;"Por confirmar",TRIM(B19)&lt;&gt;"No consta",TRIM(B19)&lt;&gt;"Desconocido"),SUMPRODUCT(($L$10:$L$69=L19)*1)&gt;1),AND(IF(ISNUMBER(F19),AND(F19&gt;=1,F19&lt;=2958465,F19=INT(F19)),FALSE),IF(ISNUMBER('CAJA'!$C$19),AND('CAJA'!$C$19&gt;=1,'CAJA'!$C$19&lt;=2958465,'CAJA'!$C$19=INT('CAJA'!$C$19)),FALSE),OR(AND(E19="Realizado",F19&gt;'CAJA'!$C$19),AND(E19="Previsto",F19&lt;'CAJA'!$C$19))),AND(IF(ISNUMBER(F19),AND(F19&gt;=1,F19&lt;=2958465,F19=INT(F19)),FALSE),'CAJA'!$L$2=1,F19&lt;'CAJA'!$C$18)),2,IF(AND(AND(LEN(TRIM(B19&amp;""))&gt;0,TRIM(B19)&lt;&gt;"Pendiente",TRIM(B19)&lt;&gt;"Por confirmar",TRIM(B19)&lt;&gt;"No consta",TRIM(B19)&lt;&gt;"Desconocido"),AND(LEN(TRIM(C19&amp;""))&gt;0,TRIM(C19)&lt;&gt;"Pendiente",TRIM(C19)&lt;&gt;"Por confirmar",TRIM(C19)&lt;&gt;"No consta",TRIM(C19)&lt;&gt;"Desconocido"),OR(D19="Cobro",D19="Pago"),OR(E19="Previsto",E19="Realizado"),IF(ISNUMBER(F19),AND(F19&gt;=1,F19&lt;=2958465,F19=INT(F19)),FALSE),IF(ISNUMBER(G19),AND(G19&gt;=0,G19=ROUND(G19,2)),FALSE),AND(LEN(TRIM(H19&amp;""))&gt;0,TRIM(H19)&lt;&gt;"Pendiente",TRIM(H19)&lt;&gt;"Por confirmar",TRIM(H19)&lt;&gt;"No consta",TRIM(H19)&lt;&gt;"Desconocido"),'CAJA'!$L$2=1,IF(ISNUMBER('CAJA'!$C$19),AND('CAJA'!$C$19&gt;=1,'CAJA'!$C$19&lt;=2958465,'CAJA'!$C$19=INT('CAJA'!$C$19)),FALSE),F19&gt;='CAJA'!$C$18,F19&lt;'CAJA'!$L$9,NOT(OR(AND(LEN(TRIM(G19&amp;""))&gt;0,NOT(IF(ISNUMBER(G19),AND(G19&gt;=0,G19=ROUND(G19,2)),FALSE))),AND(LEN(TRIM(F19&amp;""))&gt;0,NOT(IF(ISNUMBER(F19),AND(F19&gt;=1,F19&lt;=2958465,F19=INT(F19)),FALSE))),AND(LEN(TRIM(D19&amp;""))&gt;0,NOT(OR(D19="Cobro",D19="Pago"))),AND(LEN(TRIM(E19&amp;""))&gt;0,NOT(OR(E19="Previsto",E19="Realizado"))),AND(AND(LEN(TRIM(B19&amp;""))&gt;0,TRIM(B19)&lt;&gt;"Pendiente",TRIM(B19)&lt;&gt;"Por confirmar",TRIM(B19)&lt;&gt;"No consta",TRIM(B19)&lt;&gt;"Desconocido"),SUMPRODUCT(($L$10:$L$69=L19)*1)&gt;1),AND(IF(ISNUMBER(F19),AND(F19&gt;=1,F19&lt;=2958465,F19=INT(F19)),FALSE),IF(ISNUMBER('CAJA'!$C$19),AND('CAJA'!$C$19&gt;=1,'CAJA'!$C$19&lt;=2958465,'CAJA'!$C$19=INT('CAJA'!$C$19)),FALSE),OR(AND(E19="Realizado",F19&gt;'CAJA'!$C$19),AND(E19="Previsto",F19&lt;'CAJA'!$C$19))),AND(IF(ISNUMBER(F19),AND(F19&gt;=1,F19&lt;=2958465,F19=INT(F19)),FALSE),'CAJA'!$L$2=1,F19&lt;'CAJA'!$C$18)))),0,1)))))</f>
      </c>
      <c r="N19" t="n" s="27">
        <f>IF(AND(K19=1,ISNUMBER(M19),M19=0),1,0)</f>
        <v>0</v>
      </c>
      <c r="O19" t="str" s="27">
        <f>IF(IF(ISNUMBER(F19),AND(F19&gt;=1,F19&lt;=2958465,F19=INT(F19)),FALSE),F19-WEEKDAY(F19,2)+1,"")</f>
      </c>
      <c r="P19" t="n" s="27">
        <f>IF(AND(K19=1,ISNUMBER(M19),M19&gt;0),IF(NOT(IF(ISNUMBER(F19),AND(F19&gt;=1,F19&lt;=2958465,F19=INT(F19)),FALSE)),1,IF('CAJA'!$L$2&lt;&gt;1,1,IF(OR(F19&lt;'CAJA'!$C$18,F19&gt;='CAJA'!$L$9),1,0))),0)</f>
        <v>0</v>
      </c>
    </row>
    <row r="20" ht="69" customHeight="1">
      <c r="B20" s="34"/>
      <c r="C20" s="34"/>
      <c r="D20" s="34"/>
      <c r="E20" s="34"/>
      <c r="F20" s="35"/>
      <c r="G20" s="36"/>
      <c r="H20" s="34"/>
      <c r="I20" s="33" t="str">
        <f>IF(K20=0,"",IF(M20=2,"ROJO",IF(M20=1,"ÁMBAR","VERDE")))</f>
      </c>
      <c r="J20" s="33" t="str">
        <f>IF(K20=0,"",IF(OR(ISERROR(B20),ISERROR(C20),ISERROR(D20),ISERROR(E20),ISERROR(F20),ISERROR(G20),ISERROR(H20)),"Hay una entrada con error de fórmula. Corregimos el dato; no lo convertimos en cero.",IF(OR(ISERROR('CAJA'!$C$17),ISERROR('CAJA'!$C$18),ISERROR('CAJA'!$C$19),ISERROR('CAJA'!$C$20),ISERROR('CAJA'!$C$21),ISERROR('CAJA'!$C$22),ISERROR('CAJA'!$C$23)),"Corregimos la entrada con error en CAJA antes de validar el movimiento.",IF(AND(AND(LEN(TRIM(B20&amp;""))&gt;0,TRIM(B20)&lt;&gt;"Pendiente",TRIM(B20)&lt;&gt;"Por confirmar",TRIM(B20)&lt;&gt;"No consta",TRIM(B20)&lt;&gt;"Desconocido"),SUMPRODUCT(($L$10:$L$69=L20)*1)&gt;1),"ID repetido: actualizamos el mismo movimiento o separamos únicamente la parte realizada y el resto pendiente.",IF(AND(IF(ISNUMBER(F20),AND(F20&gt;=1,F20&lt;=2958465,F20=INT(F20)),FALSE),IF(ISNUMBER('CAJA'!$C$19),AND('CAJA'!$C$19&gt;=1,'CAJA'!$C$19&lt;=2958465,'CAJA'!$C$19=INT('CAJA'!$C$19)),FALSE),E20="Realizado",F20&gt;'CAJA'!$C$19),"Realizado en fecha posterior al corte: revisamos fecha y estado.",IF(AND(IF(ISNUMBER(F20),AND(F20&gt;=1,F20&lt;=2958465,F20=INT(F20)),FALSE),IF(ISNUMBER('CAJA'!$C$19),AND('CAJA'!$C$19&gt;=1,'CAJA'!$C$19&lt;=2958465,'CAJA'!$C$19=INT('CAJA'!$C$19)),FALSE),E20="Previsto",F20&lt;'CAJA'!$C$19),"Previsión vencida: actualizamos su fecha esperada o registramos el movimiento realizado; no lo damos por cobrado.",IF(AND(IF(ISNUMBER(F20),AND(F20&gt;=1,F20&lt;=2958465,F20=INT(F20)),FALSE),'CAJA'!$L$2=1,F20&lt;'CAJA'!$C$18),"Anterior al horizonte: revisamos si ya está en el saldo inicial para no contarlo dos veces.",IF(OR(AND(LEN(TRIM(G20&amp;""))&gt;0,NOT(IF(ISNUMBER(G20),AND(G20&gt;=0,G20=ROUND(G20,2)),FALSE))),AND(LEN(TRIM(F20&amp;""))&gt;0,NOT(IF(ISNUMBER(F20),AND(F20&gt;=1,F20&lt;=2958465,F20=INT(F20)),FALSE))),AND(LEN(TRIM(D20&amp;""))&gt;0,NOT(OR(D20="Cobro",D20="Pago"))),AND(LEN(TRIM(E20&amp;""))&gt;0,NOT(OR(E20="Previsto",E20="Realizado"))),AND(AND(LEN(TRIM(B20&amp;""))&gt;0,TRIM(B20)&lt;&gt;"Pendiente",TRIM(B20)&lt;&gt;"Por confirmar",TRIM(B20)&lt;&gt;"No consta",TRIM(B20)&lt;&gt;"Desconocido"),SUMPRODUCT(($L$10:$L$69=L20)*1)&gt;1),AND(IF(ISNUMBER(F20),AND(F20&gt;=1,F20&lt;=2958465,F20=INT(F20)),FALSE),IF(ISNUMBER('CAJA'!$C$19),AND('CAJA'!$C$19&gt;=1,'CAJA'!$C$19&lt;=2958465,'CAJA'!$C$19=INT('CAJA'!$C$19)),FALSE),OR(AND(E20="Realizado",F20&gt;'CAJA'!$C$19),AND(E20="Previsto",F20&lt;'CAJA'!$C$19))),AND(IF(ISNUMBER(F20),AND(F20&gt;=1,F20&lt;=2958465,F20=INT(F20)),FALSE),'CAJA'!$L$2=1,F20&lt;'CAJA'!$C$18)),"Revisamos fecha, importe positivo/cero explícito y opciones de sentido/estado. Fechas sin hora e importes a céntimos.",IF(NOT(AND(LEN(TRIM(B20&amp;""))&gt;0,TRIM(B20)&lt;&gt;"Pendiente",TRIM(B20)&lt;&gt;"Por confirmar",TRIM(B20)&lt;&gt;"No consta",TRIM(B20)&lt;&gt;"Desconocido")),"Asignamos un identificador único.",IF(NOT(AND(LEN(TRIM(C20&amp;""))&gt;0,TRIM(C20)&lt;&gt;"Pendiente",TRIM(C20)&lt;&gt;"Por confirmar",TRIM(C20)&lt;&gt;"No consta",TRIM(C20)&lt;&gt;"Desconocido")),"Identificamos el concepto.",IF(NOT(OR(D20="Cobro",D20="Pago")),"Elegimos Cobro o Pago.",IF(NOT(OR(E20="Previsto",E20="Realizado")),"Elegimos Previsto o Realizado según lo acreditado.",IF(NOT(IF(ISNUMBER(F20),AND(F20&gt;=1,F20&lt;=2958465,F20=INT(F20)),FALSE)),"Falta fecha/semana: un plazo relativo o la fecha de una oferta no bastan.",IF(NOT(IF(ISNUMBER(G20),AND(G20&gt;=0,G20=ROUND(G20,2)),FALSE)),"Falta importe efectivo; el total de presupuesto no acredita este movimiento.",IF(NOT(AND(LEN(TRIM(H20&amp;""))&gt;0,TRIM(H20)&lt;&gt;"Pendiente",TRIM(H20)&lt;&gt;"Por confirmar",TRIM(H20)&lt;&gt;"No consta",TRIM(H20)&lt;&gt;"Desconocido")),"Identificamos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CAJA.",IF(AND(IF(ISNUMBER(F20),AND(F20&gt;=1,F20&lt;=2958465,F20=INT(F20)),FALSE),'CAJA'!$L$2=1,F20&gt;='CAJA'!$L$9),"Fuera del horizonte: ampliamos semanas (hasta 26) o revisamos la ventana. Aquí no se suma.","Dato registrado para la previsión; el estado Realizado requiere su evidencia de cobro/pago."))))))))))))))))))</f>
      </c>
      <c r="K20" t="n" s="27">
        <f>IF(COUNTA(B20:H20)&gt;0,1,0)</f>
        <v>0</v>
      </c>
      <c r="L20" t="str" s="27">
        <f>IF(COUNTA(B20:H20)&gt;0,IFERROR("ID:"&amp;UPPER(TRIM(B20&amp;"")),""),"")</f>
      </c>
      <c r="M20" t="str" s="27">
        <f>IF(NOT(COUNTA(B20:H20)&gt;0),"",IF(OR(ISERROR(B20),ISERROR(C20),ISERROR(D20),ISERROR(E20),ISERROR(F20),ISERROR(G20),ISERROR(H20)),2,IF(OR(ISERROR('CAJA'!$C$17),ISERROR('CAJA'!$C$18),ISERROR('CAJA'!$C$19),ISERROR('CAJA'!$C$20),ISERROR('CAJA'!$C$21),ISERROR('CAJA'!$C$22),ISERROR('CAJA'!$C$23)),1,IF(OR(AND(LEN(TRIM(G20&amp;""))&gt;0,NOT(IF(ISNUMBER(G20),AND(G20&gt;=0,G20=ROUND(G20,2)),FALSE))),AND(LEN(TRIM(F20&amp;""))&gt;0,NOT(IF(ISNUMBER(F20),AND(F20&gt;=1,F20&lt;=2958465,F20=INT(F20)),FALSE))),AND(LEN(TRIM(D20&amp;""))&gt;0,NOT(OR(D20="Cobro",D20="Pago"))),AND(LEN(TRIM(E20&amp;""))&gt;0,NOT(OR(E20="Previsto",E20="Realizado"))),AND(AND(LEN(TRIM(B20&amp;""))&gt;0,TRIM(B20)&lt;&gt;"Pendiente",TRIM(B20)&lt;&gt;"Por confirmar",TRIM(B20)&lt;&gt;"No consta",TRIM(B20)&lt;&gt;"Desconocido"),SUMPRODUCT(($L$10:$L$69=L20)*1)&gt;1),AND(IF(ISNUMBER(F20),AND(F20&gt;=1,F20&lt;=2958465,F20=INT(F20)),FALSE),IF(ISNUMBER('CAJA'!$C$19),AND('CAJA'!$C$19&gt;=1,'CAJA'!$C$19&lt;=2958465,'CAJA'!$C$19=INT('CAJA'!$C$19)),FALSE),OR(AND(E20="Realizado",F20&gt;'CAJA'!$C$19),AND(E20="Previsto",F20&lt;'CAJA'!$C$19))),AND(IF(ISNUMBER(F20),AND(F20&gt;=1,F20&lt;=2958465,F20=INT(F20)),FALSE),'CAJA'!$L$2=1,F20&lt;'CAJA'!$C$18)),2,IF(AND(AND(LEN(TRIM(B20&amp;""))&gt;0,TRIM(B20)&lt;&gt;"Pendiente",TRIM(B20)&lt;&gt;"Por confirmar",TRIM(B20)&lt;&gt;"No consta",TRIM(B20)&lt;&gt;"Desconocido"),AND(LEN(TRIM(C20&amp;""))&gt;0,TRIM(C20)&lt;&gt;"Pendiente",TRIM(C20)&lt;&gt;"Por confirmar",TRIM(C20)&lt;&gt;"No consta",TRIM(C20)&lt;&gt;"Desconocido"),OR(D20="Cobro",D20="Pago"),OR(E20="Previsto",E20="Realizado"),IF(ISNUMBER(F20),AND(F20&gt;=1,F20&lt;=2958465,F20=INT(F20)),FALSE),IF(ISNUMBER(G20),AND(G20&gt;=0,G20=ROUND(G20,2)),FALSE),AND(LEN(TRIM(H20&amp;""))&gt;0,TRIM(H20)&lt;&gt;"Pendiente",TRIM(H20)&lt;&gt;"Por confirmar",TRIM(H20)&lt;&gt;"No consta",TRIM(H20)&lt;&gt;"Desconocido"),'CAJA'!$L$2=1,IF(ISNUMBER('CAJA'!$C$19),AND('CAJA'!$C$19&gt;=1,'CAJA'!$C$19&lt;=2958465,'CAJA'!$C$19=INT('CAJA'!$C$19)),FALSE),F20&gt;='CAJA'!$C$18,F20&lt;'CAJA'!$L$9,NOT(OR(AND(LEN(TRIM(G20&amp;""))&gt;0,NOT(IF(ISNUMBER(G20),AND(G20&gt;=0,G20=ROUND(G20,2)),FALSE))),AND(LEN(TRIM(F20&amp;""))&gt;0,NOT(IF(ISNUMBER(F20),AND(F20&gt;=1,F20&lt;=2958465,F20=INT(F20)),FALSE))),AND(LEN(TRIM(D20&amp;""))&gt;0,NOT(OR(D20="Cobro",D20="Pago"))),AND(LEN(TRIM(E20&amp;""))&gt;0,NOT(OR(E20="Previsto",E20="Realizado"))),AND(AND(LEN(TRIM(B20&amp;""))&gt;0,TRIM(B20)&lt;&gt;"Pendiente",TRIM(B20)&lt;&gt;"Por confirmar",TRIM(B20)&lt;&gt;"No consta",TRIM(B20)&lt;&gt;"Desconocido"),SUMPRODUCT(($L$10:$L$69=L20)*1)&gt;1),AND(IF(ISNUMBER(F20),AND(F20&gt;=1,F20&lt;=2958465,F20=INT(F20)),FALSE),IF(ISNUMBER('CAJA'!$C$19),AND('CAJA'!$C$19&gt;=1,'CAJA'!$C$19&lt;=2958465,'CAJA'!$C$19=INT('CAJA'!$C$19)),FALSE),OR(AND(E20="Realizado",F20&gt;'CAJA'!$C$19),AND(E20="Previsto",F20&lt;'CAJA'!$C$19))),AND(IF(ISNUMBER(F20),AND(F20&gt;=1,F20&lt;=2958465,F20=INT(F20)),FALSE),'CAJA'!$L$2=1,F20&lt;'CAJA'!$C$18)))),0,1)))))</f>
      </c>
      <c r="N20" t="n" s="27">
        <f>IF(AND(K20=1,ISNUMBER(M20),M20=0),1,0)</f>
        <v>0</v>
      </c>
      <c r="O20" t="str" s="27">
        <f>IF(IF(ISNUMBER(F20),AND(F20&gt;=1,F20&lt;=2958465,F20=INT(F20)),FALSE),F20-WEEKDAY(F20,2)+1,"")</f>
      </c>
      <c r="P20" t="n" s="27">
        <f>IF(AND(K20=1,ISNUMBER(M20),M20&gt;0),IF(NOT(IF(ISNUMBER(F20),AND(F20&gt;=1,F20&lt;=2958465,F20=INT(F20)),FALSE)),1,IF('CAJA'!$L$2&lt;&gt;1,1,IF(OR(F20&lt;'CAJA'!$C$18,F20&gt;='CAJA'!$L$9),1,0))),0)</f>
        <v>0</v>
      </c>
    </row>
    <row r="21" ht="69" customHeight="1">
      <c r="B21" s="34"/>
      <c r="C21" s="34"/>
      <c r="D21" s="34"/>
      <c r="E21" s="34"/>
      <c r="F21" s="35"/>
      <c r="G21" s="36"/>
      <c r="H21" s="34"/>
      <c r="I21" s="33" t="str">
        <f>IF(K21=0,"",IF(M21=2,"ROJO",IF(M21=1,"ÁMBAR","VERDE")))</f>
      </c>
      <c r="J21" s="33" t="str">
        <f>IF(K21=0,"",IF(OR(ISERROR(B21),ISERROR(C21),ISERROR(D21),ISERROR(E21),ISERROR(F21),ISERROR(G21),ISERROR(H21)),"Hay una entrada con error de fórmula. Corregimos el dato; no lo convertimos en cero.",IF(OR(ISERROR('CAJA'!$C$17),ISERROR('CAJA'!$C$18),ISERROR('CAJA'!$C$19),ISERROR('CAJA'!$C$20),ISERROR('CAJA'!$C$21),ISERROR('CAJA'!$C$22),ISERROR('CAJA'!$C$23)),"Corregimos la entrada con error en CAJA antes de validar el movimiento.",IF(AND(AND(LEN(TRIM(B21&amp;""))&gt;0,TRIM(B21)&lt;&gt;"Pendiente",TRIM(B21)&lt;&gt;"Por confirmar",TRIM(B21)&lt;&gt;"No consta",TRIM(B21)&lt;&gt;"Desconocido"),SUMPRODUCT(($L$10:$L$69=L21)*1)&gt;1),"ID repetido: actualizamos el mismo movimiento o separamos únicamente la parte realizada y el resto pendiente.",IF(AND(IF(ISNUMBER(F21),AND(F21&gt;=1,F21&lt;=2958465,F21=INT(F21)),FALSE),IF(ISNUMBER('CAJA'!$C$19),AND('CAJA'!$C$19&gt;=1,'CAJA'!$C$19&lt;=2958465,'CAJA'!$C$19=INT('CAJA'!$C$19)),FALSE),E21="Realizado",F21&gt;'CAJA'!$C$19),"Realizado en fecha posterior al corte: revisamos fecha y estado.",IF(AND(IF(ISNUMBER(F21),AND(F21&gt;=1,F21&lt;=2958465,F21=INT(F21)),FALSE),IF(ISNUMBER('CAJA'!$C$19),AND('CAJA'!$C$19&gt;=1,'CAJA'!$C$19&lt;=2958465,'CAJA'!$C$19=INT('CAJA'!$C$19)),FALSE),E21="Previsto",F21&lt;'CAJA'!$C$19),"Previsión vencida: actualizamos su fecha esperada o registramos el movimiento realizado; no lo damos por cobrado.",IF(AND(IF(ISNUMBER(F21),AND(F21&gt;=1,F21&lt;=2958465,F21=INT(F21)),FALSE),'CAJA'!$L$2=1,F21&lt;'CAJA'!$C$18),"Anterior al horizonte: revisamos si ya está en el saldo inicial para no contarlo dos veces.",IF(OR(AND(LEN(TRIM(G21&amp;""))&gt;0,NOT(IF(ISNUMBER(G21),AND(G21&gt;=0,G21=ROUND(G21,2)),FALSE))),AND(LEN(TRIM(F21&amp;""))&gt;0,NOT(IF(ISNUMBER(F21),AND(F21&gt;=1,F21&lt;=2958465,F21=INT(F21)),FALSE))),AND(LEN(TRIM(D21&amp;""))&gt;0,NOT(OR(D21="Cobro",D21="Pago"))),AND(LEN(TRIM(E21&amp;""))&gt;0,NOT(OR(E21="Previsto",E21="Realizado"))),AND(AND(LEN(TRIM(B21&amp;""))&gt;0,TRIM(B21)&lt;&gt;"Pendiente",TRIM(B21)&lt;&gt;"Por confirmar",TRIM(B21)&lt;&gt;"No consta",TRIM(B21)&lt;&gt;"Desconocido"),SUMPRODUCT(($L$10:$L$69=L21)*1)&gt;1),AND(IF(ISNUMBER(F21),AND(F21&gt;=1,F21&lt;=2958465,F21=INT(F21)),FALSE),IF(ISNUMBER('CAJA'!$C$19),AND('CAJA'!$C$19&gt;=1,'CAJA'!$C$19&lt;=2958465,'CAJA'!$C$19=INT('CAJA'!$C$19)),FALSE),OR(AND(E21="Realizado",F21&gt;'CAJA'!$C$19),AND(E21="Previsto",F21&lt;'CAJA'!$C$19))),AND(IF(ISNUMBER(F21),AND(F21&gt;=1,F21&lt;=2958465,F21=INT(F21)),FALSE),'CAJA'!$L$2=1,F21&lt;'CAJA'!$C$18)),"Revisamos fecha, importe positivo/cero explícito y opciones de sentido/estado. Fechas sin hora e importes a céntimos.",IF(NOT(AND(LEN(TRIM(B21&amp;""))&gt;0,TRIM(B21)&lt;&gt;"Pendiente",TRIM(B21)&lt;&gt;"Por confirmar",TRIM(B21)&lt;&gt;"No consta",TRIM(B21)&lt;&gt;"Desconocido")),"Asignamos un identificador único.",IF(NOT(AND(LEN(TRIM(C21&amp;""))&gt;0,TRIM(C21)&lt;&gt;"Pendiente",TRIM(C21)&lt;&gt;"Por confirmar",TRIM(C21)&lt;&gt;"No consta",TRIM(C21)&lt;&gt;"Desconocido")),"Identificamos el concepto.",IF(NOT(OR(D21="Cobro",D21="Pago")),"Elegimos Cobro o Pago.",IF(NOT(OR(E21="Previsto",E21="Realizado")),"Elegimos Previsto o Realizado según lo acreditado.",IF(NOT(IF(ISNUMBER(F21),AND(F21&gt;=1,F21&lt;=2958465,F21=INT(F21)),FALSE)),"Falta fecha/semana: un plazo relativo o la fecha de una oferta no bastan.",IF(NOT(IF(ISNUMBER(G21),AND(G21&gt;=0,G21=ROUND(G21,2)),FALSE)),"Falta importe efectivo; el total de presupuesto no acredita este movimiento.",IF(NOT(AND(LEN(TRIM(H21&amp;""))&gt;0,TRIM(H21)&lt;&gt;"Pendiente",TRIM(H21)&lt;&gt;"Por confirmar",TRIM(H21)&lt;&gt;"No consta",TRIM(H21)&lt;&gt;"Desconocido")),"Identificamos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CAJA.",IF(AND(IF(ISNUMBER(F21),AND(F21&gt;=1,F21&lt;=2958465,F21=INT(F21)),FALSE),'CAJA'!$L$2=1,F21&gt;='CAJA'!$L$9),"Fuera del horizonte: ampliamos semanas (hasta 26) o revisamos la ventana. Aquí no se suma.","Dato registrado para la previsión; el estado Realizado requiere su evidencia de cobro/pago."))))))))))))))))))</f>
      </c>
      <c r="K21" t="n" s="27">
        <f>IF(COUNTA(B21:H21)&gt;0,1,0)</f>
        <v>0</v>
      </c>
      <c r="L21" t="str" s="27">
        <f>IF(COUNTA(B21:H21)&gt;0,IFERROR("ID:"&amp;UPPER(TRIM(B21&amp;"")),""),"")</f>
      </c>
      <c r="M21" t="str" s="27">
        <f>IF(NOT(COUNTA(B21:H21)&gt;0),"",IF(OR(ISERROR(B21),ISERROR(C21),ISERROR(D21),ISERROR(E21),ISERROR(F21),ISERROR(G21),ISERROR(H21)),2,IF(OR(ISERROR('CAJA'!$C$17),ISERROR('CAJA'!$C$18),ISERROR('CAJA'!$C$19),ISERROR('CAJA'!$C$20),ISERROR('CAJA'!$C$21),ISERROR('CAJA'!$C$22),ISERROR('CAJA'!$C$23)),1,IF(OR(AND(LEN(TRIM(G21&amp;""))&gt;0,NOT(IF(ISNUMBER(G21),AND(G21&gt;=0,G21=ROUND(G21,2)),FALSE))),AND(LEN(TRIM(F21&amp;""))&gt;0,NOT(IF(ISNUMBER(F21),AND(F21&gt;=1,F21&lt;=2958465,F21=INT(F21)),FALSE))),AND(LEN(TRIM(D21&amp;""))&gt;0,NOT(OR(D21="Cobro",D21="Pago"))),AND(LEN(TRIM(E21&amp;""))&gt;0,NOT(OR(E21="Previsto",E21="Realizado"))),AND(AND(LEN(TRIM(B21&amp;""))&gt;0,TRIM(B21)&lt;&gt;"Pendiente",TRIM(B21)&lt;&gt;"Por confirmar",TRIM(B21)&lt;&gt;"No consta",TRIM(B21)&lt;&gt;"Desconocido"),SUMPRODUCT(($L$10:$L$69=L21)*1)&gt;1),AND(IF(ISNUMBER(F21),AND(F21&gt;=1,F21&lt;=2958465,F21=INT(F21)),FALSE),IF(ISNUMBER('CAJA'!$C$19),AND('CAJA'!$C$19&gt;=1,'CAJA'!$C$19&lt;=2958465,'CAJA'!$C$19=INT('CAJA'!$C$19)),FALSE),OR(AND(E21="Realizado",F21&gt;'CAJA'!$C$19),AND(E21="Previsto",F21&lt;'CAJA'!$C$19))),AND(IF(ISNUMBER(F21),AND(F21&gt;=1,F21&lt;=2958465,F21=INT(F21)),FALSE),'CAJA'!$L$2=1,F21&lt;'CAJA'!$C$18)),2,IF(AND(AND(LEN(TRIM(B21&amp;""))&gt;0,TRIM(B21)&lt;&gt;"Pendiente",TRIM(B21)&lt;&gt;"Por confirmar",TRIM(B21)&lt;&gt;"No consta",TRIM(B21)&lt;&gt;"Desconocido"),AND(LEN(TRIM(C21&amp;""))&gt;0,TRIM(C21)&lt;&gt;"Pendiente",TRIM(C21)&lt;&gt;"Por confirmar",TRIM(C21)&lt;&gt;"No consta",TRIM(C21)&lt;&gt;"Desconocido"),OR(D21="Cobro",D21="Pago"),OR(E21="Previsto",E21="Realizado"),IF(ISNUMBER(F21),AND(F21&gt;=1,F21&lt;=2958465,F21=INT(F21)),FALSE),IF(ISNUMBER(G21),AND(G21&gt;=0,G21=ROUND(G21,2)),FALSE),AND(LEN(TRIM(H21&amp;""))&gt;0,TRIM(H21)&lt;&gt;"Pendiente",TRIM(H21)&lt;&gt;"Por confirmar",TRIM(H21)&lt;&gt;"No consta",TRIM(H21)&lt;&gt;"Desconocido"),'CAJA'!$L$2=1,IF(ISNUMBER('CAJA'!$C$19),AND('CAJA'!$C$19&gt;=1,'CAJA'!$C$19&lt;=2958465,'CAJA'!$C$19=INT('CAJA'!$C$19)),FALSE),F21&gt;='CAJA'!$C$18,F21&lt;'CAJA'!$L$9,NOT(OR(AND(LEN(TRIM(G21&amp;""))&gt;0,NOT(IF(ISNUMBER(G21),AND(G21&gt;=0,G21=ROUND(G21,2)),FALSE))),AND(LEN(TRIM(F21&amp;""))&gt;0,NOT(IF(ISNUMBER(F21),AND(F21&gt;=1,F21&lt;=2958465,F21=INT(F21)),FALSE))),AND(LEN(TRIM(D21&amp;""))&gt;0,NOT(OR(D21="Cobro",D21="Pago"))),AND(LEN(TRIM(E21&amp;""))&gt;0,NOT(OR(E21="Previsto",E21="Realizado"))),AND(AND(LEN(TRIM(B21&amp;""))&gt;0,TRIM(B21)&lt;&gt;"Pendiente",TRIM(B21)&lt;&gt;"Por confirmar",TRIM(B21)&lt;&gt;"No consta",TRIM(B21)&lt;&gt;"Desconocido"),SUMPRODUCT(($L$10:$L$69=L21)*1)&gt;1),AND(IF(ISNUMBER(F21),AND(F21&gt;=1,F21&lt;=2958465,F21=INT(F21)),FALSE),IF(ISNUMBER('CAJA'!$C$19),AND('CAJA'!$C$19&gt;=1,'CAJA'!$C$19&lt;=2958465,'CAJA'!$C$19=INT('CAJA'!$C$19)),FALSE),OR(AND(E21="Realizado",F21&gt;'CAJA'!$C$19),AND(E21="Previsto",F21&lt;'CAJA'!$C$19))),AND(IF(ISNUMBER(F21),AND(F21&gt;=1,F21&lt;=2958465,F21=INT(F21)),FALSE),'CAJA'!$L$2=1,F21&lt;'CAJA'!$C$18)))),0,1)))))</f>
      </c>
      <c r="N21" t="n" s="27">
        <f>IF(AND(K21=1,ISNUMBER(M21),M21=0),1,0)</f>
        <v>0</v>
      </c>
      <c r="O21" t="str" s="27">
        <f>IF(IF(ISNUMBER(F21),AND(F21&gt;=1,F21&lt;=2958465,F21=INT(F21)),FALSE),F21-WEEKDAY(F21,2)+1,"")</f>
      </c>
      <c r="P21" t="n" s="27">
        <f>IF(AND(K21=1,ISNUMBER(M21),M21&gt;0),IF(NOT(IF(ISNUMBER(F21),AND(F21&gt;=1,F21&lt;=2958465,F21=INT(F21)),FALSE)),1,IF('CAJA'!$L$2&lt;&gt;1,1,IF(OR(F21&lt;'CAJA'!$C$18,F21&gt;='CAJA'!$L$9),1,0))),0)</f>
        <v>0</v>
      </c>
    </row>
    <row r="22" ht="69" customHeight="1">
      <c r="B22" s="34"/>
      <c r="C22" s="34"/>
      <c r="D22" s="34"/>
      <c r="E22" s="34"/>
      <c r="F22" s="35"/>
      <c r="G22" s="36"/>
      <c r="H22" s="34"/>
      <c r="I22" s="33" t="str">
        <f>IF(K22=0,"",IF(M22=2,"ROJO",IF(M22=1,"ÁMBAR","VERDE")))</f>
      </c>
      <c r="J22" s="33" t="str">
        <f>IF(K22=0,"",IF(OR(ISERROR(B22),ISERROR(C22),ISERROR(D22),ISERROR(E22),ISERROR(F22),ISERROR(G22),ISERROR(H22)),"Hay una entrada con error de fórmula. Corregimos el dato; no lo convertimos en cero.",IF(OR(ISERROR('CAJA'!$C$17),ISERROR('CAJA'!$C$18),ISERROR('CAJA'!$C$19),ISERROR('CAJA'!$C$20),ISERROR('CAJA'!$C$21),ISERROR('CAJA'!$C$22),ISERROR('CAJA'!$C$23)),"Corregimos la entrada con error en CAJA antes de validar el movimiento.",IF(AND(AND(LEN(TRIM(B22&amp;""))&gt;0,TRIM(B22)&lt;&gt;"Pendiente",TRIM(B22)&lt;&gt;"Por confirmar",TRIM(B22)&lt;&gt;"No consta",TRIM(B22)&lt;&gt;"Desconocido"),SUMPRODUCT(($L$10:$L$69=L22)*1)&gt;1),"ID repetido: actualizamos el mismo movimiento o separamos únicamente la parte realizada y el resto pendiente.",IF(AND(IF(ISNUMBER(F22),AND(F22&gt;=1,F22&lt;=2958465,F22=INT(F22)),FALSE),IF(ISNUMBER('CAJA'!$C$19),AND('CAJA'!$C$19&gt;=1,'CAJA'!$C$19&lt;=2958465,'CAJA'!$C$19=INT('CAJA'!$C$19)),FALSE),E22="Realizado",F22&gt;'CAJA'!$C$19),"Realizado en fecha posterior al corte: revisamos fecha y estado.",IF(AND(IF(ISNUMBER(F22),AND(F22&gt;=1,F22&lt;=2958465,F22=INT(F22)),FALSE),IF(ISNUMBER('CAJA'!$C$19),AND('CAJA'!$C$19&gt;=1,'CAJA'!$C$19&lt;=2958465,'CAJA'!$C$19=INT('CAJA'!$C$19)),FALSE),E22="Previsto",F22&lt;'CAJA'!$C$19),"Previsión vencida: actualizamos su fecha esperada o registramos el movimiento realizado; no lo damos por cobrado.",IF(AND(IF(ISNUMBER(F22),AND(F22&gt;=1,F22&lt;=2958465,F22=INT(F22)),FALSE),'CAJA'!$L$2=1,F22&lt;'CAJA'!$C$18),"Anterior al horizonte: revisamos si ya está en el saldo inicial para no contarlo dos veces.",IF(OR(AND(LEN(TRIM(G22&amp;""))&gt;0,NOT(IF(ISNUMBER(G22),AND(G22&gt;=0,G22=ROUND(G22,2)),FALSE))),AND(LEN(TRIM(F22&amp;""))&gt;0,NOT(IF(ISNUMBER(F22),AND(F22&gt;=1,F22&lt;=2958465,F22=INT(F22)),FALSE))),AND(LEN(TRIM(D22&amp;""))&gt;0,NOT(OR(D22="Cobro",D22="Pago"))),AND(LEN(TRIM(E22&amp;""))&gt;0,NOT(OR(E22="Previsto",E22="Realizado"))),AND(AND(LEN(TRIM(B22&amp;""))&gt;0,TRIM(B22)&lt;&gt;"Pendiente",TRIM(B22)&lt;&gt;"Por confirmar",TRIM(B22)&lt;&gt;"No consta",TRIM(B22)&lt;&gt;"Desconocido"),SUMPRODUCT(($L$10:$L$69=L22)*1)&gt;1),AND(IF(ISNUMBER(F22),AND(F22&gt;=1,F22&lt;=2958465,F22=INT(F22)),FALSE),IF(ISNUMBER('CAJA'!$C$19),AND('CAJA'!$C$19&gt;=1,'CAJA'!$C$19&lt;=2958465,'CAJA'!$C$19=INT('CAJA'!$C$19)),FALSE),OR(AND(E22="Realizado",F22&gt;'CAJA'!$C$19),AND(E22="Previsto",F22&lt;'CAJA'!$C$19))),AND(IF(ISNUMBER(F22),AND(F22&gt;=1,F22&lt;=2958465,F22=INT(F22)),FALSE),'CAJA'!$L$2=1,F22&lt;'CAJA'!$C$18)),"Revisamos fecha, importe positivo/cero explícito y opciones de sentido/estado. Fechas sin hora e importes a céntimos.",IF(NOT(AND(LEN(TRIM(B22&amp;""))&gt;0,TRIM(B22)&lt;&gt;"Pendiente",TRIM(B22)&lt;&gt;"Por confirmar",TRIM(B22)&lt;&gt;"No consta",TRIM(B22)&lt;&gt;"Desconocido")),"Asignamos un identificador único.",IF(NOT(AND(LEN(TRIM(C22&amp;""))&gt;0,TRIM(C22)&lt;&gt;"Pendiente",TRIM(C22)&lt;&gt;"Por confirmar",TRIM(C22)&lt;&gt;"No consta",TRIM(C22)&lt;&gt;"Desconocido")),"Identificamos el concepto.",IF(NOT(OR(D22="Cobro",D22="Pago")),"Elegimos Cobro o Pago.",IF(NOT(OR(E22="Previsto",E22="Realizado")),"Elegimos Previsto o Realizado según lo acreditado.",IF(NOT(IF(ISNUMBER(F22),AND(F22&gt;=1,F22&lt;=2958465,F22=INT(F22)),FALSE)),"Falta fecha/semana: un plazo relativo o la fecha de una oferta no bastan.",IF(NOT(IF(ISNUMBER(G22),AND(G22&gt;=0,G22=ROUND(G22,2)),FALSE)),"Falta importe efectivo; el total de presupuesto no acredita este movimiento.",IF(NOT(AND(LEN(TRIM(H22&amp;""))&gt;0,TRIM(H22)&lt;&gt;"Pendiente",TRIM(H22)&lt;&gt;"Por confirmar",TRIM(H22)&lt;&gt;"No consta",TRIM(H22)&lt;&gt;"Desconocido")),"Identificamos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CAJA.",IF(AND(IF(ISNUMBER(F22),AND(F22&gt;=1,F22&lt;=2958465,F22=INT(F22)),FALSE),'CAJA'!$L$2=1,F22&gt;='CAJA'!$L$9),"Fuera del horizonte: ampliamos semanas (hasta 26) o revisamos la ventana. Aquí no se suma.","Dato registrado para la previsión; el estado Realizado requiere su evidencia de cobro/pago."))))))))))))))))))</f>
      </c>
      <c r="K22" t="n" s="27">
        <f>IF(COUNTA(B22:H22)&gt;0,1,0)</f>
        <v>0</v>
      </c>
      <c r="L22" t="str" s="27">
        <f>IF(COUNTA(B22:H22)&gt;0,IFERROR("ID:"&amp;UPPER(TRIM(B22&amp;"")),""),"")</f>
      </c>
      <c r="M22" t="str" s="27">
        <f>IF(NOT(COUNTA(B22:H22)&gt;0),"",IF(OR(ISERROR(B22),ISERROR(C22),ISERROR(D22),ISERROR(E22),ISERROR(F22),ISERROR(G22),ISERROR(H22)),2,IF(OR(ISERROR('CAJA'!$C$17),ISERROR('CAJA'!$C$18),ISERROR('CAJA'!$C$19),ISERROR('CAJA'!$C$20),ISERROR('CAJA'!$C$21),ISERROR('CAJA'!$C$22),ISERROR('CAJA'!$C$23)),1,IF(OR(AND(LEN(TRIM(G22&amp;""))&gt;0,NOT(IF(ISNUMBER(G22),AND(G22&gt;=0,G22=ROUND(G22,2)),FALSE))),AND(LEN(TRIM(F22&amp;""))&gt;0,NOT(IF(ISNUMBER(F22),AND(F22&gt;=1,F22&lt;=2958465,F22=INT(F22)),FALSE))),AND(LEN(TRIM(D22&amp;""))&gt;0,NOT(OR(D22="Cobro",D22="Pago"))),AND(LEN(TRIM(E22&amp;""))&gt;0,NOT(OR(E22="Previsto",E22="Realizado"))),AND(AND(LEN(TRIM(B22&amp;""))&gt;0,TRIM(B22)&lt;&gt;"Pendiente",TRIM(B22)&lt;&gt;"Por confirmar",TRIM(B22)&lt;&gt;"No consta",TRIM(B22)&lt;&gt;"Desconocido"),SUMPRODUCT(($L$10:$L$69=L22)*1)&gt;1),AND(IF(ISNUMBER(F22),AND(F22&gt;=1,F22&lt;=2958465,F22=INT(F22)),FALSE),IF(ISNUMBER('CAJA'!$C$19),AND('CAJA'!$C$19&gt;=1,'CAJA'!$C$19&lt;=2958465,'CAJA'!$C$19=INT('CAJA'!$C$19)),FALSE),OR(AND(E22="Realizado",F22&gt;'CAJA'!$C$19),AND(E22="Previsto",F22&lt;'CAJA'!$C$19))),AND(IF(ISNUMBER(F22),AND(F22&gt;=1,F22&lt;=2958465,F22=INT(F22)),FALSE),'CAJA'!$L$2=1,F22&lt;'CAJA'!$C$18)),2,IF(AND(AND(LEN(TRIM(B22&amp;""))&gt;0,TRIM(B22)&lt;&gt;"Pendiente",TRIM(B22)&lt;&gt;"Por confirmar",TRIM(B22)&lt;&gt;"No consta",TRIM(B22)&lt;&gt;"Desconocido"),AND(LEN(TRIM(C22&amp;""))&gt;0,TRIM(C22)&lt;&gt;"Pendiente",TRIM(C22)&lt;&gt;"Por confirmar",TRIM(C22)&lt;&gt;"No consta",TRIM(C22)&lt;&gt;"Desconocido"),OR(D22="Cobro",D22="Pago"),OR(E22="Previsto",E22="Realizado"),IF(ISNUMBER(F22),AND(F22&gt;=1,F22&lt;=2958465,F22=INT(F22)),FALSE),IF(ISNUMBER(G22),AND(G22&gt;=0,G22=ROUND(G22,2)),FALSE),AND(LEN(TRIM(H22&amp;""))&gt;0,TRIM(H22)&lt;&gt;"Pendiente",TRIM(H22)&lt;&gt;"Por confirmar",TRIM(H22)&lt;&gt;"No consta",TRIM(H22)&lt;&gt;"Desconocido"),'CAJA'!$L$2=1,IF(ISNUMBER('CAJA'!$C$19),AND('CAJA'!$C$19&gt;=1,'CAJA'!$C$19&lt;=2958465,'CAJA'!$C$19=INT('CAJA'!$C$19)),FALSE),F22&gt;='CAJA'!$C$18,F22&lt;'CAJA'!$L$9,NOT(OR(AND(LEN(TRIM(G22&amp;""))&gt;0,NOT(IF(ISNUMBER(G22),AND(G22&gt;=0,G22=ROUND(G22,2)),FALSE))),AND(LEN(TRIM(F22&amp;""))&gt;0,NOT(IF(ISNUMBER(F22),AND(F22&gt;=1,F22&lt;=2958465,F22=INT(F22)),FALSE))),AND(LEN(TRIM(D22&amp;""))&gt;0,NOT(OR(D22="Cobro",D22="Pago"))),AND(LEN(TRIM(E22&amp;""))&gt;0,NOT(OR(E22="Previsto",E22="Realizado"))),AND(AND(LEN(TRIM(B22&amp;""))&gt;0,TRIM(B22)&lt;&gt;"Pendiente",TRIM(B22)&lt;&gt;"Por confirmar",TRIM(B22)&lt;&gt;"No consta",TRIM(B22)&lt;&gt;"Desconocido"),SUMPRODUCT(($L$10:$L$69=L22)*1)&gt;1),AND(IF(ISNUMBER(F22),AND(F22&gt;=1,F22&lt;=2958465,F22=INT(F22)),FALSE),IF(ISNUMBER('CAJA'!$C$19),AND('CAJA'!$C$19&gt;=1,'CAJA'!$C$19&lt;=2958465,'CAJA'!$C$19=INT('CAJA'!$C$19)),FALSE),OR(AND(E22="Realizado",F22&gt;'CAJA'!$C$19),AND(E22="Previsto",F22&lt;'CAJA'!$C$19))),AND(IF(ISNUMBER(F22),AND(F22&gt;=1,F22&lt;=2958465,F22=INT(F22)),FALSE),'CAJA'!$L$2=1,F22&lt;'CAJA'!$C$18)))),0,1)))))</f>
      </c>
      <c r="N22" t="n" s="27">
        <f>IF(AND(K22=1,ISNUMBER(M22),M22=0),1,0)</f>
        <v>0</v>
      </c>
      <c r="O22" t="str" s="27">
        <f>IF(IF(ISNUMBER(F22),AND(F22&gt;=1,F22&lt;=2958465,F22=INT(F22)),FALSE),F22-WEEKDAY(F22,2)+1,"")</f>
      </c>
      <c r="P22" t="n" s="27">
        <f>IF(AND(K22=1,ISNUMBER(M22),M22&gt;0),IF(NOT(IF(ISNUMBER(F22),AND(F22&gt;=1,F22&lt;=2958465,F22=INT(F22)),FALSE)),1,IF('CAJA'!$L$2&lt;&gt;1,1,IF(OR(F22&lt;'CAJA'!$C$18,F22&gt;='CAJA'!$L$9),1,0))),0)</f>
        <v>0</v>
      </c>
    </row>
    <row r="23" ht="69" customHeight="1">
      <c r="B23" s="34"/>
      <c r="C23" s="34"/>
      <c r="D23" s="34"/>
      <c r="E23" s="34"/>
      <c r="F23" s="35"/>
      <c r="G23" s="36"/>
      <c r="H23" s="34"/>
      <c r="I23" s="33" t="str">
        <f>IF(K23=0,"",IF(M23=2,"ROJO",IF(M23=1,"ÁMBAR","VERDE")))</f>
      </c>
      <c r="J23" s="33" t="str">
        <f>IF(K23=0,"",IF(OR(ISERROR(B23),ISERROR(C23),ISERROR(D23),ISERROR(E23),ISERROR(F23),ISERROR(G23),ISERROR(H23)),"Hay una entrada con error de fórmula. Corregimos el dato; no lo convertimos en cero.",IF(OR(ISERROR('CAJA'!$C$17),ISERROR('CAJA'!$C$18),ISERROR('CAJA'!$C$19),ISERROR('CAJA'!$C$20),ISERROR('CAJA'!$C$21),ISERROR('CAJA'!$C$22),ISERROR('CAJA'!$C$23)),"Corregimos la entrada con error en CAJA antes de validar el movimiento.",IF(AND(AND(LEN(TRIM(B23&amp;""))&gt;0,TRIM(B23)&lt;&gt;"Pendiente",TRIM(B23)&lt;&gt;"Por confirmar",TRIM(B23)&lt;&gt;"No consta",TRIM(B23)&lt;&gt;"Desconocido"),SUMPRODUCT(($L$10:$L$69=L23)*1)&gt;1),"ID repetido: actualizamos el mismo movimiento o separamos únicamente la parte realizada y el resto pendiente.",IF(AND(IF(ISNUMBER(F23),AND(F23&gt;=1,F23&lt;=2958465,F23=INT(F23)),FALSE),IF(ISNUMBER('CAJA'!$C$19),AND('CAJA'!$C$19&gt;=1,'CAJA'!$C$19&lt;=2958465,'CAJA'!$C$19=INT('CAJA'!$C$19)),FALSE),E23="Realizado",F23&gt;'CAJA'!$C$19),"Realizado en fecha posterior al corte: revisamos fecha y estado.",IF(AND(IF(ISNUMBER(F23),AND(F23&gt;=1,F23&lt;=2958465,F23=INT(F23)),FALSE),IF(ISNUMBER('CAJA'!$C$19),AND('CAJA'!$C$19&gt;=1,'CAJA'!$C$19&lt;=2958465,'CAJA'!$C$19=INT('CAJA'!$C$19)),FALSE),E23="Previsto",F23&lt;'CAJA'!$C$19),"Previsión vencida: actualizamos su fecha esperada o registramos el movimiento realizado; no lo damos por cobrado.",IF(AND(IF(ISNUMBER(F23),AND(F23&gt;=1,F23&lt;=2958465,F23=INT(F23)),FALSE),'CAJA'!$L$2=1,F23&lt;'CAJA'!$C$18),"Anterior al horizonte: revisamos si ya está en el saldo inicial para no contarlo dos veces.",IF(OR(AND(LEN(TRIM(G23&amp;""))&gt;0,NOT(IF(ISNUMBER(G23),AND(G23&gt;=0,G23=ROUND(G23,2)),FALSE))),AND(LEN(TRIM(F23&amp;""))&gt;0,NOT(IF(ISNUMBER(F23),AND(F23&gt;=1,F23&lt;=2958465,F23=INT(F23)),FALSE))),AND(LEN(TRIM(D23&amp;""))&gt;0,NOT(OR(D23="Cobro",D23="Pago"))),AND(LEN(TRIM(E23&amp;""))&gt;0,NOT(OR(E23="Previsto",E23="Realizado"))),AND(AND(LEN(TRIM(B23&amp;""))&gt;0,TRIM(B23)&lt;&gt;"Pendiente",TRIM(B23)&lt;&gt;"Por confirmar",TRIM(B23)&lt;&gt;"No consta",TRIM(B23)&lt;&gt;"Desconocido"),SUMPRODUCT(($L$10:$L$69=L23)*1)&gt;1),AND(IF(ISNUMBER(F23),AND(F23&gt;=1,F23&lt;=2958465,F23=INT(F23)),FALSE),IF(ISNUMBER('CAJA'!$C$19),AND('CAJA'!$C$19&gt;=1,'CAJA'!$C$19&lt;=2958465,'CAJA'!$C$19=INT('CAJA'!$C$19)),FALSE),OR(AND(E23="Realizado",F23&gt;'CAJA'!$C$19),AND(E23="Previsto",F23&lt;'CAJA'!$C$19))),AND(IF(ISNUMBER(F23),AND(F23&gt;=1,F23&lt;=2958465,F23=INT(F23)),FALSE),'CAJA'!$L$2=1,F23&lt;'CAJA'!$C$18)),"Revisamos fecha, importe positivo/cero explícito y opciones de sentido/estado. Fechas sin hora e importes a céntimos.",IF(NOT(AND(LEN(TRIM(B23&amp;""))&gt;0,TRIM(B23)&lt;&gt;"Pendiente",TRIM(B23)&lt;&gt;"Por confirmar",TRIM(B23)&lt;&gt;"No consta",TRIM(B23)&lt;&gt;"Desconocido")),"Asignamos un identificador único.",IF(NOT(AND(LEN(TRIM(C23&amp;""))&gt;0,TRIM(C23)&lt;&gt;"Pendiente",TRIM(C23)&lt;&gt;"Por confirmar",TRIM(C23)&lt;&gt;"No consta",TRIM(C23)&lt;&gt;"Desconocido")),"Identificamos el concepto.",IF(NOT(OR(D23="Cobro",D23="Pago")),"Elegimos Cobro o Pago.",IF(NOT(OR(E23="Previsto",E23="Realizado")),"Elegimos Previsto o Realizado según lo acreditado.",IF(NOT(IF(ISNUMBER(F23),AND(F23&gt;=1,F23&lt;=2958465,F23=INT(F23)),FALSE)),"Falta fecha/semana: un plazo relativo o la fecha de una oferta no bastan.",IF(NOT(IF(ISNUMBER(G23),AND(G23&gt;=0,G23=ROUND(G23,2)),FALSE)),"Falta importe efectivo; el total de presupuesto no acredita este movimiento.",IF(NOT(AND(LEN(TRIM(H23&amp;""))&gt;0,TRIM(H23)&lt;&gt;"Pendiente",TRIM(H23)&lt;&gt;"Por confirmar",TRIM(H23)&lt;&gt;"No consta",TRIM(H23)&lt;&gt;"Desconocido")),"Identificamos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CAJA.",IF(AND(IF(ISNUMBER(F23),AND(F23&gt;=1,F23&lt;=2958465,F23=INT(F23)),FALSE),'CAJA'!$L$2=1,F23&gt;='CAJA'!$L$9),"Fuera del horizonte: ampliamos semanas (hasta 26) o revisamos la ventana. Aquí no se suma.","Dato registrado para la previsión; el estado Realizado requiere su evidencia de cobro/pago."))))))))))))))))))</f>
      </c>
      <c r="K23" t="n" s="27">
        <f>IF(COUNTA(B23:H23)&gt;0,1,0)</f>
        <v>0</v>
      </c>
      <c r="L23" t="str" s="27">
        <f>IF(COUNTA(B23:H23)&gt;0,IFERROR("ID:"&amp;UPPER(TRIM(B23&amp;"")),""),"")</f>
      </c>
      <c r="M23" t="str" s="27">
        <f>IF(NOT(COUNTA(B23:H23)&gt;0),"",IF(OR(ISERROR(B23),ISERROR(C23),ISERROR(D23),ISERROR(E23),ISERROR(F23),ISERROR(G23),ISERROR(H23)),2,IF(OR(ISERROR('CAJA'!$C$17),ISERROR('CAJA'!$C$18),ISERROR('CAJA'!$C$19),ISERROR('CAJA'!$C$20),ISERROR('CAJA'!$C$21),ISERROR('CAJA'!$C$22),ISERROR('CAJA'!$C$23)),1,IF(OR(AND(LEN(TRIM(G23&amp;""))&gt;0,NOT(IF(ISNUMBER(G23),AND(G23&gt;=0,G23=ROUND(G23,2)),FALSE))),AND(LEN(TRIM(F23&amp;""))&gt;0,NOT(IF(ISNUMBER(F23),AND(F23&gt;=1,F23&lt;=2958465,F23=INT(F23)),FALSE))),AND(LEN(TRIM(D23&amp;""))&gt;0,NOT(OR(D23="Cobro",D23="Pago"))),AND(LEN(TRIM(E23&amp;""))&gt;0,NOT(OR(E23="Previsto",E23="Realizado"))),AND(AND(LEN(TRIM(B23&amp;""))&gt;0,TRIM(B23)&lt;&gt;"Pendiente",TRIM(B23)&lt;&gt;"Por confirmar",TRIM(B23)&lt;&gt;"No consta",TRIM(B23)&lt;&gt;"Desconocido"),SUMPRODUCT(($L$10:$L$69=L23)*1)&gt;1),AND(IF(ISNUMBER(F23),AND(F23&gt;=1,F23&lt;=2958465,F23=INT(F23)),FALSE),IF(ISNUMBER('CAJA'!$C$19),AND('CAJA'!$C$19&gt;=1,'CAJA'!$C$19&lt;=2958465,'CAJA'!$C$19=INT('CAJA'!$C$19)),FALSE),OR(AND(E23="Realizado",F23&gt;'CAJA'!$C$19),AND(E23="Previsto",F23&lt;'CAJA'!$C$19))),AND(IF(ISNUMBER(F23),AND(F23&gt;=1,F23&lt;=2958465,F23=INT(F23)),FALSE),'CAJA'!$L$2=1,F23&lt;'CAJA'!$C$18)),2,IF(AND(AND(LEN(TRIM(B23&amp;""))&gt;0,TRIM(B23)&lt;&gt;"Pendiente",TRIM(B23)&lt;&gt;"Por confirmar",TRIM(B23)&lt;&gt;"No consta",TRIM(B23)&lt;&gt;"Desconocido"),AND(LEN(TRIM(C23&amp;""))&gt;0,TRIM(C23)&lt;&gt;"Pendiente",TRIM(C23)&lt;&gt;"Por confirmar",TRIM(C23)&lt;&gt;"No consta",TRIM(C23)&lt;&gt;"Desconocido"),OR(D23="Cobro",D23="Pago"),OR(E23="Previsto",E23="Realizado"),IF(ISNUMBER(F23),AND(F23&gt;=1,F23&lt;=2958465,F23=INT(F23)),FALSE),IF(ISNUMBER(G23),AND(G23&gt;=0,G23=ROUND(G23,2)),FALSE),AND(LEN(TRIM(H23&amp;""))&gt;0,TRIM(H23)&lt;&gt;"Pendiente",TRIM(H23)&lt;&gt;"Por confirmar",TRIM(H23)&lt;&gt;"No consta",TRIM(H23)&lt;&gt;"Desconocido"),'CAJA'!$L$2=1,IF(ISNUMBER('CAJA'!$C$19),AND('CAJA'!$C$19&gt;=1,'CAJA'!$C$19&lt;=2958465,'CAJA'!$C$19=INT('CAJA'!$C$19)),FALSE),F23&gt;='CAJA'!$C$18,F23&lt;'CAJA'!$L$9,NOT(OR(AND(LEN(TRIM(G23&amp;""))&gt;0,NOT(IF(ISNUMBER(G23),AND(G23&gt;=0,G23=ROUND(G23,2)),FALSE))),AND(LEN(TRIM(F23&amp;""))&gt;0,NOT(IF(ISNUMBER(F23),AND(F23&gt;=1,F23&lt;=2958465,F23=INT(F23)),FALSE))),AND(LEN(TRIM(D23&amp;""))&gt;0,NOT(OR(D23="Cobro",D23="Pago"))),AND(LEN(TRIM(E23&amp;""))&gt;0,NOT(OR(E23="Previsto",E23="Realizado"))),AND(AND(LEN(TRIM(B23&amp;""))&gt;0,TRIM(B23)&lt;&gt;"Pendiente",TRIM(B23)&lt;&gt;"Por confirmar",TRIM(B23)&lt;&gt;"No consta",TRIM(B23)&lt;&gt;"Desconocido"),SUMPRODUCT(($L$10:$L$69=L23)*1)&gt;1),AND(IF(ISNUMBER(F23),AND(F23&gt;=1,F23&lt;=2958465,F23=INT(F23)),FALSE),IF(ISNUMBER('CAJA'!$C$19),AND('CAJA'!$C$19&gt;=1,'CAJA'!$C$19&lt;=2958465,'CAJA'!$C$19=INT('CAJA'!$C$19)),FALSE),OR(AND(E23="Realizado",F23&gt;'CAJA'!$C$19),AND(E23="Previsto",F23&lt;'CAJA'!$C$19))),AND(IF(ISNUMBER(F23),AND(F23&gt;=1,F23&lt;=2958465,F23=INT(F23)),FALSE),'CAJA'!$L$2=1,F23&lt;'CAJA'!$C$18)))),0,1)))))</f>
      </c>
      <c r="N23" t="n" s="27">
        <f>IF(AND(K23=1,ISNUMBER(M23),M23=0),1,0)</f>
        <v>0</v>
      </c>
      <c r="O23" t="str" s="27">
        <f>IF(IF(ISNUMBER(F23),AND(F23&gt;=1,F23&lt;=2958465,F23=INT(F23)),FALSE),F23-WEEKDAY(F23,2)+1,"")</f>
      </c>
      <c r="P23" t="n" s="27">
        <f>IF(AND(K23=1,ISNUMBER(M23),M23&gt;0),IF(NOT(IF(ISNUMBER(F23),AND(F23&gt;=1,F23&lt;=2958465,F23=INT(F23)),FALSE)),1,IF('CAJA'!$L$2&lt;&gt;1,1,IF(OR(F23&lt;'CAJA'!$C$18,F23&gt;='CAJA'!$L$9),1,0))),0)</f>
        <v>0</v>
      </c>
    </row>
    <row r="24" ht="69" customHeight="1">
      <c r="B24" s="34"/>
      <c r="C24" s="34"/>
      <c r="D24" s="34"/>
      <c r="E24" s="34"/>
      <c r="F24" s="35"/>
      <c r="G24" s="36"/>
      <c r="H24" s="34"/>
      <c r="I24" s="33" t="str">
        <f>IF(K24=0,"",IF(M24=2,"ROJO",IF(M24=1,"ÁMBAR","VERDE")))</f>
      </c>
      <c r="J24" s="33" t="str">
        <f>IF(K24=0,"",IF(OR(ISERROR(B24),ISERROR(C24),ISERROR(D24),ISERROR(E24),ISERROR(F24),ISERROR(G24),ISERROR(H24)),"Hay una entrada con error de fórmula. Corregimos el dato; no lo convertimos en cero.",IF(OR(ISERROR('CAJA'!$C$17),ISERROR('CAJA'!$C$18),ISERROR('CAJA'!$C$19),ISERROR('CAJA'!$C$20),ISERROR('CAJA'!$C$21),ISERROR('CAJA'!$C$22),ISERROR('CAJA'!$C$23)),"Corregimos la entrada con error en CAJA antes de validar el movimiento.",IF(AND(AND(LEN(TRIM(B24&amp;""))&gt;0,TRIM(B24)&lt;&gt;"Pendiente",TRIM(B24)&lt;&gt;"Por confirmar",TRIM(B24)&lt;&gt;"No consta",TRIM(B24)&lt;&gt;"Desconocido"),SUMPRODUCT(($L$10:$L$69=L24)*1)&gt;1),"ID repetido: actualizamos el mismo movimiento o separamos únicamente la parte realizada y el resto pendiente.",IF(AND(IF(ISNUMBER(F24),AND(F24&gt;=1,F24&lt;=2958465,F24=INT(F24)),FALSE),IF(ISNUMBER('CAJA'!$C$19),AND('CAJA'!$C$19&gt;=1,'CAJA'!$C$19&lt;=2958465,'CAJA'!$C$19=INT('CAJA'!$C$19)),FALSE),E24="Realizado",F24&gt;'CAJA'!$C$19),"Realizado en fecha posterior al corte: revisamos fecha y estado.",IF(AND(IF(ISNUMBER(F24),AND(F24&gt;=1,F24&lt;=2958465,F24=INT(F24)),FALSE),IF(ISNUMBER('CAJA'!$C$19),AND('CAJA'!$C$19&gt;=1,'CAJA'!$C$19&lt;=2958465,'CAJA'!$C$19=INT('CAJA'!$C$19)),FALSE),E24="Previsto",F24&lt;'CAJA'!$C$19),"Previsión vencida: actualizamos su fecha esperada o registramos el movimiento realizado; no lo damos por cobrado.",IF(AND(IF(ISNUMBER(F24),AND(F24&gt;=1,F24&lt;=2958465,F24=INT(F24)),FALSE),'CAJA'!$L$2=1,F24&lt;'CAJA'!$C$18),"Anterior al horizonte: revisamos si ya está en el saldo inicial para no contarlo dos veces.",IF(OR(AND(LEN(TRIM(G24&amp;""))&gt;0,NOT(IF(ISNUMBER(G24),AND(G24&gt;=0,G24=ROUND(G24,2)),FALSE))),AND(LEN(TRIM(F24&amp;""))&gt;0,NOT(IF(ISNUMBER(F24),AND(F24&gt;=1,F24&lt;=2958465,F24=INT(F24)),FALSE))),AND(LEN(TRIM(D24&amp;""))&gt;0,NOT(OR(D24="Cobro",D24="Pago"))),AND(LEN(TRIM(E24&amp;""))&gt;0,NOT(OR(E24="Previsto",E24="Realizado"))),AND(AND(LEN(TRIM(B24&amp;""))&gt;0,TRIM(B24)&lt;&gt;"Pendiente",TRIM(B24)&lt;&gt;"Por confirmar",TRIM(B24)&lt;&gt;"No consta",TRIM(B24)&lt;&gt;"Desconocido"),SUMPRODUCT(($L$10:$L$69=L24)*1)&gt;1),AND(IF(ISNUMBER(F24),AND(F24&gt;=1,F24&lt;=2958465,F24=INT(F24)),FALSE),IF(ISNUMBER('CAJA'!$C$19),AND('CAJA'!$C$19&gt;=1,'CAJA'!$C$19&lt;=2958465,'CAJA'!$C$19=INT('CAJA'!$C$19)),FALSE),OR(AND(E24="Realizado",F24&gt;'CAJA'!$C$19),AND(E24="Previsto",F24&lt;'CAJA'!$C$19))),AND(IF(ISNUMBER(F24),AND(F24&gt;=1,F24&lt;=2958465,F24=INT(F24)),FALSE),'CAJA'!$L$2=1,F24&lt;'CAJA'!$C$18)),"Revisamos fecha, importe positivo/cero explícito y opciones de sentido/estado. Fechas sin hora e importes a céntimos.",IF(NOT(AND(LEN(TRIM(B24&amp;""))&gt;0,TRIM(B24)&lt;&gt;"Pendiente",TRIM(B24)&lt;&gt;"Por confirmar",TRIM(B24)&lt;&gt;"No consta",TRIM(B24)&lt;&gt;"Desconocido")),"Asignamos un identificador único.",IF(NOT(AND(LEN(TRIM(C24&amp;""))&gt;0,TRIM(C24)&lt;&gt;"Pendiente",TRIM(C24)&lt;&gt;"Por confirmar",TRIM(C24)&lt;&gt;"No consta",TRIM(C24)&lt;&gt;"Desconocido")),"Identificamos el concepto.",IF(NOT(OR(D24="Cobro",D24="Pago")),"Elegimos Cobro o Pago.",IF(NOT(OR(E24="Previsto",E24="Realizado")),"Elegimos Previsto o Realizado según lo acreditado.",IF(NOT(IF(ISNUMBER(F24),AND(F24&gt;=1,F24&lt;=2958465,F24=INT(F24)),FALSE)),"Falta fecha/semana: un plazo relativo o la fecha de una oferta no bastan.",IF(NOT(IF(ISNUMBER(G24),AND(G24&gt;=0,G24=ROUND(G24,2)),FALSE)),"Falta importe efectivo; el total de presupuesto no acredita este movimiento.",IF(NOT(AND(LEN(TRIM(H24&amp;""))&gt;0,TRIM(H24)&lt;&gt;"Pendiente",TRIM(H24)&lt;&gt;"Por confirmar",TRIM(H24)&lt;&gt;"No consta",TRIM(H24)&lt;&gt;"Desconocido")),"Identificamos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CAJA.",IF(AND(IF(ISNUMBER(F24),AND(F24&gt;=1,F24&lt;=2958465,F24=INT(F24)),FALSE),'CAJA'!$L$2=1,F24&gt;='CAJA'!$L$9),"Fuera del horizonte: ampliamos semanas (hasta 26) o revisamos la ventana. Aquí no se suma.","Dato registrado para la previsión; el estado Realizado requiere su evidencia de cobro/pago."))))))))))))))))))</f>
      </c>
      <c r="K24" t="n" s="27">
        <f>IF(COUNTA(B24:H24)&gt;0,1,0)</f>
        <v>0</v>
      </c>
      <c r="L24" t="str" s="27">
        <f>IF(COUNTA(B24:H24)&gt;0,IFERROR("ID:"&amp;UPPER(TRIM(B24&amp;"")),""),"")</f>
      </c>
      <c r="M24" t="str" s="27">
        <f>IF(NOT(COUNTA(B24:H24)&gt;0),"",IF(OR(ISERROR(B24),ISERROR(C24),ISERROR(D24),ISERROR(E24),ISERROR(F24),ISERROR(G24),ISERROR(H24)),2,IF(OR(ISERROR('CAJA'!$C$17),ISERROR('CAJA'!$C$18),ISERROR('CAJA'!$C$19),ISERROR('CAJA'!$C$20),ISERROR('CAJA'!$C$21),ISERROR('CAJA'!$C$22),ISERROR('CAJA'!$C$23)),1,IF(OR(AND(LEN(TRIM(G24&amp;""))&gt;0,NOT(IF(ISNUMBER(G24),AND(G24&gt;=0,G24=ROUND(G24,2)),FALSE))),AND(LEN(TRIM(F24&amp;""))&gt;0,NOT(IF(ISNUMBER(F24),AND(F24&gt;=1,F24&lt;=2958465,F24=INT(F24)),FALSE))),AND(LEN(TRIM(D24&amp;""))&gt;0,NOT(OR(D24="Cobro",D24="Pago"))),AND(LEN(TRIM(E24&amp;""))&gt;0,NOT(OR(E24="Previsto",E24="Realizado"))),AND(AND(LEN(TRIM(B24&amp;""))&gt;0,TRIM(B24)&lt;&gt;"Pendiente",TRIM(B24)&lt;&gt;"Por confirmar",TRIM(B24)&lt;&gt;"No consta",TRIM(B24)&lt;&gt;"Desconocido"),SUMPRODUCT(($L$10:$L$69=L24)*1)&gt;1),AND(IF(ISNUMBER(F24),AND(F24&gt;=1,F24&lt;=2958465,F24=INT(F24)),FALSE),IF(ISNUMBER('CAJA'!$C$19),AND('CAJA'!$C$19&gt;=1,'CAJA'!$C$19&lt;=2958465,'CAJA'!$C$19=INT('CAJA'!$C$19)),FALSE),OR(AND(E24="Realizado",F24&gt;'CAJA'!$C$19),AND(E24="Previsto",F24&lt;'CAJA'!$C$19))),AND(IF(ISNUMBER(F24),AND(F24&gt;=1,F24&lt;=2958465,F24=INT(F24)),FALSE),'CAJA'!$L$2=1,F24&lt;'CAJA'!$C$18)),2,IF(AND(AND(LEN(TRIM(B24&amp;""))&gt;0,TRIM(B24)&lt;&gt;"Pendiente",TRIM(B24)&lt;&gt;"Por confirmar",TRIM(B24)&lt;&gt;"No consta",TRIM(B24)&lt;&gt;"Desconocido"),AND(LEN(TRIM(C24&amp;""))&gt;0,TRIM(C24)&lt;&gt;"Pendiente",TRIM(C24)&lt;&gt;"Por confirmar",TRIM(C24)&lt;&gt;"No consta",TRIM(C24)&lt;&gt;"Desconocido"),OR(D24="Cobro",D24="Pago"),OR(E24="Previsto",E24="Realizado"),IF(ISNUMBER(F24),AND(F24&gt;=1,F24&lt;=2958465,F24=INT(F24)),FALSE),IF(ISNUMBER(G24),AND(G24&gt;=0,G24=ROUND(G24,2)),FALSE),AND(LEN(TRIM(H24&amp;""))&gt;0,TRIM(H24)&lt;&gt;"Pendiente",TRIM(H24)&lt;&gt;"Por confirmar",TRIM(H24)&lt;&gt;"No consta",TRIM(H24)&lt;&gt;"Desconocido"),'CAJA'!$L$2=1,IF(ISNUMBER('CAJA'!$C$19),AND('CAJA'!$C$19&gt;=1,'CAJA'!$C$19&lt;=2958465,'CAJA'!$C$19=INT('CAJA'!$C$19)),FALSE),F24&gt;='CAJA'!$C$18,F24&lt;'CAJA'!$L$9,NOT(OR(AND(LEN(TRIM(G24&amp;""))&gt;0,NOT(IF(ISNUMBER(G24),AND(G24&gt;=0,G24=ROUND(G24,2)),FALSE))),AND(LEN(TRIM(F24&amp;""))&gt;0,NOT(IF(ISNUMBER(F24),AND(F24&gt;=1,F24&lt;=2958465,F24=INT(F24)),FALSE))),AND(LEN(TRIM(D24&amp;""))&gt;0,NOT(OR(D24="Cobro",D24="Pago"))),AND(LEN(TRIM(E24&amp;""))&gt;0,NOT(OR(E24="Previsto",E24="Realizado"))),AND(AND(LEN(TRIM(B24&amp;""))&gt;0,TRIM(B24)&lt;&gt;"Pendiente",TRIM(B24)&lt;&gt;"Por confirmar",TRIM(B24)&lt;&gt;"No consta",TRIM(B24)&lt;&gt;"Desconocido"),SUMPRODUCT(($L$10:$L$69=L24)*1)&gt;1),AND(IF(ISNUMBER(F24),AND(F24&gt;=1,F24&lt;=2958465,F24=INT(F24)),FALSE),IF(ISNUMBER('CAJA'!$C$19),AND('CAJA'!$C$19&gt;=1,'CAJA'!$C$19&lt;=2958465,'CAJA'!$C$19=INT('CAJA'!$C$19)),FALSE),OR(AND(E24="Realizado",F24&gt;'CAJA'!$C$19),AND(E24="Previsto",F24&lt;'CAJA'!$C$19))),AND(IF(ISNUMBER(F24),AND(F24&gt;=1,F24&lt;=2958465,F24=INT(F24)),FALSE),'CAJA'!$L$2=1,F24&lt;'CAJA'!$C$18)))),0,1)))))</f>
      </c>
      <c r="N24" t="n" s="27">
        <f>IF(AND(K24=1,ISNUMBER(M24),M24=0),1,0)</f>
        <v>0</v>
      </c>
      <c r="O24" t="str" s="27">
        <f>IF(IF(ISNUMBER(F24),AND(F24&gt;=1,F24&lt;=2958465,F24=INT(F24)),FALSE),F24-WEEKDAY(F24,2)+1,"")</f>
      </c>
      <c r="P24" t="n" s="27">
        <f>IF(AND(K24=1,ISNUMBER(M24),M24&gt;0),IF(NOT(IF(ISNUMBER(F24),AND(F24&gt;=1,F24&lt;=2958465,F24=INT(F24)),FALSE)),1,IF('CAJA'!$L$2&lt;&gt;1,1,IF(OR(F24&lt;'CAJA'!$C$18,F24&gt;='CAJA'!$L$9),1,0))),0)</f>
        <v>0</v>
      </c>
    </row>
    <row r="25" ht="69" customHeight="1">
      <c r="B25" s="34"/>
      <c r="C25" s="34"/>
      <c r="D25" s="34"/>
      <c r="E25" s="34"/>
      <c r="F25" s="35"/>
      <c r="G25" s="36"/>
      <c r="H25" s="34"/>
      <c r="I25" s="33" t="str">
        <f>IF(K25=0,"",IF(M25=2,"ROJO",IF(M25=1,"ÁMBAR","VERDE")))</f>
      </c>
      <c r="J25" s="33" t="str">
        <f>IF(K25=0,"",IF(OR(ISERROR(B25),ISERROR(C25),ISERROR(D25),ISERROR(E25),ISERROR(F25),ISERROR(G25),ISERROR(H25)),"Hay una entrada con error de fórmula. Corregimos el dato; no lo convertimos en cero.",IF(OR(ISERROR('CAJA'!$C$17),ISERROR('CAJA'!$C$18),ISERROR('CAJA'!$C$19),ISERROR('CAJA'!$C$20),ISERROR('CAJA'!$C$21),ISERROR('CAJA'!$C$22),ISERROR('CAJA'!$C$23)),"Corregimos la entrada con error en CAJA antes de validar el movimiento.",IF(AND(AND(LEN(TRIM(B25&amp;""))&gt;0,TRIM(B25)&lt;&gt;"Pendiente",TRIM(B25)&lt;&gt;"Por confirmar",TRIM(B25)&lt;&gt;"No consta",TRIM(B25)&lt;&gt;"Desconocido"),SUMPRODUCT(($L$10:$L$69=L25)*1)&gt;1),"ID repetido: actualizamos el mismo movimiento o separamos únicamente la parte realizada y el resto pendiente.",IF(AND(IF(ISNUMBER(F25),AND(F25&gt;=1,F25&lt;=2958465,F25=INT(F25)),FALSE),IF(ISNUMBER('CAJA'!$C$19),AND('CAJA'!$C$19&gt;=1,'CAJA'!$C$19&lt;=2958465,'CAJA'!$C$19=INT('CAJA'!$C$19)),FALSE),E25="Realizado",F25&gt;'CAJA'!$C$19),"Realizado en fecha posterior al corte: revisamos fecha y estado.",IF(AND(IF(ISNUMBER(F25),AND(F25&gt;=1,F25&lt;=2958465,F25=INT(F25)),FALSE),IF(ISNUMBER('CAJA'!$C$19),AND('CAJA'!$C$19&gt;=1,'CAJA'!$C$19&lt;=2958465,'CAJA'!$C$19=INT('CAJA'!$C$19)),FALSE),E25="Previsto",F25&lt;'CAJA'!$C$19),"Previsión vencida: actualizamos su fecha esperada o registramos el movimiento realizado; no lo damos por cobrado.",IF(AND(IF(ISNUMBER(F25),AND(F25&gt;=1,F25&lt;=2958465,F25=INT(F25)),FALSE),'CAJA'!$L$2=1,F25&lt;'CAJA'!$C$18),"Anterior al horizonte: revisamos si ya está en el saldo inicial para no contarlo dos veces.",IF(OR(AND(LEN(TRIM(G25&amp;""))&gt;0,NOT(IF(ISNUMBER(G25),AND(G25&gt;=0,G25=ROUND(G25,2)),FALSE))),AND(LEN(TRIM(F25&amp;""))&gt;0,NOT(IF(ISNUMBER(F25),AND(F25&gt;=1,F25&lt;=2958465,F25=INT(F25)),FALSE))),AND(LEN(TRIM(D25&amp;""))&gt;0,NOT(OR(D25="Cobro",D25="Pago"))),AND(LEN(TRIM(E25&amp;""))&gt;0,NOT(OR(E25="Previsto",E25="Realizado"))),AND(AND(LEN(TRIM(B25&amp;""))&gt;0,TRIM(B25)&lt;&gt;"Pendiente",TRIM(B25)&lt;&gt;"Por confirmar",TRIM(B25)&lt;&gt;"No consta",TRIM(B25)&lt;&gt;"Desconocido"),SUMPRODUCT(($L$10:$L$69=L25)*1)&gt;1),AND(IF(ISNUMBER(F25),AND(F25&gt;=1,F25&lt;=2958465,F25=INT(F25)),FALSE),IF(ISNUMBER('CAJA'!$C$19),AND('CAJA'!$C$19&gt;=1,'CAJA'!$C$19&lt;=2958465,'CAJA'!$C$19=INT('CAJA'!$C$19)),FALSE),OR(AND(E25="Realizado",F25&gt;'CAJA'!$C$19),AND(E25="Previsto",F25&lt;'CAJA'!$C$19))),AND(IF(ISNUMBER(F25),AND(F25&gt;=1,F25&lt;=2958465,F25=INT(F25)),FALSE),'CAJA'!$L$2=1,F25&lt;'CAJA'!$C$18)),"Revisamos fecha, importe positivo/cero explícito y opciones de sentido/estado. Fechas sin hora e importes a céntimos.",IF(NOT(AND(LEN(TRIM(B25&amp;""))&gt;0,TRIM(B25)&lt;&gt;"Pendiente",TRIM(B25)&lt;&gt;"Por confirmar",TRIM(B25)&lt;&gt;"No consta",TRIM(B25)&lt;&gt;"Desconocido")),"Asignamos un identificador único.",IF(NOT(AND(LEN(TRIM(C25&amp;""))&gt;0,TRIM(C25)&lt;&gt;"Pendiente",TRIM(C25)&lt;&gt;"Por confirmar",TRIM(C25)&lt;&gt;"No consta",TRIM(C25)&lt;&gt;"Desconocido")),"Identificamos el concepto.",IF(NOT(OR(D25="Cobro",D25="Pago")),"Elegimos Cobro o Pago.",IF(NOT(OR(E25="Previsto",E25="Realizado")),"Elegimos Previsto o Realizado según lo acreditado.",IF(NOT(IF(ISNUMBER(F25),AND(F25&gt;=1,F25&lt;=2958465,F25=INT(F25)),FALSE)),"Falta fecha/semana: un plazo relativo o la fecha de una oferta no bastan.",IF(NOT(IF(ISNUMBER(G25),AND(G25&gt;=0,G25=ROUND(G25,2)),FALSE)),"Falta importe efectivo; el total de presupuesto no acredita este movimiento.",IF(NOT(AND(LEN(TRIM(H25&amp;""))&gt;0,TRIM(H25)&lt;&gt;"Pendiente",TRIM(H25)&lt;&gt;"Por confirmar",TRIM(H25)&lt;&gt;"No consta",TRIM(H25)&lt;&gt;"Desconocido")),"Identificamos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CAJA.",IF(AND(IF(ISNUMBER(F25),AND(F25&gt;=1,F25&lt;=2958465,F25=INT(F25)),FALSE),'CAJA'!$L$2=1,F25&gt;='CAJA'!$L$9),"Fuera del horizonte: ampliamos semanas (hasta 26) o revisamos la ventana. Aquí no se suma.","Dato registrado para la previsión; el estado Realizado requiere su evidencia de cobro/pago."))))))))))))))))))</f>
      </c>
      <c r="K25" t="n" s="27">
        <f>IF(COUNTA(B25:H25)&gt;0,1,0)</f>
        <v>0</v>
      </c>
      <c r="L25" t="str" s="27">
        <f>IF(COUNTA(B25:H25)&gt;0,IFERROR("ID:"&amp;UPPER(TRIM(B25&amp;"")),""),"")</f>
      </c>
      <c r="M25" t="str" s="27">
        <f>IF(NOT(COUNTA(B25:H25)&gt;0),"",IF(OR(ISERROR(B25),ISERROR(C25),ISERROR(D25),ISERROR(E25),ISERROR(F25),ISERROR(G25),ISERROR(H25)),2,IF(OR(ISERROR('CAJA'!$C$17),ISERROR('CAJA'!$C$18),ISERROR('CAJA'!$C$19),ISERROR('CAJA'!$C$20),ISERROR('CAJA'!$C$21),ISERROR('CAJA'!$C$22),ISERROR('CAJA'!$C$23)),1,IF(OR(AND(LEN(TRIM(G25&amp;""))&gt;0,NOT(IF(ISNUMBER(G25),AND(G25&gt;=0,G25=ROUND(G25,2)),FALSE))),AND(LEN(TRIM(F25&amp;""))&gt;0,NOT(IF(ISNUMBER(F25),AND(F25&gt;=1,F25&lt;=2958465,F25=INT(F25)),FALSE))),AND(LEN(TRIM(D25&amp;""))&gt;0,NOT(OR(D25="Cobro",D25="Pago"))),AND(LEN(TRIM(E25&amp;""))&gt;0,NOT(OR(E25="Previsto",E25="Realizado"))),AND(AND(LEN(TRIM(B25&amp;""))&gt;0,TRIM(B25)&lt;&gt;"Pendiente",TRIM(B25)&lt;&gt;"Por confirmar",TRIM(B25)&lt;&gt;"No consta",TRIM(B25)&lt;&gt;"Desconocido"),SUMPRODUCT(($L$10:$L$69=L25)*1)&gt;1),AND(IF(ISNUMBER(F25),AND(F25&gt;=1,F25&lt;=2958465,F25=INT(F25)),FALSE),IF(ISNUMBER('CAJA'!$C$19),AND('CAJA'!$C$19&gt;=1,'CAJA'!$C$19&lt;=2958465,'CAJA'!$C$19=INT('CAJA'!$C$19)),FALSE),OR(AND(E25="Realizado",F25&gt;'CAJA'!$C$19),AND(E25="Previsto",F25&lt;'CAJA'!$C$19))),AND(IF(ISNUMBER(F25),AND(F25&gt;=1,F25&lt;=2958465,F25=INT(F25)),FALSE),'CAJA'!$L$2=1,F25&lt;'CAJA'!$C$18)),2,IF(AND(AND(LEN(TRIM(B25&amp;""))&gt;0,TRIM(B25)&lt;&gt;"Pendiente",TRIM(B25)&lt;&gt;"Por confirmar",TRIM(B25)&lt;&gt;"No consta",TRIM(B25)&lt;&gt;"Desconocido"),AND(LEN(TRIM(C25&amp;""))&gt;0,TRIM(C25)&lt;&gt;"Pendiente",TRIM(C25)&lt;&gt;"Por confirmar",TRIM(C25)&lt;&gt;"No consta",TRIM(C25)&lt;&gt;"Desconocido"),OR(D25="Cobro",D25="Pago"),OR(E25="Previsto",E25="Realizado"),IF(ISNUMBER(F25),AND(F25&gt;=1,F25&lt;=2958465,F25=INT(F25)),FALSE),IF(ISNUMBER(G25),AND(G25&gt;=0,G25=ROUND(G25,2)),FALSE),AND(LEN(TRIM(H25&amp;""))&gt;0,TRIM(H25)&lt;&gt;"Pendiente",TRIM(H25)&lt;&gt;"Por confirmar",TRIM(H25)&lt;&gt;"No consta",TRIM(H25)&lt;&gt;"Desconocido"),'CAJA'!$L$2=1,IF(ISNUMBER('CAJA'!$C$19),AND('CAJA'!$C$19&gt;=1,'CAJA'!$C$19&lt;=2958465,'CAJA'!$C$19=INT('CAJA'!$C$19)),FALSE),F25&gt;='CAJA'!$C$18,F25&lt;'CAJA'!$L$9,NOT(OR(AND(LEN(TRIM(G25&amp;""))&gt;0,NOT(IF(ISNUMBER(G25),AND(G25&gt;=0,G25=ROUND(G25,2)),FALSE))),AND(LEN(TRIM(F25&amp;""))&gt;0,NOT(IF(ISNUMBER(F25),AND(F25&gt;=1,F25&lt;=2958465,F25=INT(F25)),FALSE))),AND(LEN(TRIM(D25&amp;""))&gt;0,NOT(OR(D25="Cobro",D25="Pago"))),AND(LEN(TRIM(E25&amp;""))&gt;0,NOT(OR(E25="Previsto",E25="Realizado"))),AND(AND(LEN(TRIM(B25&amp;""))&gt;0,TRIM(B25)&lt;&gt;"Pendiente",TRIM(B25)&lt;&gt;"Por confirmar",TRIM(B25)&lt;&gt;"No consta",TRIM(B25)&lt;&gt;"Desconocido"),SUMPRODUCT(($L$10:$L$69=L25)*1)&gt;1),AND(IF(ISNUMBER(F25),AND(F25&gt;=1,F25&lt;=2958465,F25=INT(F25)),FALSE),IF(ISNUMBER('CAJA'!$C$19),AND('CAJA'!$C$19&gt;=1,'CAJA'!$C$19&lt;=2958465,'CAJA'!$C$19=INT('CAJA'!$C$19)),FALSE),OR(AND(E25="Realizado",F25&gt;'CAJA'!$C$19),AND(E25="Previsto",F25&lt;'CAJA'!$C$19))),AND(IF(ISNUMBER(F25),AND(F25&gt;=1,F25&lt;=2958465,F25=INT(F25)),FALSE),'CAJA'!$L$2=1,F25&lt;'CAJA'!$C$18)))),0,1)))))</f>
      </c>
      <c r="N25" t="n" s="27">
        <f>IF(AND(K25=1,ISNUMBER(M25),M25=0),1,0)</f>
        <v>0</v>
      </c>
      <c r="O25" t="str" s="27">
        <f>IF(IF(ISNUMBER(F25),AND(F25&gt;=1,F25&lt;=2958465,F25=INT(F25)),FALSE),F25-WEEKDAY(F25,2)+1,"")</f>
      </c>
      <c r="P25" t="n" s="27">
        <f>IF(AND(K25=1,ISNUMBER(M25),M25&gt;0),IF(NOT(IF(ISNUMBER(F25),AND(F25&gt;=1,F25&lt;=2958465,F25=INT(F25)),FALSE)),1,IF('CAJA'!$L$2&lt;&gt;1,1,IF(OR(F25&lt;'CAJA'!$C$18,F25&gt;='CAJA'!$L$9),1,0))),0)</f>
        <v>0</v>
      </c>
    </row>
    <row r="26" ht="69" customHeight="1">
      <c r="B26" s="34"/>
      <c r="C26" s="34"/>
      <c r="D26" s="34"/>
      <c r="E26" s="34"/>
      <c r="F26" s="35"/>
      <c r="G26" s="36"/>
      <c r="H26" s="34"/>
      <c r="I26" s="33" t="str">
        <f>IF(K26=0,"",IF(M26=2,"ROJO",IF(M26=1,"ÁMBAR","VERDE")))</f>
      </c>
      <c r="J26" s="33" t="str">
        <f>IF(K26=0,"",IF(OR(ISERROR(B26),ISERROR(C26),ISERROR(D26),ISERROR(E26),ISERROR(F26),ISERROR(G26),ISERROR(H26)),"Hay una entrada con error de fórmula. Corregimos el dato; no lo convertimos en cero.",IF(OR(ISERROR('CAJA'!$C$17),ISERROR('CAJA'!$C$18),ISERROR('CAJA'!$C$19),ISERROR('CAJA'!$C$20),ISERROR('CAJA'!$C$21),ISERROR('CAJA'!$C$22),ISERROR('CAJA'!$C$23)),"Corregimos la entrada con error en CAJA antes de validar el movimiento.",IF(AND(AND(LEN(TRIM(B26&amp;""))&gt;0,TRIM(B26)&lt;&gt;"Pendiente",TRIM(B26)&lt;&gt;"Por confirmar",TRIM(B26)&lt;&gt;"No consta",TRIM(B26)&lt;&gt;"Desconocido"),SUMPRODUCT(($L$10:$L$69=L26)*1)&gt;1),"ID repetido: actualizamos el mismo movimiento o separamos únicamente la parte realizada y el resto pendiente.",IF(AND(IF(ISNUMBER(F26),AND(F26&gt;=1,F26&lt;=2958465,F26=INT(F26)),FALSE),IF(ISNUMBER('CAJA'!$C$19),AND('CAJA'!$C$19&gt;=1,'CAJA'!$C$19&lt;=2958465,'CAJA'!$C$19=INT('CAJA'!$C$19)),FALSE),E26="Realizado",F26&gt;'CAJA'!$C$19),"Realizado en fecha posterior al corte: revisamos fecha y estado.",IF(AND(IF(ISNUMBER(F26),AND(F26&gt;=1,F26&lt;=2958465,F26=INT(F26)),FALSE),IF(ISNUMBER('CAJA'!$C$19),AND('CAJA'!$C$19&gt;=1,'CAJA'!$C$19&lt;=2958465,'CAJA'!$C$19=INT('CAJA'!$C$19)),FALSE),E26="Previsto",F26&lt;'CAJA'!$C$19),"Previsión vencida: actualizamos su fecha esperada o registramos el movimiento realizado; no lo damos por cobrado.",IF(AND(IF(ISNUMBER(F26),AND(F26&gt;=1,F26&lt;=2958465,F26=INT(F26)),FALSE),'CAJA'!$L$2=1,F26&lt;'CAJA'!$C$18),"Anterior al horizonte: revisamos si ya está en el saldo inicial para no contarlo dos veces.",IF(OR(AND(LEN(TRIM(G26&amp;""))&gt;0,NOT(IF(ISNUMBER(G26),AND(G26&gt;=0,G26=ROUND(G26,2)),FALSE))),AND(LEN(TRIM(F26&amp;""))&gt;0,NOT(IF(ISNUMBER(F26),AND(F26&gt;=1,F26&lt;=2958465,F26=INT(F26)),FALSE))),AND(LEN(TRIM(D26&amp;""))&gt;0,NOT(OR(D26="Cobro",D26="Pago"))),AND(LEN(TRIM(E26&amp;""))&gt;0,NOT(OR(E26="Previsto",E26="Realizado"))),AND(AND(LEN(TRIM(B26&amp;""))&gt;0,TRIM(B26)&lt;&gt;"Pendiente",TRIM(B26)&lt;&gt;"Por confirmar",TRIM(B26)&lt;&gt;"No consta",TRIM(B26)&lt;&gt;"Desconocido"),SUMPRODUCT(($L$10:$L$69=L26)*1)&gt;1),AND(IF(ISNUMBER(F26),AND(F26&gt;=1,F26&lt;=2958465,F26=INT(F26)),FALSE),IF(ISNUMBER('CAJA'!$C$19),AND('CAJA'!$C$19&gt;=1,'CAJA'!$C$19&lt;=2958465,'CAJA'!$C$19=INT('CAJA'!$C$19)),FALSE),OR(AND(E26="Realizado",F26&gt;'CAJA'!$C$19),AND(E26="Previsto",F26&lt;'CAJA'!$C$19))),AND(IF(ISNUMBER(F26),AND(F26&gt;=1,F26&lt;=2958465,F26=INT(F26)),FALSE),'CAJA'!$L$2=1,F26&lt;'CAJA'!$C$18)),"Revisamos fecha, importe positivo/cero explícito y opciones de sentido/estado. Fechas sin hora e importes a céntimos.",IF(NOT(AND(LEN(TRIM(B26&amp;""))&gt;0,TRIM(B26)&lt;&gt;"Pendiente",TRIM(B26)&lt;&gt;"Por confirmar",TRIM(B26)&lt;&gt;"No consta",TRIM(B26)&lt;&gt;"Desconocido")),"Asignamos un identificador único.",IF(NOT(AND(LEN(TRIM(C26&amp;""))&gt;0,TRIM(C26)&lt;&gt;"Pendiente",TRIM(C26)&lt;&gt;"Por confirmar",TRIM(C26)&lt;&gt;"No consta",TRIM(C26)&lt;&gt;"Desconocido")),"Identificamos el concepto.",IF(NOT(OR(D26="Cobro",D26="Pago")),"Elegimos Cobro o Pago.",IF(NOT(OR(E26="Previsto",E26="Realizado")),"Elegimos Previsto o Realizado según lo acreditado.",IF(NOT(IF(ISNUMBER(F26),AND(F26&gt;=1,F26&lt;=2958465,F26=INT(F26)),FALSE)),"Falta fecha/semana: un plazo relativo o la fecha de una oferta no bastan.",IF(NOT(IF(ISNUMBER(G26),AND(G26&gt;=0,G26=ROUND(G26,2)),FALSE)),"Falta importe efectivo; el total de presupuesto no acredita este movimiento.",IF(NOT(AND(LEN(TRIM(H26&amp;""))&gt;0,TRIM(H26)&lt;&gt;"Pendiente",TRIM(H26)&lt;&gt;"Por confirmar",TRIM(H26)&lt;&gt;"No consta",TRIM(H26)&lt;&gt;"Desconocido")),"Identificamos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CAJA.",IF(AND(IF(ISNUMBER(F26),AND(F26&gt;=1,F26&lt;=2958465,F26=INT(F26)),FALSE),'CAJA'!$L$2=1,F26&gt;='CAJA'!$L$9),"Fuera del horizonte: ampliamos semanas (hasta 26) o revisamos la ventana. Aquí no se suma.","Dato registrado para la previsión; el estado Realizado requiere su evidencia de cobro/pago."))))))))))))))))))</f>
      </c>
      <c r="K26" t="n" s="27">
        <f>IF(COUNTA(B26:H26)&gt;0,1,0)</f>
        <v>0</v>
      </c>
      <c r="L26" t="str" s="27">
        <f>IF(COUNTA(B26:H26)&gt;0,IFERROR("ID:"&amp;UPPER(TRIM(B26&amp;"")),""),"")</f>
      </c>
      <c r="M26" t="str" s="27">
        <f>IF(NOT(COUNTA(B26:H26)&gt;0),"",IF(OR(ISERROR(B26),ISERROR(C26),ISERROR(D26),ISERROR(E26),ISERROR(F26),ISERROR(G26),ISERROR(H26)),2,IF(OR(ISERROR('CAJA'!$C$17),ISERROR('CAJA'!$C$18),ISERROR('CAJA'!$C$19),ISERROR('CAJA'!$C$20),ISERROR('CAJA'!$C$21),ISERROR('CAJA'!$C$22),ISERROR('CAJA'!$C$23)),1,IF(OR(AND(LEN(TRIM(G26&amp;""))&gt;0,NOT(IF(ISNUMBER(G26),AND(G26&gt;=0,G26=ROUND(G26,2)),FALSE))),AND(LEN(TRIM(F26&amp;""))&gt;0,NOT(IF(ISNUMBER(F26),AND(F26&gt;=1,F26&lt;=2958465,F26=INT(F26)),FALSE))),AND(LEN(TRIM(D26&amp;""))&gt;0,NOT(OR(D26="Cobro",D26="Pago"))),AND(LEN(TRIM(E26&amp;""))&gt;0,NOT(OR(E26="Previsto",E26="Realizado"))),AND(AND(LEN(TRIM(B26&amp;""))&gt;0,TRIM(B26)&lt;&gt;"Pendiente",TRIM(B26)&lt;&gt;"Por confirmar",TRIM(B26)&lt;&gt;"No consta",TRIM(B26)&lt;&gt;"Desconocido"),SUMPRODUCT(($L$10:$L$69=L26)*1)&gt;1),AND(IF(ISNUMBER(F26),AND(F26&gt;=1,F26&lt;=2958465,F26=INT(F26)),FALSE),IF(ISNUMBER('CAJA'!$C$19),AND('CAJA'!$C$19&gt;=1,'CAJA'!$C$19&lt;=2958465,'CAJA'!$C$19=INT('CAJA'!$C$19)),FALSE),OR(AND(E26="Realizado",F26&gt;'CAJA'!$C$19),AND(E26="Previsto",F26&lt;'CAJA'!$C$19))),AND(IF(ISNUMBER(F26),AND(F26&gt;=1,F26&lt;=2958465,F26=INT(F26)),FALSE),'CAJA'!$L$2=1,F26&lt;'CAJA'!$C$18)),2,IF(AND(AND(LEN(TRIM(B26&amp;""))&gt;0,TRIM(B26)&lt;&gt;"Pendiente",TRIM(B26)&lt;&gt;"Por confirmar",TRIM(B26)&lt;&gt;"No consta",TRIM(B26)&lt;&gt;"Desconocido"),AND(LEN(TRIM(C26&amp;""))&gt;0,TRIM(C26)&lt;&gt;"Pendiente",TRIM(C26)&lt;&gt;"Por confirmar",TRIM(C26)&lt;&gt;"No consta",TRIM(C26)&lt;&gt;"Desconocido"),OR(D26="Cobro",D26="Pago"),OR(E26="Previsto",E26="Realizado"),IF(ISNUMBER(F26),AND(F26&gt;=1,F26&lt;=2958465,F26=INT(F26)),FALSE),IF(ISNUMBER(G26),AND(G26&gt;=0,G26=ROUND(G26,2)),FALSE),AND(LEN(TRIM(H26&amp;""))&gt;0,TRIM(H26)&lt;&gt;"Pendiente",TRIM(H26)&lt;&gt;"Por confirmar",TRIM(H26)&lt;&gt;"No consta",TRIM(H26)&lt;&gt;"Desconocido"),'CAJA'!$L$2=1,IF(ISNUMBER('CAJA'!$C$19),AND('CAJA'!$C$19&gt;=1,'CAJA'!$C$19&lt;=2958465,'CAJA'!$C$19=INT('CAJA'!$C$19)),FALSE),F26&gt;='CAJA'!$C$18,F26&lt;'CAJA'!$L$9,NOT(OR(AND(LEN(TRIM(G26&amp;""))&gt;0,NOT(IF(ISNUMBER(G26),AND(G26&gt;=0,G26=ROUND(G26,2)),FALSE))),AND(LEN(TRIM(F26&amp;""))&gt;0,NOT(IF(ISNUMBER(F26),AND(F26&gt;=1,F26&lt;=2958465,F26=INT(F26)),FALSE))),AND(LEN(TRIM(D26&amp;""))&gt;0,NOT(OR(D26="Cobro",D26="Pago"))),AND(LEN(TRIM(E26&amp;""))&gt;0,NOT(OR(E26="Previsto",E26="Realizado"))),AND(AND(LEN(TRIM(B26&amp;""))&gt;0,TRIM(B26)&lt;&gt;"Pendiente",TRIM(B26)&lt;&gt;"Por confirmar",TRIM(B26)&lt;&gt;"No consta",TRIM(B26)&lt;&gt;"Desconocido"),SUMPRODUCT(($L$10:$L$69=L26)*1)&gt;1),AND(IF(ISNUMBER(F26),AND(F26&gt;=1,F26&lt;=2958465,F26=INT(F26)),FALSE),IF(ISNUMBER('CAJA'!$C$19),AND('CAJA'!$C$19&gt;=1,'CAJA'!$C$19&lt;=2958465,'CAJA'!$C$19=INT('CAJA'!$C$19)),FALSE),OR(AND(E26="Realizado",F26&gt;'CAJA'!$C$19),AND(E26="Previsto",F26&lt;'CAJA'!$C$19))),AND(IF(ISNUMBER(F26),AND(F26&gt;=1,F26&lt;=2958465,F26=INT(F26)),FALSE),'CAJA'!$L$2=1,F26&lt;'CAJA'!$C$18)))),0,1)))))</f>
      </c>
      <c r="N26" t="n" s="27">
        <f>IF(AND(K26=1,ISNUMBER(M26),M26=0),1,0)</f>
        <v>0</v>
      </c>
      <c r="O26" t="str" s="27">
        <f>IF(IF(ISNUMBER(F26),AND(F26&gt;=1,F26&lt;=2958465,F26=INT(F26)),FALSE),F26-WEEKDAY(F26,2)+1,"")</f>
      </c>
      <c r="P26" t="n" s="27">
        <f>IF(AND(K26=1,ISNUMBER(M26),M26&gt;0),IF(NOT(IF(ISNUMBER(F26),AND(F26&gt;=1,F26&lt;=2958465,F26=INT(F26)),FALSE)),1,IF('CAJA'!$L$2&lt;&gt;1,1,IF(OR(F26&lt;'CAJA'!$C$18,F26&gt;='CAJA'!$L$9),1,0))),0)</f>
        <v>0</v>
      </c>
    </row>
    <row r="27" ht="69" customHeight="1">
      <c r="B27" s="34"/>
      <c r="C27" s="34"/>
      <c r="D27" s="34"/>
      <c r="E27" s="34"/>
      <c r="F27" s="35"/>
      <c r="G27" s="36"/>
      <c r="H27" s="34"/>
      <c r="I27" s="33" t="str">
        <f>IF(K27=0,"",IF(M27=2,"ROJO",IF(M27=1,"ÁMBAR","VERDE")))</f>
      </c>
      <c r="J27" s="33" t="str">
        <f>IF(K27=0,"",IF(OR(ISERROR(B27),ISERROR(C27),ISERROR(D27),ISERROR(E27),ISERROR(F27),ISERROR(G27),ISERROR(H27)),"Hay una entrada con error de fórmula. Corregimos el dato; no lo convertimos en cero.",IF(OR(ISERROR('CAJA'!$C$17),ISERROR('CAJA'!$C$18),ISERROR('CAJA'!$C$19),ISERROR('CAJA'!$C$20),ISERROR('CAJA'!$C$21),ISERROR('CAJA'!$C$22),ISERROR('CAJA'!$C$23)),"Corregimos la entrada con error en CAJA antes de validar el movimiento.",IF(AND(AND(LEN(TRIM(B27&amp;""))&gt;0,TRIM(B27)&lt;&gt;"Pendiente",TRIM(B27)&lt;&gt;"Por confirmar",TRIM(B27)&lt;&gt;"No consta",TRIM(B27)&lt;&gt;"Desconocido"),SUMPRODUCT(($L$10:$L$69=L27)*1)&gt;1),"ID repetido: actualizamos el mismo movimiento o separamos únicamente la parte realizada y el resto pendiente.",IF(AND(IF(ISNUMBER(F27),AND(F27&gt;=1,F27&lt;=2958465,F27=INT(F27)),FALSE),IF(ISNUMBER('CAJA'!$C$19),AND('CAJA'!$C$19&gt;=1,'CAJA'!$C$19&lt;=2958465,'CAJA'!$C$19=INT('CAJA'!$C$19)),FALSE),E27="Realizado",F27&gt;'CAJA'!$C$19),"Realizado en fecha posterior al corte: revisamos fecha y estado.",IF(AND(IF(ISNUMBER(F27),AND(F27&gt;=1,F27&lt;=2958465,F27=INT(F27)),FALSE),IF(ISNUMBER('CAJA'!$C$19),AND('CAJA'!$C$19&gt;=1,'CAJA'!$C$19&lt;=2958465,'CAJA'!$C$19=INT('CAJA'!$C$19)),FALSE),E27="Previsto",F27&lt;'CAJA'!$C$19),"Previsión vencida: actualizamos su fecha esperada o registramos el movimiento realizado; no lo damos por cobrado.",IF(AND(IF(ISNUMBER(F27),AND(F27&gt;=1,F27&lt;=2958465,F27=INT(F27)),FALSE),'CAJA'!$L$2=1,F27&lt;'CAJA'!$C$18),"Anterior al horizonte: revisamos si ya está en el saldo inicial para no contarlo dos veces.",IF(OR(AND(LEN(TRIM(G27&amp;""))&gt;0,NOT(IF(ISNUMBER(G27),AND(G27&gt;=0,G27=ROUND(G27,2)),FALSE))),AND(LEN(TRIM(F27&amp;""))&gt;0,NOT(IF(ISNUMBER(F27),AND(F27&gt;=1,F27&lt;=2958465,F27=INT(F27)),FALSE))),AND(LEN(TRIM(D27&amp;""))&gt;0,NOT(OR(D27="Cobro",D27="Pago"))),AND(LEN(TRIM(E27&amp;""))&gt;0,NOT(OR(E27="Previsto",E27="Realizado"))),AND(AND(LEN(TRIM(B27&amp;""))&gt;0,TRIM(B27)&lt;&gt;"Pendiente",TRIM(B27)&lt;&gt;"Por confirmar",TRIM(B27)&lt;&gt;"No consta",TRIM(B27)&lt;&gt;"Desconocido"),SUMPRODUCT(($L$10:$L$69=L27)*1)&gt;1),AND(IF(ISNUMBER(F27),AND(F27&gt;=1,F27&lt;=2958465,F27=INT(F27)),FALSE),IF(ISNUMBER('CAJA'!$C$19),AND('CAJA'!$C$19&gt;=1,'CAJA'!$C$19&lt;=2958465,'CAJA'!$C$19=INT('CAJA'!$C$19)),FALSE),OR(AND(E27="Realizado",F27&gt;'CAJA'!$C$19),AND(E27="Previsto",F27&lt;'CAJA'!$C$19))),AND(IF(ISNUMBER(F27),AND(F27&gt;=1,F27&lt;=2958465,F27=INT(F27)),FALSE),'CAJA'!$L$2=1,F27&lt;'CAJA'!$C$18)),"Revisamos fecha, importe positivo/cero explícito y opciones de sentido/estado. Fechas sin hora e importes a céntimos.",IF(NOT(AND(LEN(TRIM(B27&amp;""))&gt;0,TRIM(B27)&lt;&gt;"Pendiente",TRIM(B27)&lt;&gt;"Por confirmar",TRIM(B27)&lt;&gt;"No consta",TRIM(B27)&lt;&gt;"Desconocido")),"Asignamos un identificador único.",IF(NOT(AND(LEN(TRIM(C27&amp;""))&gt;0,TRIM(C27)&lt;&gt;"Pendiente",TRIM(C27)&lt;&gt;"Por confirmar",TRIM(C27)&lt;&gt;"No consta",TRIM(C27)&lt;&gt;"Desconocido")),"Identificamos el concepto.",IF(NOT(OR(D27="Cobro",D27="Pago")),"Elegimos Cobro o Pago.",IF(NOT(OR(E27="Previsto",E27="Realizado")),"Elegimos Previsto o Realizado según lo acreditado.",IF(NOT(IF(ISNUMBER(F27),AND(F27&gt;=1,F27&lt;=2958465,F27=INT(F27)),FALSE)),"Falta fecha/semana: un plazo relativo o la fecha de una oferta no bastan.",IF(NOT(IF(ISNUMBER(G27),AND(G27&gt;=0,G27=ROUND(G27,2)),FALSE)),"Falta importe efectivo; el total de presupuesto no acredita este movimiento.",IF(NOT(AND(LEN(TRIM(H27&amp;""))&gt;0,TRIM(H27)&lt;&gt;"Pendiente",TRIM(H27)&lt;&gt;"Por confirmar",TRIM(H27)&lt;&gt;"No consta",TRIM(H27)&lt;&gt;"Desconocido")),"Identificamos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CAJA.",IF(AND(IF(ISNUMBER(F27),AND(F27&gt;=1,F27&lt;=2958465,F27=INT(F27)),FALSE),'CAJA'!$L$2=1,F27&gt;='CAJA'!$L$9),"Fuera del horizonte: ampliamos semanas (hasta 26) o revisamos la ventana. Aquí no se suma.","Dato registrado para la previsión; el estado Realizado requiere su evidencia de cobro/pago."))))))))))))))))))</f>
      </c>
      <c r="K27" t="n" s="27">
        <f>IF(COUNTA(B27:H27)&gt;0,1,0)</f>
        <v>0</v>
      </c>
      <c r="L27" t="str" s="27">
        <f>IF(COUNTA(B27:H27)&gt;0,IFERROR("ID:"&amp;UPPER(TRIM(B27&amp;"")),""),"")</f>
      </c>
      <c r="M27" t="str" s="27">
        <f>IF(NOT(COUNTA(B27:H27)&gt;0),"",IF(OR(ISERROR(B27),ISERROR(C27),ISERROR(D27),ISERROR(E27),ISERROR(F27),ISERROR(G27),ISERROR(H27)),2,IF(OR(ISERROR('CAJA'!$C$17),ISERROR('CAJA'!$C$18),ISERROR('CAJA'!$C$19),ISERROR('CAJA'!$C$20),ISERROR('CAJA'!$C$21),ISERROR('CAJA'!$C$22),ISERROR('CAJA'!$C$23)),1,IF(OR(AND(LEN(TRIM(G27&amp;""))&gt;0,NOT(IF(ISNUMBER(G27),AND(G27&gt;=0,G27=ROUND(G27,2)),FALSE))),AND(LEN(TRIM(F27&amp;""))&gt;0,NOT(IF(ISNUMBER(F27),AND(F27&gt;=1,F27&lt;=2958465,F27=INT(F27)),FALSE))),AND(LEN(TRIM(D27&amp;""))&gt;0,NOT(OR(D27="Cobro",D27="Pago"))),AND(LEN(TRIM(E27&amp;""))&gt;0,NOT(OR(E27="Previsto",E27="Realizado"))),AND(AND(LEN(TRIM(B27&amp;""))&gt;0,TRIM(B27)&lt;&gt;"Pendiente",TRIM(B27)&lt;&gt;"Por confirmar",TRIM(B27)&lt;&gt;"No consta",TRIM(B27)&lt;&gt;"Desconocido"),SUMPRODUCT(($L$10:$L$69=L27)*1)&gt;1),AND(IF(ISNUMBER(F27),AND(F27&gt;=1,F27&lt;=2958465,F27=INT(F27)),FALSE),IF(ISNUMBER('CAJA'!$C$19),AND('CAJA'!$C$19&gt;=1,'CAJA'!$C$19&lt;=2958465,'CAJA'!$C$19=INT('CAJA'!$C$19)),FALSE),OR(AND(E27="Realizado",F27&gt;'CAJA'!$C$19),AND(E27="Previsto",F27&lt;'CAJA'!$C$19))),AND(IF(ISNUMBER(F27),AND(F27&gt;=1,F27&lt;=2958465,F27=INT(F27)),FALSE),'CAJA'!$L$2=1,F27&lt;'CAJA'!$C$18)),2,IF(AND(AND(LEN(TRIM(B27&amp;""))&gt;0,TRIM(B27)&lt;&gt;"Pendiente",TRIM(B27)&lt;&gt;"Por confirmar",TRIM(B27)&lt;&gt;"No consta",TRIM(B27)&lt;&gt;"Desconocido"),AND(LEN(TRIM(C27&amp;""))&gt;0,TRIM(C27)&lt;&gt;"Pendiente",TRIM(C27)&lt;&gt;"Por confirmar",TRIM(C27)&lt;&gt;"No consta",TRIM(C27)&lt;&gt;"Desconocido"),OR(D27="Cobro",D27="Pago"),OR(E27="Previsto",E27="Realizado"),IF(ISNUMBER(F27),AND(F27&gt;=1,F27&lt;=2958465,F27=INT(F27)),FALSE),IF(ISNUMBER(G27),AND(G27&gt;=0,G27=ROUND(G27,2)),FALSE),AND(LEN(TRIM(H27&amp;""))&gt;0,TRIM(H27)&lt;&gt;"Pendiente",TRIM(H27)&lt;&gt;"Por confirmar",TRIM(H27)&lt;&gt;"No consta",TRIM(H27)&lt;&gt;"Desconocido"),'CAJA'!$L$2=1,IF(ISNUMBER('CAJA'!$C$19),AND('CAJA'!$C$19&gt;=1,'CAJA'!$C$19&lt;=2958465,'CAJA'!$C$19=INT('CAJA'!$C$19)),FALSE),F27&gt;='CAJA'!$C$18,F27&lt;'CAJA'!$L$9,NOT(OR(AND(LEN(TRIM(G27&amp;""))&gt;0,NOT(IF(ISNUMBER(G27),AND(G27&gt;=0,G27=ROUND(G27,2)),FALSE))),AND(LEN(TRIM(F27&amp;""))&gt;0,NOT(IF(ISNUMBER(F27),AND(F27&gt;=1,F27&lt;=2958465,F27=INT(F27)),FALSE))),AND(LEN(TRIM(D27&amp;""))&gt;0,NOT(OR(D27="Cobro",D27="Pago"))),AND(LEN(TRIM(E27&amp;""))&gt;0,NOT(OR(E27="Previsto",E27="Realizado"))),AND(AND(LEN(TRIM(B27&amp;""))&gt;0,TRIM(B27)&lt;&gt;"Pendiente",TRIM(B27)&lt;&gt;"Por confirmar",TRIM(B27)&lt;&gt;"No consta",TRIM(B27)&lt;&gt;"Desconocido"),SUMPRODUCT(($L$10:$L$69=L27)*1)&gt;1),AND(IF(ISNUMBER(F27),AND(F27&gt;=1,F27&lt;=2958465,F27=INT(F27)),FALSE),IF(ISNUMBER('CAJA'!$C$19),AND('CAJA'!$C$19&gt;=1,'CAJA'!$C$19&lt;=2958465,'CAJA'!$C$19=INT('CAJA'!$C$19)),FALSE),OR(AND(E27="Realizado",F27&gt;'CAJA'!$C$19),AND(E27="Previsto",F27&lt;'CAJA'!$C$19))),AND(IF(ISNUMBER(F27),AND(F27&gt;=1,F27&lt;=2958465,F27=INT(F27)),FALSE),'CAJA'!$L$2=1,F27&lt;'CAJA'!$C$18)))),0,1)))))</f>
      </c>
      <c r="N27" t="n" s="27">
        <f>IF(AND(K27=1,ISNUMBER(M27),M27=0),1,0)</f>
        <v>0</v>
      </c>
      <c r="O27" t="str" s="27">
        <f>IF(IF(ISNUMBER(F27),AND(F27&gt;=1,F27&lt;=2958465,F27=INT(F27)),FALSE),F27-WEEKDAY(F27,2)+1,"")</f>
      </c>
      <c r="P27" t="n" s="27">
        <f>IF(AND(K27=1,ISNUMBER(M27),M27&gt;0),IF(NOT(IF(ISNUMBER(F27),AND(F27&gt;=1,F27&lt;=2958465,F27=INT(F27)),FALSE)),1,IF('CAJA'!$L$2&lt;&gt;1,1,IF(OR(F27&lt;'CAJA'!$C$18,F27&gt;='CAJA'!$L$9),1,0))),0)</f>
        <v>0</v>
      </c>
    </row>
    <row r="28" ht="69" customHeight="1">
      <c r="B28" s="34"/>
      <c r="C28" s="34"/>
      <c r="D28" s="34"/>
      <c r="E28" s="34"/>
      <c r="F28" s="35"/>
      <c r="G28" s="36"/>
      <c r="H28" s="34"/>
      <c r="I28" s="33" t="str">
        <f>IF(K28=0,"",IF(M28=2,"ROJO",IF(M28=1,"ÁMBAR","VERDE")))</f>
      </c>
      <c r="J28" s="33" t="str">
        <f>IF(K28=0,"",IF(OR(ISERROR(B28),ISERROR(C28),ISERROR(D28),ISERROR(E28),ISERROR(F28),ISERROR(G28),ISERROR(H28)),"Hay una entrada con error de fórmula. Corregimos el dato; no lo convertimos en cero.",IF(OR(ISERROR('CAJA'!$C$17),ISERROR('CAJA'!$C$18),ISERROR('CAJA'!$C$19),ISERROR('CAJA'!$C$20),ISERROR('CAJA'!$C$21),ISERROR('CAJA'!$C$22),ISERROR('CAJA'!$C$23)),"Corregimos la entrada con error en CAJA antes de validar el movimiento.",IF(AND(AND(LEN(TRIM(B28&amp;""))&gt;0,TRIM(B28)&lt;&gt;"Pendiente",TRIM(B28)&lt;&gt;"Por confirmar",TRIM(B28)&lt;&gt;"No consta",TRIM(B28)&lt;&gt;"Desconocido"),SUMPRODUCT(($L$10:$L$69=L28)*1)&gt;1),"ID repetido: actualizamos el mismo movimiento o separamos únicamente la parte realizada y el resto pendiente.",IF(AND(IF(ISNUMBER(F28),AND(F28&gt;=1,F28&lt;=2958465,F28=INT(F28)),FALSE),IF(ISNUMBER('CAJA'!$C$19),AND('CAJA'!$C$19&gt;=1,'CAJA'!$C$19&lt;=2958465,'CAJA'!$C$19=INT('CAJA'!$C$19)),FALSE),E28="Realizado",F28&gt;'CAJA'!$C$19),"Realizado en fecha posterior al corte: revisamos fecha y estado.",IF(AND(IF(ISNUMBER(F28),AND(F28&gt;=1,F28&lt;=2958465,F28=INT(F28)),FALSE),IF(ISNUMBER('CAJA'!$C$19),AND('CAJA'!$C$19&gt;=1,'CAJA'!$C$19&lt;=2958465,'CAJA'!$C$19=INT('CAJA'!$C$19)),FALSE),E28="Previsto",F28&lt;'CAJA'!$C$19),"Previsión vencida: actualizamos su fecha esperada o registramos el movimiento realizado; no lo damos por cobrado.",IF(AND(IF(ISNUMBER(F28),AND(F28&gt;=1,F28&lt;=2958465,F28=INT(F28)),FALSE),'CAJA'!$L$2=1,F28&lt;'CAJA'!$C$18),"Anterior al horizonte: revisamos si ya está en el saldo inicial para no contarlo dos veces.",IF(OR(AND(LEN(TRIM(G28&amp;""))&gt;0,NOT(IF(ISNUMBER(G28),AND(G28&gt;=0,G28=ROUND(G28,2)),FALSE))),AND(LEN(TRIM(F28&amp;""))&gt;0,NOT(IF(ISNUMBER(F28),AND(F28&gt;=1,F28&lt;=2958465,F28=INT(F28)),FALSE))),AND(LEN(TRIM(D28&amp;""))&gt;0,NOT(OR(D28="Cobro",D28="Pago"))),AND(LEN(TRIM(E28&amp;""))&gt;0,NOT(OR(E28="Previsto",E28="Realizado"))),AND(AND(LEN(TRIM(B28&amp;""))&gt;0,TRIM(B28)&lt;&gt;"Pendiente",TRIM(B28)&lt;&gt;"Por confirmar",TRIM(B28)&lt;&gt;"No consta",TRIM(B28)&lt;&gt;"Desconocido"),SUMPRODUCT(($L$10:$L$69=L28)*1)&gt;1),AND(IF(ISNUMBER(F28),AND(F28&gt;=1,F28&lt;=2958465,F28=INT(F28)),FALSE),IF(ISNUMBER('CAJA'!$C$19),AND('CAJA'!$C$19&gt;=1,'CAJA'!$C$19&lt;=2958465,'CAJA'!$C$19=INT('CAJA'!$C$19)),FALSE),OR(AND(E28="Realizado",F28&gt;'CAJA'!$C$19),AND(E28="Previsto",F28&lt;'CAJA'!$C$19))),AND(IF(ISNUMBER(F28),AND(F28&gt;=1,F28&lt;=2958465,F28=INT(F28)),FALSE),'CAJA'!$L$2=1,F28&lt;'CAJA'!$C$18)),"Revisamos fecha, importe positivo/cero explícito y opciones de sentido/estado. Fechas sin hora e importes a céntimos.",IF(NOT(AND(LEN(TRIM(B28&amp;""))&gt;0,TRIM(B28)&lt;&gt;"Pendiente",TRIM(B28)&lt;&gt;"Por confirmar",TRIM(B28)&lt;&gt;"No consta",TRIM(B28)&lt;&gt;"Desconocido")),"Asignamos un identificador único.",IF(NOT(AND(LEN(TRIM(C28&amp;""))&gt;0,TRIM(C28)&lt;&gt;"Pendiente",TRIM(C28)&lt;&gt;"Por confirmar",TRIM(C28)&lt;&gt;"No consta",TRIM(C28)&lt;&gt;"Desconocido")),"Identificamos el concepto.",IF(NOT(OR(D28="Cobro",D28="Pago")),"Elegimos Cobro o Pago.",IF(NOT(OR(E28="Previsto",E28="Realizado")),"Elegimos Previsto o Realizado según lo acreditado.",IF(NOT(IF(ISNUMBER(F28),AND(F28&gt;=1,F28&lt;=2958465,F28=INT(F28)),FALSE)),"Falta fecha/semana: un plazo relativo o la fecha de una oferta no bastan.",IF(NOT(IF(ISNUMBER(G28),AND(G28&gt;=0,G28=ROUND(G28,2)),FALSE)),"Falta importe efectivo; el total de presupuesto no acredita este movimiento.",IF(NOT(AND(LEN(TRIM(H28&amp;""))&gt;0,TRIM(H28)&lt;&gt;"Pendiente",TRIM(H28)&lt;&gt;"Por confirmar",TRIM(H28)&lt;&gt;"No consta",TRIM(H28)&lt;&gt;"Desconocido")),"Identificamos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CAJA.",IF(AND(IF(ISNUMBER(F28),AND(F28&gt;=1,F28&lt;=2958465,F28=INT(F28)),FALSE),'CAJA'!$L$2=1,F28&gt;='CAJA'!$L$9),"Fuera del horizonte: ampliamos semanas (hasta 26) o revisamos la ventana. Aquí no se suma.","Dato registrado para la previsión; el estado Realizado requiere su evidencia de cobro/pago."))))))))))))))))))</f>
      </c>
      <c r="K28" t="n" s="27">
        <f>IF(COUNTA(B28:H28)&gt;0,1,0)</f>
        <v>0</v>
      </c>
      <c r="L28" t="str" s="27">
        <f>IF(COUNTA(B28:H28)&gt;0,IFERROR("ID:"&amp;UPPER(TRIM(B28&amp;"")),""),"")</f>
      </c>
      <c r="M28" t="str" s="27">
        <f>IF(NOT(COUNTA(B28:H28)&gt;0),"",IF(OR(ISERROR(B28),ISERROR(C28),ISERROR(D28),ISERROR(E28),ISERROR(F28),ISERROR(G28),ISERROR(H28)),2,IF(OR(ISERROR('CAJA'!$C$17),ISERROR('CAJA'!$C$18),ISERROR('CAJA'!$C$19),ISERROR('CAJA'!$C$20),ISERROR('CAJA'!$C$21),ISERROR('CAJA'!$C$22),ISERROR('CAJA'!$C$23)),1,IF(OR(AND(LEN(TRIM(G28&amp;""))&gt;0,NOT(IF(ISNUMBER(G28),AND(G28&gt;=0,G28=ROUND(G28,2)),FALSE))),AND(LEN(TRIM(F28&amp;""))&gt;0,NOT(IF(ISNUMBER(F28),AND(F28&gt;=1,F28&lt;=2958465,F28=INT(F28)),FALSE))),AND(LEN(TRIM(D28&amp;""))&gt;0,NOT(OR(D28="Cobro",D28="Pago"))),AND(LEN(TRIM(E28&amp;""))&gt;0,NOT(OR(E28="Previsto",E28="Realizado"))),AND(AND(LEN(TRIM(B28&amp;""))&gt;0,TRIM(B28)&lt;&gt;"Pendiente",TRIM(B28)&lt;&gt;"Por confirmar",TRIM(B28)&lt;&gt;"No consta",TRIM(B28)&lt;&gt;"Desconocido"),SUMPRODUCT(($L$10:$L$69=L28)*1)&gt;1),AND(IF(ISNUMBER(F28),AND(F28&gt;=1,F28&lt;=2958465,F28=INT(F28)),FALSE),IF(ISNUMBER('CAJA'!$C$19),AND('CAJA'!$C$19&gt;=1,'CAJA'!$C$19&lt;=2958465,'CAJA'!$C$19=INT('CAJA'!$C$19)),FALSE),OR(AND(E28="Realizado",F28&gt;'CAJA'!$C$19),AND(E28="Previsto",F28&lt;'CAJA'!$C$19))),AND(IF(ISNUMBER(F28),AND(F28&gt;=1,F28&lt;=2958465,F28=INT(F28)),FALSE),'CAJA'!$L$2=1,F28&lt;'CAJA'!$C$18)),2,IF(AND(AND(LEN(TRIM(B28&amp;""))&gt;0,TRIM(B28)&lt;&gt;"Pendiente",TRIM(B28)&lt;&gt;"Por confirmar",TRIM(B28)&lt;&gt;"No consta",TRIM(B28)&lt;&gt;"Desconocido"),AND(LEN(TRIM(C28&amp;""))&gt;0,TRIM(C28)&lt;&gt;"Pendiente",TRIM(C28)&lt;&gt;"Por confirmar",TRIM(C28)&lt;&gt;"No consta",TRIM(C28)&lt;&gt;"Desconocido"),OR(D28="Cobro",D28="Pago"),OR(E28="Previsto",E28="Realizado"),IF(ISNUMBER(F28),AND(F28&gt;=1,F28&lt;=2958465,F28=INT(F28)),FALSE),IF(ISNUMBER(G28),AND(G28&gt;=0,G28=ROUND(G28,2)),FALSE),AND(LEN(TRIM(H28&amp;""))&gt;0,TRIM(H28)&lt;&gt;"Pendiente",TRIM(H28)&lt;&gt;"Por confirmar",TRIM(H28)&lt;&gt;"No consta",TRIM(H28)&lt;&gt;"Desconocido"),'CAJA'!$L$2=1,IF(ISNUMBER('CAJA'!$C$19),AND('CAJA'!$C$19&gt;=1,'CAJA'!$C$19&lt;=2958465,'CAJA'!$C$19=INT('CAJA'!$C$19)),FALSE),F28&gt;='CAJA'!$C$18,F28&lt;'CAJA'!$L$9,NOT(OR(AND(LEN(TRIM(G28&amp;""))&gt;0,NOT(IF(ISNUMBER(G28),AND(G28&gt;=0,G28=ROUND(G28,2)),FALSE))),AND(LEN(TRIM(F28&amp;""))&gt;0,NOT(IF(ISNUMBER(F28),AND(F28&gt;=1,F28&lt;=2958465,F28=INT(F28)),FALSE))),AND(LEN(TRIM(D28&amp;""))&gt;0,NOT(OR(D28="Cobro",D28="Pago"))),AND(LEN(TRIM(E28&amp;""))&gt;0,NOT(OR(E28="Previsto",E28="Realizado"))),AND(AND(LEN(TRIM(B28&amp;""))&gt;0,TRIM(B28)&lt;&gt;"Pendiente",TRIM(B28)&lt;&gt;"Por confirmar",TRIM(B28)&lt;&gt;"No consta",TRIM(B28)&lt;&gt;"Desconocido"),SUMPRODUCT(($L$10:$L$69=L28)*1)&gt;1),AND(IF(ISNUMBER(F28),AND(F28&gt;=1,F28&lt;=2958465,F28=INT(F28)),FALSE),IF(ISNUMBER('CAJA'!$C$19),AND('CAJA'!$C$19&gt;=1,'CAJA'!$C$19&lt;=2958465,'CAJA'!$C$19=INT('CAJA'!$C$19)),FALSE),OR(AND(E28="Realizado",F28&gt;'CAJA'!$C$19),AND(E28="Previsto",F28&lt;'CAJA'!$C$19))),AND(IF(ISNUMBER(F28),AND(F28&gt;=1,F28&lt;=2958465,F28=INT(F28)),FALSE),'CAJA'!$L$2=1,F28&lt;'CAJA'!$C$18)))),0,1)))))</f>
      </c>
      <c r="N28" t="n" s="27">
        <f>IF(AND(K28=1,ISNUMBER(M28),M28=0),1,0)</f>
        <v>0</v>
      </c>
      <c r="O28" t="str" s="27">
        <f>IF(IF(ISNUMBER(F28),AND(F28&gt;=1,F28&lt;=2958465,F28=INT(F28)),FALSE),F28-WEEKDAY(F28,2)+1,"")</f>
      </c>
      <c r="P28" t="n" s="27">
        <f>IF(AND(K28=1,ISNUMBER(M28),M28&gt;0),IF(NOT(IF(ISNUMBER(F28),AND(F28&gt;=1,F28&lt;=2958465,F28=INT(F28)),FALSE)),1,IF('CAJA'!$L$2&lt;&gt;1,1,IF(OR(F28&lt;'CAJA'!$C$18,F28&gt;='CAJA'!$L$9),1,0))),0)</f>
        <v>0</v>
      </c>
    </row>
    <row r="29" ht="69" customHeight="1">
      <c r="B29" s="34"/>
      <c r="C29" s="34"/>
      <c r="D29" s="34"/>
      <c r="E29" s="34"/>
      <c r="F29" s="35"/>
      <c r="G29" s="36"/>
      <c r="H29" s="34"/>
      <c r="I29" s="33" t="str">
        <f>IF(K29=0,"",IF(M29=2,"ROJO",IF(M29=1,"ÁMBAR","VERDE")))</f>
      </c>
      <c r="J29" s="33" t="str">
        <f>IF(K29=0,"",IF(OR(ISERROR(B29),ISERROR(C29),ISERROR(D29),ISERROR(E29),ISERROR(F29),ISERROR(G29),ISERROR(H29)),"Hay una entrada con error de fórmula. Corregimos el dato; no lo convertimos en cero.",IF(OR(ISERROR('CAJA'!$C$17),ISERROR('CAJA'!$C$18),ISERROR('CAJA'!$C$19),ISERROR('CAJA'!$C$20),ISERROR('CAJA'!$C$21),ISERROR('CAJA'!$C$22),ISERROR('CAJA'!$C$23)),"Corregimos la entrada con error en CAJA antes de validar el movimiento.",IF(AND(AND(LEN(TRIM(B29&amp;""))&gt;0,TRIM(B29)&lt;&gt;"Pendiente",TRIM(B29)&lt;&gt;"Por confirmar",TRIM(B29)&lt;&gt;"No consta",TRIM(B29)&lt;&gt;"Desconocido"),SUMPRODUCT(($L$10:$L$69=L29)*1)&gt;1),"ID repetido: actualizamos el mismo movimiento o separamos únicamente la parte realizada y el resto pendiente.",IF(AND(IF(ISNUMBER(F29),AND(F29&gt;=1,F29&lt;=2958465,F29=INT(F29)),FALSE),IF(ISNUMBER('CAJA'!$C$19),AND('CAJA'!$C$19&gt;=1,'CAJA'!$C$19&lt;=2958465,'CAJA'!$C$19=INT('CAJA'!$C$19)),FALSE),E29="Realizado",F29&gt;'CAJA'!$C$19),"Realizado en fecha posterior al corte: revisamos fecha y estado.",IF(AND(IF(ISNUMBER(F29),AND(F29&gt;=1,F29&lt;=2958465,F29=INT(F29)),FALSE),IF(ISNUMBER('CAJA'!$C$19),AND('CAJA'!$C$19&gt;=1,'CAJA'!$C$19&lt;=2958465,'CAJA'!$C$19=INT('CAJA'!$C$19)),FALSE),E29="Previsto",F29&lt;'CAJA'!$C$19),"Previsión vencida: actualizamos su fecha esperada o registramos el movimiento realizado; no lo damos por cobrado.",IF(AND(IF(ISNUMBER(F29),AND(F29&gt;=1,F29&lt;=2958465,F29=INT(F29)),FALSE),'CAJA'!$L$2=1,F29&lt;'CAJA'!$C$18),"Anterior al horizonte: revisamos si ya está en el saldo inicial para no contarlo dos veces.",IF(OR(AND(LEN(TRIM(G29&amp;""))&gt;0,NOT(IF(ISNUMBER(G29),AND(G29&gt;=0,G29=ROUND(G29,2)),FALSE))),AND(LEN(TRIM(F29&amp;""))&gt;0,NOT(IF(ISNUMBER(F29),AND(F29&gt;=1,F29&lt;=2958465,F29=INT(F29)),FALSE))),AND(LEN(TRIM(D29&amp;""))&gt;0,NOT(OR(D29="Cobro",D29="Pago"))),AND(LEN(TRIM(E29&amp;""))&gt;0,NOT(OR(E29="Previsto",E29="Realizado"))),AND(AND(LEN(TRIM(B29&amp;""))&gt;0,TRIM(B29)&lt;&gt;"Pendiente",TRIM(B29)&lt;&gt;"Por confirmar",TRIM(B29)&lt;&gt;"No consta",TRIM(B29)&lt;&gt;"Desconocido"),SUMPRODUCT(($L$10:$L$69=L29)*1)&gt;1),AND(IF(ISNUMBER(F29),AND(F29&gt;=1,F29&lt;=2958465,F29=INT(F29)),FALSE),IF(ISNUMBER('CAJA'!$C$19),AND('CAJA'!$C$19&gt;=1,'CAJA'!$C$19&lt;=2958465,'CAJA'!$C$19=INT('CAJA'!$C$19)),FALSE),OR(AND(E29="Realizado",F29&gt;'CAJA'!$C$19),AND(E29="Previsto",F29&lt;'CAJA'!$C$19))),AND(IF(ISNUMBER(F29),AND(F29&gt;=1,F29&lt;=2958465,F29=INT(F29)),FALSE),'CAJA'!$L$2=1,F29&lt;'CAJA'!$C$18)),"Revisamos fecha, importe positivo/cero explícito y opciones de sentido/estado. Fechas sin hora e importes a céntimos.",IF(NOT(AND(LEN(TRIM(B29&amp;""))&gt;0,TRIM(B29)&lt;&gt;"Pendiente",TRIM(B29)&lt;&gt;"Por confirmar",TRIM(B29)&lt;&gt;"No consta",TRIM(B29)&lt;&gt;"Desconocido")),"Asignamos un identificador único.",IF(NOT(AND(LEN(TRIM(C29&amp;""))&gt;0,TRIM(C29)&lt;&gt;"Pendiente",TRIM(C29)&lt;&gt;"Por confirmar",TRIM(C29)&lt;&gt;"No consta",TRIM(C29)&lt;&gt;"Desconocido")),"Identificamos el concepto.",IF(NOT(OR(D29="Cobro",D29="Pago")),"Elegimos Cobro o Pago.",IF(NOT(OR(E29="Previsto",E29="Realizado")),"Elegimos Previsto o Realizado según lo acreditado.",IF(NOT(IF(ISNUMBER(F29),AND(F29&gt;=1,F29&lt;=2958465,F29=INT(F29)),FALSE)),"Falta fecha/semana: un plazo relativo o la fecha de una oferta no bastan.",IF(NOT(IF(ISNUMBER(G29),AND(G29&gt;=0,G29=ROUND(G29,2)),FALSE)),"Falta importe efectivo; el total de presupuesto no acredita este movimiento.",IF(NOT(AND(LEN(TRIM(H29&amp;""))&gt;0,TRIM(H29)&lt;&gt;"Pendiente",TRIM(H29)&lt;&gt;"Por confirmar",TRIM(H29)&lt;&gt;"No consta",TRIM(H29)&lt;&gt;"Desconocido")),"Identificamos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CAJA.",IF(AND(IF(ISNUMBER(F29),AND(F29&gt;=1,F29&lt;=2958465,F29=INT(F29)),FALSE),'CAJA'!$L$2=1,F29&gt;='CAJA'!$L$9),"Fuera del horizonte: ampliamos semanas (hasta 26) o revisamos la ventana. Aquí no se suma.","Dato registrado para la previsión; el estado Realizado requiere su evidencia de cobro/pago."))))))))))))))))))</f>
      </c>
      <c r="K29" t="n" s="27">
        <f>IF(COUNTA(B29:H29)&gt;0,1,0)</f>
        <v>0</v>
      </c>
      <c r="L29" t="str" s="27">
        <f>IF(COUNTA(B29:H29)&gt;0,IFERROR("ID:"&amp;UPPER(TRIM(B29&amp;"")),""),"")</f>
      </c>
      <c r="M29" t="str" s="27">
        <f>IF(NOT(COUNTA(B29:H29)&gt;0),"",IF(OR(ISERROR(B29),ISERROR(C29),ISERROR(D29),ISERROR(E29),ISERROR(F29),ISERROR(G29),ISERROR(H29)),2,IF(OR(ISERROR('CAJA'!$C$17),ISERROR('CAJA'!$C$18),ISERROR('CAJA'!$C$19),ISERROR('CAJA'!$C$20),ISERROR('CAJA'!$C$21),ISERROR('CAJA'!$C$22),ISERROR('CAJA'!$C$23)),1,IF(OR(AND(LEN(TRIM(G29&amp;""))&gt;0,NOT(IF(ISNUMBER(G29),AND(G29&gt;=0,G29=ROUND(G29,2)),FALSE))),AND(LEN(TRIM(F29&amp;""))&gt;0,NOT(IF(ISNUMBER(F29),AND(F29&gt;=1,F29&lt;=2958465,F29=INT(F29)),FALSE))),AND(LEN(TRIM(D29&amp;""))&gt;0,NOT(OR(D29="Cobro",D29="Pago"))),AND(LEN(TRIM(E29&amp;""))&gt;0,NOT(OR(E29="Previsto",E29="Realizado"))),AND(AND(LEN(TRIM(B29&amp;""))&gt;0,TRIM(B29)&lt;&gt;"Pendiente",TRIM(B29)&lt;&gt;"Por confirmar",TRIM(B29)&lt;&gt;"No consta",TRIM(B29)&lt;&gt;"Desconocido"),SUMPRODUCT(($L$10:$L$69=L29)*1)&gt;1),AND(IF(ISNUMBER(F29),AND(F29&gt;=1,F29&lt;=2958465,F29=INT(F29)),FALSE),IF(ISNUMBER('CAJA'!$C$19),AND('CAJA'!$C$19&gt;=1,'CAJA'!$C$19&lt;=2958465,'CAJA'!$C$19=INT('CAJA'!$C$19)),FALSE),OR(AND(E29="Realizado",F29&gt;'CAJA'!$C$19),AND(E29="Previsto",F29&lt;'CAJA'!$C$19))),AND(IF(ISNUMBER(F29),AND(F29&gt;=1,F29&lt;=2958465,F29=INT(F29)),FALSE),'CAJA'!$L$2=1,F29&lt;'CAJA'!$C$18)),2,IF(AND(AND(LEN(TRIM(B29&amp;""))&gt;0,TRIM(B29)&lt;&gt;"Pendiente",TRIM(B29)&lt;&gt;"Por confirmar",TRIM(B29)&lt;&gt;"No consta",TRIM(B29)&lt;&gt;"Desconocido"),AND(LEN(TRIM(C29&amp;""))&gt;0,TRIM(C29)&lt;&gt;"Pendiente",TRIM(C29)&lt;&gt;"Por confirmar",TRIM(C29)&lt;&gt;"No consta",TRIM(C29)&lt;&gt;"Desconocido"),OR(D29="Cobro",D29="Pago"),OR(E29="Previsto",E29="Realizado"),IF(ISNUMBER(F29),AND(F29&gt;=1,F29&lt;=2958465,F29=INT(F29)),FALSE),IF(ISNUMBER(G29),AND(G29&gt;=0,G29=ROUND(G29,2)),FALSE),AND(LEN(TRIM(H29&amp;""))&gt;0,TRIM(H29)&lt;&gt;"Pendiente",TRIM(H29)&lt;&gt;"Por confirmar",TRIM(H29)&lt;&gt;"No consta",TRIM(H29)&lt;&gt;"Desconocido"),'CAJA'!$L$2=1,IF(ISNUMBER('CAJA'!$C$19),AND('CAJA'!$C$19&gt;=1,'CAJA'!$C$19&lt;=2958465,'CAJA'!$C$19=INT('CAJA'!$C$19)),FALSE),F29&gt;='CAJA'!$C$18,F29&lt;'CAJA'!$L$9,NOT(OR(AND(LEN(TRIM(G29&amp;""))&gt;0,NOT(IF(ISNUMBER(G29),AND(G29&gt;=0,G29=ROUND(G29,2)),FALSE))),AND(LEN(TRIM(F29&amp;""))&gt;0,NOT(IF(ISNUMBER(F29),AND(F29&gt;=1,F29&lt;=2958465,F29=INT(F29)),FALSE))),AND(LEN(TRIM(D29&amp;""))&gt;0,NOT(OR(D29="Cobro",D29="Pago"))),AND(LEN(TRIM(E29&amp;""))&gt;0,NOT(OR(E29="Previsto",E29="Realizado"))),AND(AND(LEN(TRIM(B29&amp;""))&gt;0,TRIM(B29)&lt;&gt;"Pendiente",TRIM(B29)&lt;&gt;"Por confirmar",TRIM(B29)&lt;&gt;"No consta",TRIM(B29)&lt;&gt;"Desconocido"),SUMPRODUCT(($L$10:$L$69=L29)*1)&gt;1),AND(IF(ISNUMBER(F29),AND(F29&gt;=1,F29&lt;=2958465,F29=INT(F29)),FALSE),IF(ISNUMBER('CAJA'!$C$19),AND('CAJA'!$C$19&gt;=1,'CAJA'!$C$19&lt;=2958465,'CAJA'!$C$19=INT('CAJA'!$C$19)),FALSE),OR(AND(E29="Realizado",F29&gt;'CAJA'!$C$19),AND(E29="Previsto",F29&lt;'CAJA'!$C$19))),AND(IF(ISNUMBER(F29),AND(F29&gt;=1,F29&lt;=2958465,F29=INT(F29)),FALSE),'CAJA'!$L$2=1,F29&lt;'CAJA'!$C$18)))),0,1)))))</f>
      </c>
      <c r="N29" t="n" s="27">
        <f>IF(AND(K29=1,ISNUMBER(M29),M29=0),1,0)</f>
        <v>0</v>
      </c>
      <c r="O29" t="str" s="27">
        <f>IF(IF(ISNUMBER(F29),AND(F29&gt;=1,F29&lt;=2958465,F29=INT(F29)),FALSE),F29-WEEKDAY(F29,2)+1,"")</f>
      </c>
      <c r="P29" t="n" s="27">
        <f>IF(AND(K29=1,ISNUMBER(M29),M29&gt;0),IF(NOT(IF(ISNUMBER(F29),AND(F29&gt;=1,F29&lt;=2958465,F29=INT(F29)),FALSE)),1,IF('CAJA'!$L$2&lt;&gt;1,1,IF(OR(F29&lt;'CAJA'!$C$18,F29&gt;='CAJA'!$L$9),1,0))),0)</f>
        <v>0</v>
      </c>
    </row>
    <row r="30" ht="69" customHeight="1">
      <c r="B30" s="34"/>
      <c r="C30" s="34"/>
      <c r="D30" s="34"/>
      <c r="E30" s="34"/>
      <c r="F30" s="35"/>
      <c r="G30" s="36"/>
      <c r="H30" s="34"/>
      <c r="I30" s="33" t="str">
        <f>IF(K30=0,"",IF(M30=2,"ROJO",IF(M30=1,"ÁMBAR","VERDE")))</f>
      </c>
      <c r="J30" s="33" t="str">
        <f>IF(K30=0,"",IF(OR(ISERROR(B30),ISERROR(C30),ISERROR(D30),ISERROR(E30),ISERROR(F30),ISERROR(G30),ISERROR(H30)),"Hay una entrada con error de fórmula. Corregimos el dato; no lo convertimos en cero.",IF(OR(ISERROR('CAJA'!$C$17),ISERROR('CAJA'!$C$18),ISERROR('CAJA'!$C$19),ISERROR('CAJA'!$C$20),ISERROR('CAJA'!$C$21),ISERROR('CAJA'!$C$22),ISERROR('CAJA'!$C$23)),"Corregimos la entrada con error en CAJA antes de validar el movimiento.",IF(AND(AND(LEN(TRIM(B30&amp;""))&gt;0,TRIM(B30)&lt;&gt;"Pendiente",TRIM(B30)&lt;&gt;"Por confirmar",TRIM(B30)&lt;&gt;"No consta",TRIM(B30)&lt;&gt;"Desconocido"),SUMPRODUCT(($L$10:$L$69=L30)*1)&gt;1),"ID repetido: actualizamos el mismo movimiento o separamos únicamente la parte realizada y el resto pendiente.",IF(AND(IF(ISNUMBER(F30),AND(F30&gt;=1,F30&lt;=2958465,F30=INT(F30)),FALSE),IF(ISNUMBER('CAJA'!$C$19),AND('CAJA'!$C$19&gt;=1,'CAJA'!$C$19&lt;=2958465,'CAJA'!$C$19=INT('CAJA'!$C$19)),FALSE),E30="Realizado",F30&gt;'CAJA'!$C$19),"Realizado en fecha posterior al corte: revisamos fecha y estado.",IF(AND(IF(ISNUMBER(F30),AND(F30&gt;=1,F30&lt;=2958465,F30=INT(F30)),FALSE),IF(ISNUMBER('CAJA'!$C$19),AND('CAJA'!$C$19&gt;=1,'CAJA'!$C$19&lt;=2958465,'CAJA'!$C$19=INT('CAJA'!$C$19)),FALSE),E30="Previsto",F30&lt;'CAJA'!$C$19),"Previsión vencida: actualizamos su fecha esperada o registramos el movimiento realizado; no lo damos por cobrado.",IF(AND(IF(ISNUMBER(F30),AND(F30&gt;=1,F30&lt;=2958465,F30=INT(F30)),FALSE),'CAJA'!$L$2=1,F30&lt;'CAJA'!$C$18),"Anterior al horizonte: revisamos si ya está en el saldo inicial para no contarlo dos veces.",IF(OR(AND(LEN(TRIM(G30&amp;""))&gt;0,NOT(IF(ISNUMBER(G30),AND(G30&gt;=0,G30=ROUND(G30,2)),FALSE))),AND(LEN(TRIM(F30&amp;""))&gt;0,NOT(IF(ISNUMBER(F30),AND(F30&gt;=1,F30&lt;=2958465,F30=INT(F30)),FALSE))),AND(LEN(TRIM(D30&amp;""))&gt;0,NOT(OR(D30="Cobro",D30="Pago"))),AND(LEN(TRIM(E30&amp;""))&gt;0,NOT(OR(E30="Previsto",E30="Realizado"))),AND(AND(LEN(TRIM(B30&amp;""))&gt;0,TRIM(B30)&lt;&gt;"Pendiente",TRIM(B30)&lt;&gt;"Por confirmar",TRIM(B30)&lt;&gt;"No consta",TRIM(B30)&lt;&gt;"Desconocido"),SUMPRODUCT(($L$10:$L$69=L30)*1)&gt;1),AND(IF(ISNUMBER(F30),AND(F30&gt;=1,F30&lt;=2958465,F30=INT(F30)),FALSE),IF(ISNUMBER('CAJA'!$C$19),AND('CAJA'!$C$19&gt;=1,'CAJA'!$C$19&lt;=2958465,'CAJA'!$C$19=INT('CAJA'!$C$19)),FALSE),OR(AND(E30="Realizado",F30&gt;'CAJA'!$C$19),AND(E30="Previsto",F30&lt;'CAJA'!$C$19))),AND(IF(ISNUMBER(F30),AND(F30&gt;=1,F30&lt;=2958465,F30=INT(F30)),FALSE),'CAJA'!$L$2=1,F30&lt;'CAJA'!$C$18)),"Revisamos fecha, importe positivo/cero explícito y opciones de sentido/estado. Fechas sin hora e importes a céntimos.",IF(NOT(AND(LEN(TRIM(B30&amp;""))&gt;0,TRIM(B30)&lt;&gt;"Pendiente",TRIM(B30)&lt;&gt;"Por confirmar",TRIM(B30)&lt;&gt;"No consta",TRIM(B30)&lt;&gt;"Desconocido")),"Asignamos un identificador único.",IF(NOT(AND(LEN(TRIM(C30&amp;""))&gt;0,TRIM(C30)&lt;&gt;"Pendiente",TRIM(C30)&lt;&gt;"Por confirmar",TRIM(C30)&lt;&gt;"No consta",TRIM(C30)&lt;&gt;"Desconocido")),"Identificamos el concepto.",IF(NOT(OR(D30="Cobro",D30="Pago")),"Elegimos Cobro o Pago.",IF(NOT(OR(E30="Previsto",E30="Realizado")),"Elegimos Previsto o Realizado según lo acreditado.",IF(NOT(IF(ISNUMBER(F30),AND(F30&gt;=1,F30&lt;=2958465,F30=INT(F30)),FALSE)),"Falta fecha/semana: un plazo relativo o la fecha de una oferta no bastan.",IF(NOT(IF(ISNUMBER(G30),AND(G30&gt;=0,G30=ROUND(G30,2)),FALSE)),"Falta importe efectivo; el total de presupuesto no acredita este movimiento.",IF(NOT(AND(LEN(TRIM(H30&amp;""))&gt;0,TRIM(H30)&lt;&gt;"Pendiente",TRIM(H30)&lt;&gt;"Por confirmar",TRIM(H30)&lt;&gt;"No consta",TRIM(H30)&lt;&gt;"Desconocido")),"Identificamos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CAJA.",IF(AND(IF(ISNUMBER(F30),AND(F30&gt;=1,F30&lt;=2958465,F30=INT(F30)),FALSE),'CAJA'!$L$2=1,F30&gt;='CAJA'!$L$9),"Fuera del horizonte: ampliamos semanas (hasta 26) o revisamos la ventana. Aquí no se suma.","Dato registrado para la previsión; el estado Realizado requiere su evidencia de cobro/pago."))))))))))))))))))</f>
      </c>
      <c r="K30" t="n" s="27">
        <f>IF(COUNTA(B30:H30)&gt;0,1,0)</f>
        <v>0</v>
      </c>
      <c r="L30" t="str" s="27">
        <f>IF(COUNTA(B30:H30)&gt;0,IFERROR("ID:"&amp;UPPER(TRIM(B30&amp;"")),""),"")</f>
      </c>
      <c r="M30" t="str" s="27">
        <f>IF(NOT(COUNTA(B30:H30)&gt;0),"",IF(OR(ISERROR(B30),ISERROR(C30),ISERROR(D30),ISERROR(E30),ISERROR(F30),ISERROR(G30),ISERROR(H30)),2,IF(OR(ISERROR('CAJA'!$C$17),ISERROR('CAJA'!$C$18),ISERROR('CAJA'!$C$19),ISERROR('CAJA'!$C$20),ISERROR('CAJA'!$C$21),ISERROR('CAJA'!$C$22),ISERROR('CAJA'!$C$23)),1,IF(OR(AND(LEN(TRIM(G30&amp;""))&gt;0,NOT(IF(ISNUMBER(G30),AND(G30&gt;=0,G30=ROUND(G30,2)),FALSE))),AND(LEN(TRIM(F30&amp;""))&gt;0,NOT(IF(ISNUMBER(F30),AND(F30&gt;=1,F30&lt;=2958465,F30=INT(F30)),FALSE))),AND(LEN(TRIM(D30&amp;""))&gt;0,NOT(OR(D30="Cobro",D30="Pago"))),AND(LEN(TRIM(E30&amp;""))&gt;0,NOT(OR(E30="Previsto",E30="Realizado"))),AND(AND(LEN(TRIM(B30&amp;""))&gt;0,TRIM(B30)&lt;&gt;"Pendiente",TRIM(B30)&lt;&gt;"Por confirmar",TRIM(B30)&lt;&gt;"No consta",TRIM(B30)&lt;&gt;"Desconocido"),SUMPRODUCT(($L$10:$L$69=L30)*1)&gt;1),AND(IF(ISNUMBER(F30),AND(F30&gt;=1,F30&lt;=2958465,F30=INT(F30)),FALSE),IF(ISNUMBER('CAJA'!$C$19),AND('CAJA'!$C$19&gt;=1,'CAJA'!$C$19&lt;=2958465,'CAJA'!$C$19=INT('CAJA'!$C$19)),FALSE),OR(AND(E30="Realizado",F30&gt;'CAJA'!$C$19),AND(E30="Previsto",F30&lt;'CAJA'!$C$19))),AND(IF(ISNUMBER(F30),AND(F30&gt;=1,F30&lt;=2958465,F30=INT(F30)),FALSE),'CAJA'!$L$2=1,F30&lt;'CAJA'!$C$18)),2,IF(AND(AND(LEN(TRIM(B30&amp;""))&gt;0,TRIM(B30)&lt;&gt;"Pendiente",TRIM(B30)&lt;&gt;"Por confirmar",TRIM(B30)&lt;&gt;"No consta",TRIM(B30)&lt;&gt;"Desconocido"),AND(LEN(TRIM(C30&amp;""))&gt;0,TRIM(C30)&lt;&gt;"Pendiente",TRIM(C30)&lt;&gt;"Por confirmar",TRIM(C30)&lt;&gt;"No consta",TRIM(C30)&lt;&gt;"Desconocido"),OR(D30="Cobro",D30="Pago"),OR(E30="Previsto",E30="Realizado"),IF(ISNUMBER(F30),AND(F30&gt;=1,F30&lt;=2958465,F30=INT(F30)),FALSE),IF(ISNUMBER(G30),AND(G30&gt;=0,G30=ROUND(G30,2)),FALSE),AND(LEN(TRIM(H30&amp;""))&gt;0,TRIM(H30)&lt;&gt;"Pendiente",TRIM(H30)&lt;&gt;"Por confirmar",TRIM(H30)&lt;&gt;"No consta",TRIM(H30)&lt;&gt;"Desconocido"),'CAJA'!$L$2=1,IF(ISNUMBER('CAJA'!$C$19),AND('CAJA'!$C$19&gt;=1,'CAJA'!$C$19&lt;=2958465,'CAJA'!$C$19=INT('CAJA'!$C$19)),FALSE),F30&gt;='CAJA'!$C$18,F30&lt;'CAJA'!$L$9,NOT(OR(AND(LEN(TRIM(G30&amp;""))&gt;0,NOT(IF(ISNUMBER(G30),AND(G30&gt;=0,G30=ROUND(G30,2)),FALSE))),AND(LEN(TRIM(F30&amp;""))&gt;0,NOT(IF(ISNUMBER(F30),AND(F30&gt;=1,F30&lt;=2958465,F30=INT(F30)),FALSE))),AND(LEN(TRIM(D30&amp;""))&gt;0,NOT(OR(D30="Cobro",D30="Pago"))),AND(LEN(TRIM(E30&amp;""))&gt;0,NOT(OR(E30="Previsto",E30="Realizado"))),AND(AND(LEN(TRIM(B30&amp;""))&gt;0,TRIM(B30)&lt;&gt;"Pendiente",TRIM(B30)&lt;&gt;"Por confirmar",TRIM(B30)&lt;&gt;"No consta",TRIM(B30)&lt;&gt;"Desconocido"),SUMPRODUCT(($L$10:$L$69=L30)*1)&gt;1),AND(IF(ISNUMBER(F30),AND(F30&gt;=1,F30&lt;=2958465,F30=INT(F30)),FALSE),IF(ISNUMBER('CAJA'!$C$19),AND('CAJA'!$C$19&gt;=1,'CAJA'!$C$19&lt;=2958465,'CAJA'!$C$19=INT('CAJA'!$C$19)),FALSE),OR(AND(E30="Realizado",F30&gt;'CAJA'!$C$19),AND(E30="Previsto",F30&lt;'CAJA'!$C$19))),AND(IF(ISNUMBER(F30),AND(F30&gt;=1,F30&lt;=2958465,F30=INT(F30)),FALSE),'CAJA'!$L$2=1,F30&lt;'CAJA'!$C$18)))),0,1)))))</f>
      </c>
      <c r="N30" t="n" s="27">
        <f>IF(AND(K30=1,ISNUMBER(M30),M30=0),1,0)</f>
        <v>0</v>
      </c>
      <c r="O30" t="str" s="27">
        <f>IF(IF(ISNUMBER(F30),AND(F30&gt;=1,F30&lt;=2958465,F30=INT(F30)),FALSE),F30-WEEKDAY(F30,2)+1,"")</f>
      </c>
      <c r="P30" t="n" s="27">
        <f>IF(AND(K30=1,ISNUMBER(M30),M30&gt;0),IF(NOT(IF(ISNUMBER(F30),AND(F30&gt;=1,F30&lt;=2958465,F30=INT(F30)),FALSE)),1,IF('CAJA'!$L$2&lt;&gt;1,1,IF(OR(F30&lt;'CAJA'!$C$18,F30&gt;='CAJA'!$L$9),1,0))),0)</f>
        <v>0</v>
      </c>
    </row>
    <row r="31" ht="69" customHeight="1">
      <c r="B31" s="34"/>
      <c r="C31" s="34"/>
      <c r="D31" s="34"/>
      <c r="E31" s="34"/>
      <c r="F31" s="35"/>
      <c r="G31" s="36"/>
      <c r="H31" s="34"/>
      <c r="I31" s="33" t="str">
        <f>IF(K31=0,"",IF(M31=2,"ROJO",IF(M31=1,"ÁMBAR","VERDE")))</f>
      </c>
      <c r="J31" s="33" t="str">
        <f>IF(K31=0,"",IF(OR(ISERROR(B31),ISERROR(C31),ISERROR(D31),ISERROR(E31),ISERROR(F31),ISERROR(G31),ISERROR(H31)),"Hay una entrada con error de fórmula. Corregimos el dato; no lo convertimos en cero.",IF(OR(ISERROR('CAJA'!$C$17),ISERROR('CAJA'!$C$18),ISERROR('CAJA'!$C$19),ISERROR('CAJA'!$C$20),ISERROR('CAJA'!$C$21),ISERROR('CAJA'!$C$22),ISERROR('CAJA'!$C$23)),"Corregimos la entrada con error en CAJA antes de validar el movimiento.",IF(AND(AND(LEN(TRIM(B31&amp;""))&gt;0,TRIM(B31)&lt;&gt;"Pendiente",TRIM(B31)&lt;&gt;"Por confirmar",TRIM(B31)&lt;&gt;"No consta",TRIM(B31)&lt;&gt;"Desconocido"),SUMPRODUCT(($L$10:$L$69=L31)*1)&gt;1),"ID repetido: actualizamos el mismo movimiento o separamos únicamente la parte realizada y el resto pendiente.",IF(AND(IF(ISNUMBER(F31),AND(F31&gt;=1,F31&lt;=2958465,F31=INT(F31)),FALSE),IF(ISNUMBER('CAJA'!$C$19),AND('CAJA'!$C$19&gt;=1,'CAJA'!$C$19&lt;=2958465,'CAJA'!$C$19=INT('CAJA'!$C$19)),FALSE),E31="Realizado",F31&gt;'CAJA'!$C$19),"Realizado en fecha posterior al corte: revisamos fecha y estado.",IF(AND(IF(ISNUMBER(F31),AND(F31&gt;=1,F31&lt;=2958465,F31=INT(F31)),FALSE),IF(ISNUMBER('CAJA'!$C$19),AND('CAJA'!$C$19&gt;=1,'CAJA'!$C$19&lt;=2958465,'CAJA'!$C$19=INT('CAJA'!$C$19)),FALSE),E31="Previsto",F31&lt;'CAJA'!$C$19),"Previsión vencida: actualizamos su fecha esperada o registramos el movimiento realizado; no lo damos por cobrado.",IF(AND(IF(ISNUMBER(F31),AND(F31&gt;=1,F31&lt;=2958465,F31=INT(F31)),FALSE),'CAJA'!$L$2=1,F31&lt;'CAJA'!$C$18),"Anterior al horizonte: revisamos si ya está en el saldo inicial para no contarlo dos veces.",IF(OR(AND(LEN(TRIM(G31&amp;""))&gt;0,NOT(IF(ISNUMBER(G31),AND(G31&gt;=0,G31=ROUND(G31,2)),FALSE))),AND(LEN(TRIM(F31&amp;""))&gt;0,NOT(IF(ISNUMBER(F31),AND(F31&gt;=1,F31&lt;=2958465,F31=INT(F31)),FALSE))),AND(LEN(TRIM(D31&amp;""))&gt;0,NOT(OR(D31="Cobro",D31="Pago"))),AND(LEN(TRIM(E31&amp;""))&gt;0,NOT(OR(E31="Previsto",E31="Realizado"))),AND(AND(LEN(TRIM(B31&amp;""))&gt;0,TRIM(B31)&lt;&gt;"Pendiente",TRIM(B31)&lt;&gt;"Por confirmar",TRIM(B31)&lt;&gt;"No consta",TRIM(B31)&lt;&gt;"Desconocido"),SUMPRODUCT(($L$10:$L$69=L31)*1)&gt;1),AND(IF(ISNUMBER(F31),AND(F31&gt;=1,F31&lt;=2958465,F31=INT(F31)),FALSE),IF(ISNUMBER('CAJA'!$C$19),AND('CAJA'!$C$19&gt;=1,'CAJA'!$C$19&lt;=2958465,'CAJA'!$C$19=INT('CAJA'!$C$19)),FALSE),OR(AND(E31="Realizado",F31&gt;'CAJA'!$C$19),AND(E31="Previsto",F31&lt;'CAJA'!$C$19))),AND(IF(ISNUMBER(F31),AND(F31&gt;=1,F31&lt;=2958465,F31=INT(F31)),FALSE),'CAJA'!$L$2=1,F31&lt;'CAJA'!$C$18)),"Revisamos fecha, importe positivo/cero explícito y opciones de sentido/estado. Fechas sin hora e importes a céntimos.",IF(NOT(AND(LEN(TRIM(B31&amp;""))&gt;0,TRIM(B31)&lt;&gt;"Pendiente",TRIM(B31)&lt;&gt;"Por confirmar",TRIM(B31)&lt;&gt;"No consta",TRIM(B31)&lt;&gt;"Desconocido")),"Asignamos un identificador único.",IF(NOT(AND(LEN(TRIM(C31&amp;""))&gt;0,TRIM(C31)&lt;&gt;"Pendiente",TRIM(C31)&lt;&gt;"Por confirmar",TRIM(C31)&lt;&gt;"No consta",TRIM(C31)&lt;&gt;"Desconocido")),"Identificamos el concepto.",IF(NOT(OR(D31="Cobro",D31="Pago")),"Elegimos Cobro o Pago.",IF(NOT(OR(E31="Previsto",E31="Realizado")),"Elegimos Previsto o Realizado según lo acreditado.",IF(NOT(IF(ISNUMBER(F31),AND(F31&gt;=1,F31&lt;=2958465,F31=INT(F31)),FALSE)),"Falta fecha/semana: un plazo relativo o la fecha de una oferta no bastan.",IF(NOT(IF(ISNUMBER(G31),AND(G31&gt;=0,G31=ROUND(G31,2)),FALSE)),"Falta importe efectivo; el total de presupuesto no acredita este movimiento.",IF(NOT(AND(LEN(TRIM(H31&amp;""))&gt;0,TRIM(H31)&lt;&gt;"Pendiente",TRIM(H31)&lt;&gt;"Por confirmar",TRIM(H31)&lt;&gt;"No consta",TRIM(H31)&lt;&gt;"Desconocido")),"Identificamos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CAJA.",IF(AND(IF(ISNUMBER(F31),AND(F31&gt;=1,F31&lt;=2958465,F31=INT(F31)),FALSE),'CAJA'!$L$2=1,F31&gt;='CAJA'!$L$9),"Fuera del horizonte: ampliamos semanas (hasta 26) o revisamos la ventana. Aquí no se suma.","Dato registrado para la previsión; el estado Realizado requiere su evidencia de cobro/pago."))))))))))))))))))</f>
      </c>
      <c r="K31" t="n" s="27">
        <f>IF(COUNTA(B31:H31)&gt;0,1,0)</f>
        <v>0</v>
      </c>
      <c r="L31" t="str" s="27">
        <f>IF(COUNTA(B31:H31)&gt;0,IFERROR("ID:"&amp;UPPER(TRIM(B31&amp;"")),""),"")</f>
      </c>
      <c r="M31" t="str" s="27">
        <f>IF(NOT(COUNTA(B31:H31)&gt;0),"",IF(OR(ISERROR(B31),ISERROR(C31),ISERROR(D31),ISERROR(E31),ISERROR(F31),ISERROR(G31),ISERROR(H31)),2,IF(OR(ISERROR('CAJA'!$C$17),ISERROR('CAJA'!$C$18),ISERROR('CAJA'!$C$19),ISERROR('CAJA'!$C$20),ISERROR('CAJA'!$C$21),ISERROR('CAJA'!$C$22),ISERROR('CAJA'!$C$23)),1,IF(OR(AND(LEN(TRIM(G31&amp;""))&gt;0,NOT(IF(ISNUMBER(G31),AND(G31&gt;=0,G31=ROUND(G31,2)),FALSE))),AND(LEN(TRIM(F31&amp;""))&gt;0,NOT(IF(ISNUMBER(F31),AND(F31&gt;=1,F31&lt;=2958465,F31=INT(F31)),FALSE))),AND(LEN(TRIM(D31&amp;""))&gt;0,NOT(OR(D31="Cobro",D31="Pago"))),AND(LEN(TRIM(E31&amp;""))&gt;0,NOT(OR(E31="Previsto",E31="Realizado"))),AND(AND(LEN(TRIM(B31&amp;""))&gt;0,TRIM(B31)&lt;&gt;"Pendiente",TRIM(B31)&lt;&gt;"Por confirmar",TRIM(B31)&lt;&gt;"No consta",TRIM(B31)&lt;&gt;"Desconocido"),SUMPRODUCT(($L$10:$L$69=L31)*1)&gt;1),AND(IF(ISNUMBER(F31),AND(F31&gt;=1,F31&lt;=2958465,F31=INT(F31)),FALSE),IF(ISNUMBER('CAJA'!$C$19),AND('CAJA'!$C$19&gt;=1,'CAJA'!$C$19&lt;=2958465,'CAJA'!$C$19=INT('CAJA'!$C$19)),FALSE),OR(AND(E31="Realizado",F31&gt;'CAJA'!$C$19),AND(E31="Previsto",F31&lt;'CAJA'!$C$19))),AND(IF(ISNUMBER(F31),AND(F31&gt;=1,F31&lt;=2958465,F31=INT(F31)),FALSE),'CAJA'!$L$2=1,F31&lt;'CAJA'!$C$18)),2,IF(AND(AND(LEN(TRIM(B31&amp;""))&gt;0,TRIM(B31)&lt;&gt;"Pendiente",TRIM(B31)&lt;&gt;"Por confirmar",TRIM(B31)&lt;&gt;"No consta",TRIM(B31)&lt;&gt;"Desconocido"),AND(LEN(TRIM(C31&amp;""))&gt;0,TRIM(C31)&lt;&gt;"Pendiente",TRIM(C31)&lt;&gt;"Por confirmar",TRIM(C31)&lt;&gt;"No consta",TRIM(C31)&lt;&gt;"Desconocido"),OR(D31="Cobro",D31="Pago"),OR(E31="Previsto",E31="Realizado"),IF(ISNUMBER(F31),AND(F31&gt;=1,F31&lt;=2958465,F31=INT(F31)),FALSE),IF(ISNUMBER(G31),AND(G31&gt;=0,G31=ROUND(G31,2)),FALSE),AND(LEN(TRIM(H31&amp;""))&gt;0,TRIM(H31)&lt;&gt;"Pendiente",TRIM(H31)&lt;&gt;"Por confirmar",TRIM(H31)&lt;&gt;"No consta",TRIM(H31)&lt;&gt;"Desconocido"),'CAJA'!$L$2=1,IF(ISNUMBER('CAJA'!$C$19),AND('CAJA'!$C$19&gt;=1,'CAJA'!$C$19&lt;=2958465,'CAJA'!$C$19=INT('CAJA'!$C$19)),FALSE),F31&gt;='CAJA'!$C$18,F31&lt;'CAJA'!$L$9,NOT(OR(AND(LEN(TRIM(G31&amp;""))&gt;0,NOT(IF(ISNUMBER(G31),AND(G31&gt;=0,G31=ROUND(G31,2)),FALSE))),AND(LEN(TRIM(F31&amp;""))&gt;0,NOT(IF(ISNUMBER(F31),AND(F31&gt;=1,F31&lt;=2958465,F31=INT(F31)),FALSE))),AND(LEN(TRIM(D31&amp;""))&gt;0,NOT(OR(D31="Cobro",D31="Pago"))),AND(LEN(TRIM(E31&amp;""))&gt;0,NOT(OR(E31="Previsto",E31="Realizado"))),AND(AND(LEN(TRIM(B31&amp;""))&gt;0,TRIM(B31)&lt;&gt;"Pendiente",TRIM(B31)&lt;&gt;"Por confirmar",TRIM(B31)&lt;&gt;"No consta",TRIM(B31)&lt;&gt;"Desconocido"),SUMPRODUCT(($L$10:$L$69=L31)*1)&gt;1),AND(IF(ISNUMBER(F31),AND(F31&gt;=1,F31&lt;=2958465,F31=INT(F31)),FALSE),IF(ISNUMBER('CAJA'!$C$19),AND('CAJA'!$C$19&gt;=1,'CAJA'!$C$19&lt;=2958465,'CAJA'!$C$19=INT('CAJA'!$C$19)),FALSE),OR(AND(E31="Realizado",F31&gt;'CAJA'!$C$19),AND(E31="Previsto",F31&lt;'CAJA'!$C$19))),AND(IF(ISNUMBER(F31),AND(F31&gt;=1,F31&lt;=2958465,F31=INT(F31)),FALSE),'CAJA'!$L$2=1,F31&lt;'CAJA'!$C$18)))),0,1)))))</f>
      </c>
      <c r="N31" t="n" s="27">
        <f>IF(AND(K31=1,ISNUMBER(M31),M31=0),1,0)</f>
        <v>0</v>
      </c>
      <c r="O31" t="str" s="27">
        <f>IF(IF(ISNUMBER(F31),AND(F31&gt;=1,F31&lt;=2958465,F31=INT(F31)),FALSE),F31-WEEKDAY(F31,2)+1,"")</f>
      </c>
      <c r="P31" t="n" s="27">
        <f>IF(AND(K31=1,ISNUMBER(M31),M31&gt;0),IF(NOT(IF(ISNUMBER(F31),AND(F31&gt;=1,F31&lt;=2958465,F31=INT(F31)),FALSE)),1,IF('CAJA'!$L$2&lt;&gt;1,1,IF(OR(F31&lt;'CAJA'!$C$18,F31&gt;='CAJA'!$L$9),1,0))),0)</f>
        <v>0</v>
      </c>
    </row>
    <row r="32" ht="69" customHeight="1">
      <c r="B32" s="34"/>
      <c r="C32" s="34"/>
      <c r="D32" s="34"/>
      <c r="E32" s="34"/>
      <c r="F32" s="35"/>
      <c r="G32" s="36"/>
      <c r="H32" s="34"/>
      <c r="I32" s="33" t="str">
        <f>IF(K32=0,"",IF(M32=2,"ROJO",IF(M32=1,"ÁMBAR","VERDE")))</f>
      </c>
      <c r="J32" s="33" t="str">
        <f>IF(K32=0,"",IF(OR(ISERROR(B32),ISERROR(C32),ISERROR(D32),ISERROR(E32),ISERROR(F32),ISERROR(G32),ISERROR(H32)),"Hay una entrada con error de fórmula. Corregimos el dato; no lo convertimos en cero.",IF(OR(ISERROR('CAJA'!$C$17),ISERROR('CAJA'!$C$18),ISERROR('CAJA'!$C$19),ISERROR('CAJA'!$C$20),ISERROR('CAJA'!$C$21),ISERROR('CAJA'!$C$22),ISERROR('CAJA'!$C$23)),"Corregimos la entrada con error en CAJA antes de validar el movimiento.",IF(AND(AND(LEN(TRIM(B32&amp;""))&gt;0,TRIM(B32)&lt;&gt;"Pendiente",TRIM(B32)&lt;&gt;"Por confirmar",TRIM(B32)&lt;&gt;"No consta",TRIM(B32)&lt;&gt;"Desconocido"),SUMPRODUCT(($L$10:$L$69=L32)*1)&gt;1),"ID repetido: actualizamos el mismo movimiento o separamos únicamente la parte realizada y el resto pendiente.",IF(AND(IF(ISNUMBER(F32),AND(F32&gt;=1,F32&lt;=2958465,F32=INT(F32)),FALSE),IF(ISNUMBER('CAJA'!$C$19),AND('CAJA'!$C$19&gt;=1,'CAJA'!$C$19&lt;=2958465,'CAJA'!$C$19=INT('CAJA'!$C$19)),FALSE),E32="Realizado",F32&gt;'CAJA'!$C$19),"Realizado en fecha posterior al corte: revisamos fecha y estado.",IF(AND(IF(ISNUMBER(F32),AND(F32&gt;=1,F32&lt;=2958465,F32=INT(F32)),FALSE),IF(ISNUMBER('CAJA'!$C$19),AND('CAJA'!$C$19&gt;=1,'CAJA'!$C$19&lt;=2958465,'CAJA'!$C$19=INT('CAJA'!$C$19)),FALSE),E32="Previsto",F32&lt;'CAJA'!$C$19),"Previsión vencida: actualizamos su fecha esperada o registramos el movimiento realizado; no lo damos por cobrado.",IF(AND(IF(ISNUMBER(F32),AND(F32&gt;=1,F32&lt;=2958465,F32=INT(F32)),FALSE),'CAJA'!$L$2=1,F32&lt;'CAJA'!$C$18),"Anterior al horizonte: revisamos si ya está en el saldo inicial para no contarlo dos veces.",IF(OR(AND(LEN(TRIM(G32&amp;""))&gt;0,NOT(IF(ISNUMBER(G32),AND(G32&gt;=0,G32=ROUND(G32,2)),FALSE))),AND(LEN(TRIM(F32&amp;""))&gt;0,NOT(IF(ISNUMBER(F32),AND(F32&gt;=1,F32&lt;=2958465,F32=INT(F32)),FALSE))),AND(LEN(TRIM(D32&amp;""))&gt;0,NOT(OR(D32="Cobro",D32="Pago"))),AND(LEN(TRIM(E32&amp;""))&gt;0,NOT(OR(E32="Previsto",E32="Realizado"))),AND(AND(LEN(TRIM(B32&amp;""))&gt;0,TRIM(B32)&lt;&gt;"Pendiente",TRIM(B32)&lt;&gt;"Por confirmar",TRIM(B32)&lt;&gt;"No consta",TRIM(B32)&lt;&gt;"Desconocido"),SUMPRODUCT(($L$10:$L$69=L32)*1)&gt;1),AND(IF(ISNUMBER(F32),AND(F32&gt;=1,F32&lt;=2958465,F32=INT(F32)),FALSE),IF(ISNUMBER('CAJA'!$C$19),AND('CAJA'!$C$19&gt;=1,'CAJA'!$C$19&lt;=2958465,'CAJA'!$C$19=INT('CAJA'!$C$19)),FALSE),OR(AND(E32="Realizado",F32&gt;'CAJA'!$C$19),AND(E32="Previsto",F32&lt;'CAJA'!$C$19))),AND(IF(ISNUMBER(F32),AND(F32&gt;=1,F32&lt;=2958465,F32=INT(F32)),FALSE),'CAJA'!$L$2=1,F32&lt;'CAJA'!$C$18)),"Revisamos fecha, importe positivo/cero explícito y opciones de sentido/estado. Fechas sin hora e importes a céntimos.",IF(NOT(AND(LEN(TRIM(B32&amp;""))&gt;0,TRIM(B32)&lt;&gt;"Pendiente",TRIM(B32)&lt;&gt;"Por confirmar",TRIM(B32)&lt;&gt;"No consta",TRIM(B32)&lt;&gt;"Desconocido")),"Asignamos un identificador único.",IF(NOT(AND(LEN(TRIM(C32&amp;""))&gt;0,TRIM(C32)&lt;&gt;"Pendiente",TRIM(C32)&lt;&gt;"Por confirmar",TRIM(C32)&lt;&gt;"No consta",TRIM(C32)&lt;&gt;"Desconocido")),"Identificamos el concepto.",IF(NOT(OR(D32="Cobro",D32="Pago")),"Elegimos Cobro o Pago.",IF(NOT(OR(E32="Previsto",E32="Realizado")),"Elegimos Previsto o Realizado según lo acreditado.",IF(NOT(IF(ISNUMBER(F32),AND(F32&gt;=1,F32&lt;=2958465,F32=INT(F32)),FALSE)),"Falta fecha/semana: un plazo relativo o la fecha de una oferta no bastan.",IF(NOT(IF(ISNUMBER(G32),AND(G32&gt;=0,G32=ROUND(G32,2)),FALSE)),"Falta importe efectivo; el total de presupuesto no acredita este movimiento.",IF(NOT(AND(LEN(TRIM(H32&amp;""))&gt;0,TRIM(H32)&lt;&gt;"Pendiente",TRIM(H32)&lt;&gt;"Por confirmar",TRIM(H32)&lt;&gt;"No consta",TRIM(H32)&lt;&gt;"Desconocido")),"Identificamos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CAJA.",IF(AND(IF(ISNUMBER(F32),AND(F32&gt;=1,F32&lt;=2958465,F32=INT(F32)),FALSE),'CAJA'!$L$2=1,F32&gt;='CAJA'!$L$9),"Fuera del horizonte: ampliamos semanas (hasta 26) o revisamos la ventana. Aquí no se suma.","Dato registrado para la previsión; el estado Realizado requiere su evidencia de cobro/pago."))))))))))))))))))</f>
      </c>
      <c r="K32" t="n" s="27">
        <f>IF(COUNTA(B32:H32)&gt;0,1,0)</f>
        <v>0</v>
      </c>
      <c r="L32" t="str" s="27">
        <f>IF(COUNTA(B32:H32)&gt;0,IFERROR("ID:"&amp;UPPER(TRIM(B32&amp;"")),""),"")</f>
      </c>
      <c r="M32" t="str" s="27">
        <f>IF(NOT(COUNTA(B32:H32)&gt;0),"",IF(OR(ISERROR(B32),ISERROR(C32),ISERROR(D32),ISERROR(E32),ISERROR(F32),ISERROR(G32),ISERROR(H32)),2,IF(OR(ISERROR('CAJA'!$C$17),ISERROR('CAJA'!$C$18),ISERROR('CAJA'!$C$19),ISERROR('CAJA'!$C$20),ISERROR('CAJA'!$C$21),ISERROR('CAJA'!$C$22),ISERROR('CAJA'!$C$23)),1,IF(OR(AND(LEN(TRIM(G32&amp;""))&gt;0,NOT(IF(ISNUMBER(G32),AND(G32&gt;=0,G32=ROUND(G32,2)),FALSE))),AND(LEN(TRIM(F32&amp;""))&gt;0,NOT(IF(ISNUMBER(F32),AND(F32&gt;=1,F32&lt;=2958465,F32=INT(F32)),FALSE))),AND(LEN(TRIM(D32&amp;""))&gt;0,NOT(OR(D32="Cobro",D32="Pago"))),AND(LEN(TRIM(E32&amp;""))&gt;0,NOT(OR(E32="Previsto",E32="Realizado"))),AND(AND(LEN(TRIM(B32&amp;""))&gt;0,TRIM(B32)&lt;&gt;"Pendiente",TRIM(B32)&lt;&gt;"Por confirmar",TRIM(B32)&lt;&gt;"No consta",TRIM(B32)&lt;&gt;"Desconocido"),SUMPRODUCT(($L$10:$L$69=L32)*1)&gt;1),AND(IF(ISNUMBER(F32),AND(F32&gt;=1,F32&lt;=2958465,F32=INT(F32)),FALSE),IF(ISNUMBER('CAJA'!$C$19),AND('CAJA'!$C$19&gt;=1,'CAJA'!$C$19&lt;=2958465,'CAJA'!$C$19=INT('CAJA'!$C$19)),FALSE),OR(AND(E32="Realizado",F32&gt;'CAJA'!$C$19),AND(E32="Previsto",F32&lt;'CAJA'!$C$19))),AND(IF(ISNUMBER(F32),AND(F32&gt;=1,F32&lt;=2958465,F32=INT(F32)),FALSE),'CAJA'!$L$2=1,F32&lt;'CAJA'!$C$18)),2,IF(AND(AND(LEN(TRIM(B32&amp;""))&gt;0,TRIM(B32)&lt;&gt;"Pendiente",TRIM(B32)&lt;&gt;"Por confirmar",TRIM(B32)&lt;&gt;"No consta",TRIM(B32)&lt;&gt;"Desconocido"),AND(LEN(TRIM(C32&amp;""))&gt;0,TRIM(C32)&lt;&gt;"Pendiente",TRIM(C32)&lt;&gt;"Por confirmar",TRIM(C32)&lt;&gt;"No consta",TRIM(C32)&lt;&gt;"Desconocido"),OR(D32="Cobro",D32="Pago"),OR(E32="Previsto",E32="Realizado"),IF(ISNUMBER(F32),AND(F32&gt;=1,F32&lt;=2958465,F32=INT(F32)),FALSE),IF(ISNUMBER(G32),AND(G32&gt;=0,G32=ROUND(G32,2)),FALSE),AND(LEN(TRIM(H32&amp;""))&gt;0,TRIM(H32)&lt;&gt;"Pendiente",TRIM(H32)&lt;&gt;"Por confirmar",TRIM(H32)&lt;&gt;"No consta",TRIM(H32)&lt;&gt;"Desconocido"),'CAJA'!$L$2=1,IF(ISNUMBER('CAJA'!$C$19),AND('CAJA'!$C$19&gt;=1,'CAJA'!$C$19&lt;=2958465,'CAJA'!$C$19=INT('CAJA'!$C$19)),FALSE),F32&gt;='CAJA'!$C$18,F32&lt;'CAJA'!$L$9,NOT(OR(AND(LEN(TRIM(G32&amp;""))&gt;0,NOT(IF(ISNUMBER(G32),AND(G32&gt;=0,G32=ROUND(G32,2)),FALSE))),AND(LEN(TRIM(F32&amp;""))&gt;0,NOT(IF(ISNUMBER(F32),AND(F32&gt;=1,F32&lt;=2958465,F32=INT(F32)),FALSE))),AND(LEN(TRIM(D32&amp;""))&gt;0,NOT(OR(D32="Cobro",D32="Pago"))),AND(LEN(TRIM(E32&amp;""))&gt;0,NOT(OR(E32="Previsto",E32="Realizado"))),AND(AND(LEN(TRIM(B32&amp;""))&gt;0,TRIM(B32)&lt;&gt;"Pendiente",TRIM(B32)&lt;&gt;"Por confirmar",TRIM(B32)&lt;&gt;"No consta",TRIM(B32)&lt;&gt;"Desconocido"),SUMPRODUCT(($L$10:$L$69=L32)*1)&gt;1),AND(IF(ISNUMBER(F32),AND(F32&gt;=1,F32&lt;=2958465,F32=INT(F32)),FALSE),IF(ISNUMBER('CAJA'!$C$19),AND('CAJA'!$C$19&gt;=1,'CAJA'!$C$19&lt;=2958465,'CAJA'!$C$19=INT('CAJA'!$C$19)),FALSE),OR(AND(E32="Realizado",F32&gt;'CAJA'!$C$19),AND(E32="Previsto",F32&lt;'CAJA'!$C$19))),AND(IF(ISNUMBER(F32),AND(F32&gt;=1,F32&lt;=2958465,F32=INT(F32)),FALSE),'CAJA'!$L$2=1,F32&lt;'CAJA'!$C$18)))),0,1)))))</f>
      </c>
      <c r="N32" t="n" s="27">
        <f>IF(AND(K32=1,ISNUMBER(M32),M32=0),1,0)</f>
        <v>0</v>
      </c>
      <c r="O32" t="str" s="27">
        <f>IF(IF(ISNUMBER(F32),AND(F32&gt;=1,F32&lt;=2958465,F32=INT(F32)),FALSE),F32-WEEKDAY(F32,2)+1,"")</f>
      </c>
      <c r="P32" t="n" s="27">
        <f>IF(AND(K32=1,ISNUMBER(M32),M32&gt;0),IF(NOT(IF(ISNUMBER(F32),AND(F32&gt;=1,F32&lt;=2958465,F32=INT(F32)),FALSE)),1,IF('CAJA'!$L$2&lt;&gt;1,1,IF(OR(F32&lt;'CAJA'!$C$18,F32&gt;='CAJA'!$L$9),1,0))),0)</f>
        <v>0</v>
      </c>
    </row>
    <row r="33" ht="69" customHeight="1">
      <c r="B33" s="34"/>
      <c r="C33" s="34"/>
      <c r="D33" s="34"/>
      <c r="E33" s="34"/>
      <c r="F33" s="35"/>
      <c r="G33" s="36"/>
      <c r="H33" s="34"/>
      <c r="I33" s="33" t="str">
        <f>IF(K33=0,"",IF(M33=2,"ROJO",IF(M33=1,"ÁMBAR","VERDE")))</f>
      </c>
      <c r="J33" s="33" t="str">
        <f>IF(K33=0,"",IF(OR(ISERROR(B33),ISERROR(C33),ISERROR(D33),ISERROR(E33),ISERROR(F33),ISERROR(G33),ISERROR(H33)),"Hay una entrada con error de fórmula. Corregimos el dato; no lo convertimos en cero.",IF(OR(ISERROR('CAJA'!$C$17),ISERROR('CAJA'!$C$18),ISERROR('CAJA'!$C$19),ISERROR('CAJA'!$C$20),ISERROR('CAJA'!$C$21),ISERROR('CAJA'!$C$22),ISERROR('CAJA'!$C$23)),"Corregimos la entrada con error en CAJA antes de validar el movimiento.",IF(AND(AND(LEN(TRIM(B33&amp;""))&gt;0,TRIM(B33)&lt;&gt;"Pendiente",TRIM(B33)&lt;&gt;"Por confirmar",TRIM(B33)&lt;&gt;"No consta",TRIM(B33)&lt;&gt;"Desconocido"),SUMPRODUCT(($L$10:$L$69=L33)*1)&gt;1),"ID repetido: actualizamos el mismo movimiento o separamos únicamente la parte realizada y el resto pendiente.",IF(AND(IF(ISNUMBER(F33),AND(F33&gt;=1,F33&lt;=2958465,F33=INT(F33)),FALSE),IF(ISNUMBER('CAJA'!$C$19),AND('CAJA'!$C$19&gt;=1,'CAJA'!$C$19&lt;=2958465,'CAJA'!$C$19=INT('CAJA'!$C$19)),FALSE),E33="Realizado",F33&gt;'CAJA'!$C$19),"Realizado en fecha posterior al corte: revisamos fecha y estado.",IF(AND(IF(ISNUMBER(F33),AND(F33&gt;=1,F33&lt;=2958465,F33=INT(F33)),FALSE),IF(ISNUMBER('CAJA'!$C$19),AND('CAJA'!$C$19&gt;=1,'CAJA'!$C$19&lt;=2958465,'CAJA'!$C$19=INT('CAJA'!$C$19)),FALSE),E33="Previsto",F33&lt;'CAJA'!$C$19),"Previsión vencida: actualizamos su fecha esperada o registramos el movimiento realizado; no lo damos por cobrado.",IF(AND(IF(ISNUMBER(F33),AND(F33&gt;=1,F33&lt;=2958465,F33=INT(F33)),FALSE),'CAJA'!$L$2=1,F33&lt;'CAJA'!$C$18),"Anterior al horizonte: revisamos si ya está en el saldo inicial para no contarlo dos veces.",IF(OR(AND(LEN(TRIM(G33&amp;""))&gt;0,NOT(IF(ISNUMBER(G33),AND(G33&gt;=0,G33=ROUND(G33,2)),FALSE))),AND(LEN(TRIM(F33&amp;""))&gt;0,NOT(IF(ISNUMBER(F33),AND(F33&gt;=1,F33&lt;=2958465,F33=INT(F33)),FALSE))),AND(LEN(TRIM(D33&amp;""))&gt;0,NOT(OR(D33="Cobro",D33="Pago"))),AND(LEN(TRIM(E33&amp;""))&gt;0,NOT(OR(E33="Previsto",E33="Realizado"))),AND(AND(LEN(TRIM(B33&amp;""))&gt;0,TRIM(B33)&lt;&gt;"Pendiente",TRIM(B33)&lt;&gt;"Por confirmar",TRIM(B33)&lt;&gt;"No consta",TRIM(B33)&lt;&gt;"Desconocido"),SUMPRODUCT(($L$10:$L$69=L33)*1)&gt;1),AND(IF(ISNUMBER(F33),AND(F33&gt;=1,F33&lt;=2958465,F33=INT(F33)),FALSE),IF(ISNUMBER('CAJA'!$C$19),AND('CAJA'!$C$19&gt;=1,'CAJA'!$C$19&lt;=2958465,'CAJA'!$C$19=INT('CAJA'!$C$19)),FALSE),OR(AND(E33="Realizado",F33&gt;'CAJA'!$C$19),AND(E33="Previsto",F33&lt;'CAJA'!$C$19))),AND(IF(ISNUMBER(F33),AND(F33&gt;=1,F33&lt;=2958465,F33=INT(F33)),FALSE),'CAJA'!$L$2=1,F33&lt;'CAJA'!$C$18)),"Revisamos fecha, importe positivo/cero explícito y opciones de sentido/estado. Fechas sin hora e importes a céntimos.",IF(NOT(AND(LEN(TRIM(B33&amp;""))&gt;0,TRIM(B33)&lt;&gt;"Pendiente",TRIM(B33)&lt;&gt;"Por confirmar",TRIM(B33)&lt;&gt;"No consta",TRIM(B33)&lt;&gt;"Desconocido")),"Asignamos un identificador único.",IF(NOT(AND(LEN(TRIM(C33&amp;""))&gt;0,TRIM(C33)&lt;&gt;"Pendiente",TRIM(C33)&lt;&gt;"Por confirmar",TRIM(C33)&lt;&gt;"No consta",TRIM(C33)&lt;&gt;"Desconocido")),"Identificamos el concepto.",IF(NOT(OR(D33="Cobro",D33="Pago")),"Elegimos Cobro o Pago.",IF(NOT(OR(E33="Previsto",E33="Realizado")),"Elegimos Previsto o Realizado según lo acreditado.",IF(NOT(IF(ISNUMBER(F33),AND(F33&gt;=1,F33&lt;=2958465,F33=INT(F33)),FALSE)),"Falta fecha/semana: un plazo relativo o la fecha de una oferta no bastan.",IF(NOT(IF(ISNUMBER(G33),AND(G33&gt;=0,G33=ROUND(G33,2)),FALSE)),"Falta importe efectivo; el total de presupuesto no acredita este movimiento.",IF(NOT(AND(LEN(TRIM(H33&amp;""))&gt;0,TRIM(H33)&lt;&gt;"Pendiente",TRIM(H33)&lt;&gt;"Por confirmar",TRIM(H33)&lt;&gt;"No consta",TRIM(H33)&lt;&gt;"Desconocido")),"Identificamos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CAJA.",IF(AND(IF(ISNUMBER(F33),AND(F33&gt;=1,F33&lt;=2958465,F33=INT(F33)),FALSE),'CAJA'!$L$2=1,F33&gt;='CAJA'!$L$9),"Fuera del horizonte: ampliamos semanas (hasta 26) o revisamos la ventana. Aquí no se suma.","Dato registrado para la previsión; el estado Realizado requiere su evidencia de cobro/pago."))))))))))))))))))</f>
      </c>
      <c r="K33" t="n" s="27">
        <f>IF(COUNTA(B33:H33)&gt;0,1,0)</f>
        <v>0</v>
      </c>
      <c r="L33" t="str" s="27">
        <f>IF(COUNTA(B33:H33)&gt;0,IFERROR("ID:"&amp;UPPER(TRIM(B33&amp;"")),""),"")</f>
      </c>
      <c r="M33" t="str" s="27">
        <f>IF(NOT(COUNTA(B33:H33)&gt;0),"",IF(OR(ISERROR(B33),ISERROR(C33),ISERROR(D33),ISERROR(E33),ISERROR(F33),ISERROR(G33),ISERROR(H33)),2,IF(OR(ISERROR('CAJA'!$C$17),ISERROR('CAJA'!$C$18),ISERROR('CAJA'!$C$19),ISERROR('CAJA'!$C$20),ISERROR('CAJA'!$C$21),ISERROR('CAJA'!$C$22),ISERROR('CAJA'!$C$23)),1,IF(OR(AND(LEN(TRIM(G33&amp;""))&gt;0,NOT(IF(ISNUMBER(G33),AND(G33&gt;=0,G33=ROUND(G33,2)),FALSE))),AND(LEN(TRIM(F33&amp;""))&gt;0,NOT(IF(ISNUMBER(F33),AND(F33&gt;=1,F33&lt;=2958465,F33=INT(F33)),FALSE))),AND(LEN(TRIM(D33&amp;""))&gt;0,NOT(OR(D33="Cobro",D33="Pago"))),AND(LEN(TRIM(E33&amp;""))&gt;0,NOT(OR(E33="Previsto",E33="Realizado"))),AND(AND(LEN(TRIM(B33&amp;""))&gt;0,TRIM(B33)&lt;&gt;"Pendiente",TRIM(B33)&lt;&gt;"Por confirmar",TRIM(B33)&lt;&gt;"No consta",TRIM(B33)&lt;&gt;"Desconocido"),SUMPRODUCT(($L$10:$L$69=L33)*1)&gt;1),AND(IF(ISNUMBER(F33),AND(F33&gt;=1,F33&lt;=2958465,F33=INT(F33)),FALSE),IF(ISNUMBER('CAJA'!$C$19),AND('CAJA'!$C$19&gt;=1,'CAJA'!$C$19&lt;=2958465,'CAJA'!$C$19=INT('CAJA'!$C$19)),FALSE),OR(AND(E33="Realizado",F33&gt;'CAJA'!$C$19),AND(E33="Previsto",F33&lt;'CAJA'!$C$19))),AND(IF(ISNUMBER(F33),AND(F33&gt;=1,F33&lt;=2958465,F33=INT(F33)),FALSE),'CAJA'!$L$2=1,F33&lt;'CAJA'!$C$18)),2,IF(AND(AND(LEN(TRIM(B33&amp;""))&gt;0,TRIM(B33)&lt;&gt;"Pendiente",TRIM(B33)&lt;&gt;"Por confirmar",TRIM(B33)&lt;&gt;"No consta",TRIM(B33)&lt;&gt;"Desconocido"),AND(LEN(TRIM(C33&amp;""))&gt;0,TRIM(C33)&lt;&gt;"Pendiente",TRIM(C33)&lt;&gt;"Por confirmar",TRIM(C33)&lt;&gt;"No consta",TRIM(C33)&lt;&gt;"Desconocido"),OR(D33="Cobro",D33="Pago"),OR(E33="Previsto",E33="Realizado"),IF(ISNUMBER(F33),AND(F33&gt;=1,F33&lt;=2958465,F33=INT(F33)),FALSE),IF(ISNUMBER(G33),AND(G33&gt;=0,G33=ROUND(G33,2)),FALSE),AND(LEN(TRIM(H33&amp;""))&gt;0,TRIM(H33)&lt;&gt;"Pendiente",TRIM(H33)&lt;&gt;"Por confirmar",TRIM(H33)&lt;&gt;"No consta",TRIM(H33)&lt;&gt;"Desconocido"),'CAJA'!$L$2=1,IF(ISNUMBER('CAJA'!$C$19),AND('CAJA'!$C$19&gt;=1,'CAJA'!$C$19&lt;=2958465,'CAJA'!$C$19=INT('CAJA'!$C$19)),FALSE),F33&gt;='CAJA'!$C$18,F33&lt;'CAJA'!$L$9,NOT(OR(AND(LEN(TRIM(G33&amp;""))&gt;0,NOT(IF(ISNUMBER(G33),AND(G33&gt;=0,G33=ROUND(G33,2)),FALSE))),AND(LEN(TRIM(F33&amp;""))&gt;0,NOT(IF(ISNUMBER(F33),AND(F33&gt;=1,F33&lt;=2958465,F33=INT(F33)),FALSE))),AND(LEN(TRIM(D33&amp;""))&gt;0,NOT(OR(D33="Cobro",D33="Pago"))),AND(LEN(TRIM(E33&amp;""))&gt;0,NOT(OR(E33="Previsto",E33="Realizado"))),AND(AND(LEN(TRIM(B33&amp;""))&gt;0,TRIM(B33)&lt;&gt;"Pendiente",TRIM(B33)&lt;&gt;"Por confirmar",TRIM(B33)&lt;&gt;"No consta",TRIM(B33)&lt;&gt;"Desconocido"),SUMPRODUCT(($L$10:$L$69=L33)*1)&gt;1),AND(IF(ISNUMBER(F33),AND(F33&gt;=1,F33&lt;=2958465,F33=INT(F33)),FALSE),IF(ISNUMBER('CAJA'!$C$19),AND('CAJA'!$C$19&gt;=1,'CAJA'!$C$19&lt;=2958465,'CAJA'!$C$19=INT('CAJA'!$C$19)),FALSE),OR(AND(E33="Realizado",F33&gt;'CAJA'!$C$19),AND(E33="Previsto",F33&lt;'CAJA'!$C$19))),AND(IF(ISNUMBER(F33),AND(F33&gt;=1,F33&lt;=2958465,F33=INT(F33)),FALSE),'CAJA'!$L$2=1,F33&lt;'CAJA'!$C$18)))),0,1)))))</f>
      </c>
      <c r="N33" t="n" s="27">
        <f>IF(AND(K33=1,ISNUMBER(M33),M33=0),1,0)</f>
        <v>0</v>
      </c>
      <c r="O33" t="str" s="27">
        <f>IF(IF(ISNUMBER(F33),AND(F33&gt;=1,F33&lt;=2958465,F33=INT(F33)),FALSE),F33-WEEKDAY(F33,2)+1,"")</f>
      </c>
      <c r="P33" t="n" s="27">
        <f>IF(AND(K33=1,ISNUMBER(M33),M33&gt;0),IF(NOT(IF(ISNUMBER(F33),AND(F33&gt;=1,F33&lt;=2958465,F33=INT(F33)),FALSE)),1,IF('CAJA'!$L$2&lt;&gt;1,1,IF(OR(F33&lt;'CAJA'!$C$18,F33&gt;='CAJA'!$L$9),1,0))),0)</f>
        <v>0</v>
      </c>
    </row>
    <row r="34" ht="69" customHeight="1">
      <c r="B34" s="34"/>
      <c r="C34" s="34"/>
      <c r="D34" s="34"/>
      <c r="E34" s="34"/>
      <c r="F34" s="35"/>
      <c r="G34" s="36"/>
      <c r="H34" s="34"/>
      <c r="I34" s="33" t="str">
        <f>IF(K34=0,"",IF(M34=2,"ROJO",IF(M34=1,"ÁMBAR","VERDE")))</f>
      </c>
      <c r="J34" s="33" t="str">
        <f>IF(K34=0,"",IF(OR(ISERROR(B34),ISERROR(C34),ISERROR(D34),ISERROR(E34),ISERROR(F34),ISERROR(G34),ISERROR(H34)),"Hay una entrada con error de fórmula. Corregimos el dato; no lo convertimos en cero.",IF(OR(ISERROR('CAJA'!$C$17),ISERROR('CAJA'!$C$18),ISERROR('CAJA'!$C$19),ISERROR('CAJA'!$C$20),ISERROR('CAJA'!$C$21),ISERROR('CAJA'!$C$22),ISERROR('CAJA'!$C$23)),"Corregimos la entrada con error en CAJA antes de validar el movimiento.",IF(AND(AND(LEN(TRIM(B34&amp;""))&gt;0,TRIM(B34)&lt;&gt;"Pendiente",TRIM(B34)&lt;&gt;"Por confirmar",TRIM(B34)&lt;&gt;"No consta",TRIM(B34)&lt;&gt;"Desconocido"),SUMPRODUCT(($L$10:$L$69=L34)*1)&gt;1),"ID repetido: actualizamos el mismo movimiento o separamos únicamente la parte realizada y el resto pendiente.",IF(AND(IF(ISNUMBER(F34),AND(F34&gt;=1,F34&lt;=2958465,F34=INT(F34)),FALSE),IF(ISNUMBER('CAJA'!$C$19),AND('CAJA'!$C$19&gt;=1,'CAJA'!$C$19&lt;=2958465,'CAJA'!$C$19=INT('CAJA'!$C$19)),FALSE),E34="Realizado",F34&gt;'CAJA'!$C$19),"Realizado en fecha posterior al corte: revisamos fecha y estado.",IF(AND(IF(ISNUMBER(F34),AND(F34&gt;=1,F34&lt;=2958465,F34=INT(F34)),FALSE),IF(ISNUMBER('CAJA'!$C$19),AND('CAJA'!$C$19&gt;=1,'CAJA'!$C$19&lt;=2958465,'CAJA'!$C$19=INT('CAJA'!$C$19)),FALSE),E34="Previsto",F34&lt;'CAJA'!$C$19),"Previsión vencida: actualizamos su fecha esperada o registramos el movimiento realizado; no lo damos por cobrado.",IF(AND(IF(ISNUMBER(F34),AND(F34&gt;=1,F34&lt;=2958465,F34=INT(F34)),FALSE),'CAJA'!$L$2=1,F34&lt;'CAJA'!$C$18),"Anterior al horizonte: revisamos si ya está en el saldo inicial para no contarlo dos veces.",IF(OR(AND(LEN(TRIM(G34&amp;""))&gt;0,NOT(IF(ISNUMBER(G34),AND(G34&gt;=0,G34=ROUND(G34,2)),FALSE))),AND(LEN(TRIM(F34&amp;""))&gt;0,NOT(IF(ISNUMBER(F34),AND(F34&gt;=1,F34&lt;=2958465,F34=INT(F34)),FALSE))),AND(LEN(TRIM(D34&amp;""))&gt;0,NOT(OR(D34="Cobro",D34="Pago"))),AND(LEN(TRIM(E34&amp;""))&gt;0,NOT(OR(E34="Previsto",E34="Realizado"))),AND(AND(LEN(TRIM(B34&amp;""))&gt;0,TRIM(B34)&lt;&gt;"Pendiente",TRIM(B34)&lt;&gt;"Por confirmar",TRIM(B34)&lt;&gt;"No consta",TRIM(B34)&lt;&gt;"Desconocido"),SUMPRODUCT(($L$10:$L$69=L34)*1)&gt;1),AND(IF(ISNUMBER(F34),AND(F34&gt;=1,F34&lt;=2958465,F34=INT(F34)),FALSE),IF(ISNUMBER('CAJA'!$C$19),AND('CAJA'!$C$19&gt;=1,'CAJA'!$C$19&lt;=2958465,'CAJA'!$C$19=INT('CAJA'!$C$19)),FALSE),OR(AND(E34="Realizado",F34&gt;'CAJA'!$C$19),AND(E34="Previsto",F34&lt;'CAJA'!$C$19))),AND(IF(ISNUMBER(F34),AND(F34&gt;=1,F34&lt;=2958465,F34=INT(F34)),FALSE),'CAJA'!$L$2=1,F34&lt;'CAJA'!$C$18)),"Revisamos fecha, importe positivo/cero explícito y opciones de sentido/estado. Fechas sin hora e importes a céntimos.",IF(NOT(AND(LEN(TRIM(B34&amp;""))&gt;0,TRIM(B34)&lt;&gt;"Pendiente",TRIM(B34)&lt;&gt;"Por confirmar",TRIM(B34)&lt;&gt;"No consta",TRIM(B34)&lt;&gt;"Desconocido")),"Asignamos un identificador único.",IF(NOT(AND(LEN(TRIM(C34&amp;""))&gt;0,TRIM(C34)&lt;&gt;"Pendiente",TRIM(C34)&lt;&gt;"Por confirmar",TRIM(C34)&lt;&gt;"No consta",TRIM(C34)&lt;&gt;"Desconocido")),"Identificamos el concepto.",IF(NOT(OR(D34="Cobro",D34="Pago")),"Elegimos Cobro o Pago.",IF(NOT(OR(E34="Previsto",E34="Realizado")),"Elegimos Previsto o Realizado según lo acreditado.",IF(NOT(IF(ISNUMBER(F34),AND(F34&gt;=1,F34&lt;=2958465,F34=INT(F34)),FALSE)),"Falta fecha/semana: un plazo relativo o la fecha de una oferta no bastan.",IF(NOT(IF(ISNUMBER(G34),AND(G34&gt;=0,G34=ROUND(G34,2)),FALSE)),"Falta importe efectivo; el total de presupuesto no acredita este movimiento.",IF(NOT(AND(LEN(TRIM(H34&amp;""))&gt;0,TRIM(H34)&lt;&gt;"Pendiente",TRIM(H34)&lt;&gt;"Por confirmar",TRIM(H34)&lt;&gt;"No consta",TRIM(H34)&lt;&gt;"Desconocido")),"Identificamos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CAJA.",IF(AND(IF(ISNUMBER(F34),AND(F34&gt;=1,F34&lt;=2958465,F34=INT(F34)),FALSE),'CAJA'!$L$2=1,F34&gt;='CAJA'!$L$9),"Fuera del horizonte: ampliamos semanas (hasta 26) o revisamos la ventana. Aquí no se suma.","Dato registrado para la previsión; el estado Realizado requiere su evidencia de cobro/pago."))))))))))))))))))</f>
      </c>
      <c r="K34" t="n" s="27">
        <f>IF(COUNTA(B34:H34)&gt;0,1,0)</f>
        <v>0</v>
      </c>
      <c r="L34" t="str" s="27">
        <f>IF(COUNTA(B34:H34)&gt;0,IFERROR("ID:"&amp;UPPER(TRIM(B34&amp;"")),""),"")</f>
      </c>
      <c r="M34" t="str" s="27">
        <f>IF(NOT(COUNTA(B34:H34)&gt;0),"",IF(OR(ISERROR(B34),ISERROR(C34),ISERROR(D34),ISERROR(E34),ISERROR(F34),ISERROR(G34),ISERROR(H34)),2,IF(OR(ISERROR('CAJA'!$C$17),ISERROR('CAJA'!$C$18),ISERROR('CAJA'!$C$19),ISERROR('CAJA'!$C$20),ISERROR('CAJA'!$C$21),ISERROR('CAJA'!$C$22),ISERROR('CAJA'!$C$23)),1,IF(OR(AND(LEN(TRIM(G34&amp;""))&gt;0,NOT(IF(ISNUMBER(G34),AND(G34&gt;=0,G34=ROUND(G34,2)),FALSE))),AND(LEN(TRIM(F34&amp;""))&gt;0,NOT(IF(ISNUMBER(F34),AND(F34&gt;=1,F34&lt;=2958465,F34=INT(F34)),FALSE))),AND(LEN(TRIM(D34&amp;""))&gt;0,NOT(OR(D34="Cobro",D34="Pago"))),AND(LEN(TRIM(E34&amp;""))&gt;0,NOT(OR(E34="Previsto",E34="Realizado"))),AND(AND(LEN(TRIM(B34&amp;""))&gt;0,TRIM(B34)&lt;&gt;"Pendiente",TRIM(B34)&lt;&gt;"Por confirmar",TRIM(B34)&lt;&gt;"No consta",TRIM(B34)&lt;&gt;"Desconocido"),SUMPRODUCT(($L$10:$L$69=L34)*1)&gt;1),AND(IF(ISNUMBER(F34),AND(F34&gt;=1,F34&lt;=2958465,F34=INT(F34)),FALSE),IF(ISNUMBER('CAJA'!$C$19),AND('CAJA'!$C$19&gt;=1,'CAJA'!$C$19&lt;=2958465,'CAJA'!$C$19=INT('CAJA'!$C$19)),FALSE),OR(AND(E34="Realizado",F34&gt;'CAJA'!$C$19),AND(E34="Previsto",F34&lt;'CAJA'!$C$19))),AND(IF(ISNUMBER(F34),AND(F34&gt;=1,F34&lt;=2958465,F34=INT(F34)),FALSE),'CAJA'!$L$2=1,F34&lt;'CAJA'!$C$18)),2,IF(AND(AND(LEN(TRIM(B34&amp;""))&gt;0,TRIM(B34)&lt;&gt;"Pendiente",TRIM(B34)&lt;&gt;"Por confirmar",TRIM(B34)&lt;&gt;"No consta",TRIM(B34)&lt;&gt;"Desconocido"),AND(LEN(TRIM(C34&amp;""))&gt;0,TRIM(C34)&lt;&gt;"Pendiente",TRIM(C34)&lt;&gt;"Por confirmar",TRIM(C34)&lt;&gt;"No consta",TRIM(C34)&lt;&gt;"Desconocido"),OR(D34="Cobro",D34="Pago"),OR(E34="Previsto",E34="Realizado"),IF(ISNUMBER(F34),AND(F34&gt;=1,F34&lt;=2958465,F34=INT(F34)),FALSE),IF(ISNUMBER(G34),AND(G34&gt;=0,G34=ROUND(G34,2)),FALSE),AND(LEN(TRIM(H34&amp;""))&gt;0,TRIM(H34)&lt;&gt;"Pendiente",TRIM(H34)&lt;&gt;"Por confirmar",TRIM(H34)&lt;&gt;"No consta",TRIM(H34)&lt;&gt;"Desconocido"),'CAJA'!$L$2=1,IF(ISNUMBER('CAJA'!$C$19),AND('CAJA'!$C$19&gt;=1,'CAJA'!$C$19&lt;=2958465,'CAJA'!$C$19=INT('CAJA'!$C$19)),FALSE),F34&gt;='CAJA'!$C$18,F34&lt;'CAJA'!$L$9,NOT(OR(AND(LEN(TRIM(G34&amp;""))&gt;0,NOT(IF(ISNUMBER(G34),AND(G34&gt;=0,G34=ROUND(G34,2)),FALSE))),AND(LEN(TRIM(F34&amp;""))&gt;0,NOT(IF(ISNUMBER(F34),AND(F34&gt;=1,F34&lt;=2958465,F34=INT(F34)),FALSE))),AND(LEN(TRIM(D34&amp;""))&gt;0,NOT(OR(D34="Cobro",D34="Pago"))),AND(LEN(TRIM(E34&amp;""))&gt;0,NOT(OR(E34="Previsto",E34="Realizado"))),AND(AND(LEN(TRIM(B34&amp;""))&gt;0,TRIM(B34)&lt;&gt;"Pendiente",TRIM(B34)&lt;&gt;"Por confirmar",TRIM(B34)&lt;&gt;"No consta",TRIM(B34)&lt;&gt;"Desconocido"),SUMPRODUCT(($L$10:$L$69=L34)*1)&gt;1),AND(IF(ISNUMBER(F34),AND(F34&gt;=1,F34&lt;=2958465,F34=INT(F34)),FALSE),IF(ISNUMBER('CAJA'!$C$19),AND('CAJA'!$C$19&gt;=1,'CAJA'!$C$19&lt;=2958465,'CAJA'!$C$19=INT('CAJA'!$C$19)),FALSE),OR(AND(E34="Realizado",F34&gt;'CAJA'!$C$19),AND(E34="Previsto",F34&lt;'CAJA'!$C$19))),AND(IF(ISNUMBER(F34),AND(F34&gt;=1,F34&lt;=2958465,F34=INT(F34)),FALSE),'CAJA'!$L$2=1,F34&lt;'CAJA'!$C$18)))),0,1)))))</f>
      </c>
      <c r="N34" t="n" s="27">
        <f>IF(AND(K34=1,ISNUMBER(M34),M34=0),1,0)</f>
        <v>0</v>
      </c>
      <c r="O34" t="str" s="27">
        <f>IF(IF(ISNUMBER(F34),AND(F34&gt;=1,F34&lt;=2958465,F34=INT(F34)),FALSE),F34-WEEKDAY(F34,2)+1,"")</f>
      </c>
      <c r="P34" t="n" s="27">
        <f>IF(AND(K34=1,ISNUMBER(M34),M34&gt;0),IF(NOT(IF(ISNUMBER(F34),AND(F34&gt;=1,F34&lt;=2958465,F34=INT(F34)),FALSE)),1,IF('CAJA'!$L$2&lt;&gt;1,1,IF(OR(F34&lt;'CAJA'!$C$18,F34&gt;='CAJA'!$L$9),1,0))),0)</f>
        <v>0</v>
      </c>
    </row>
    <row r="35" ht="69" customHeight="1">
      <c r="B35" s="34"/>
      <c r="C35" s="34"/>
      <c r="D35" s="34"/>
      <c r="E35" s="34"/>
      <c r="F35" s="35"/>
      <c r="G35" s="36"/>
      <c r="H35" s="34"/>
      <c r="I35" s="33" t="str">
        <f>IF(K35=0,"",IF(M35=2,"ROJO",IF(M35=1,"ÁMBAR","VERDE")))</f>
      </c>
      <c r="J35" s="33" t="str">
        <f>IF(K35=0,"",IF(OR(ISERROR(B35),ISERROR(C35),ISERROR(D35),ISERROR(E35),ISERROR(F35),ISERROR(G35),ISERROR(H35)),"Hay una entrada con error de fórmula. Corregimos el dato; no lo convertimos en cero.",IF(OR(ISERROR('CAJA'!$C$17),ISERROR('CAJA'!$C$18),ISERROR('CAJA'!$C$19),ISERROR('CAJA'!$C$20),ISERROR('CAJA'!$C$21),ISERROR('CAJA'!$C$22),ISERROR('CAJA'!$C$23)),"Corregimos la entrada con error en CAJA antes de validar el movimiento.",IF(AND(AND(LEN(TRIM(B35&amp;""))&gt;0,TRIM(B35)&lt;&gt;"Pendiente",TRIM(B35)&lt;&gt;"Por confirmar",TRIM(B35)&lt;&gt;"No consta",TRIM(B35)&lt;&gt;"Desconocido"),SUMPRODUCT(($L$10:$L$69=L35)*1)&gt;1),"ID repetido: actualizamos el mismo movimiento o separamos únicamente la parte realizada y el resto pendiente.",IF(AND(IF(ISNUMBER(F35),AND(F35&gt;=1,F35&lt;=2958465,F35=INT(F35)),FALSE),IF(ISNUMBER('CAJA'!$C$19),AND('CAJA'!$C$19&gt;=1,'CAJA'!$C$19&lt;=2958465,'CAJA'!$C$19=INT('CAJA'!$C$19)),FALSE),E35="Realizado",F35&gt;'CAJA'!$C$19),"Realizado en fecha posterior al corte: revisamos fecha y estado.",IF(AND(IF(ISNUMBER(F35),AND(F35&gt;=1,F35&lt;=2958465,F35=INT(F35)),FALSE),IF(ISNUMBER('CAJA'!$C$19),AND('CAJA'!$C$19&gt;=1,'CAJA'!$C$19&lt;=2958465,'CAJA'!$C$19=INT('CAJA'!$C$19)),FALSE),E35="Previsto",F35&lt;'CAJA'!$C$19),"Previsión vencida: actualizamos su fecha esperada o registramos el movimiento realizado; no lo damos por cobrado.",IF(AND(IF(ISNUMBER(F35),AND(F35&gt;=1,F35&lt;=2958465,F35=INT(F35)),FALSE),'CAJA'!$L$2=1,F35&lt;'CAJA'!$C$18),"Anterior al horizonte: revisamos si ya está en el saldo inicial para no contarlo dos veces.",IF(OR(AND(LEN(TRIM(G35&amp;""))&gt;0,NOT(IF(ISNUMBER(G35),AND(G35&gt;=0,G35=ROUND(G35,2)),FALSE))),AND(LEN(TRIM(F35&amp;""))&gt;0,NOT(IF(ISNUMBER(F35),AND(F35&gt;=1,F35&lt;=2958465,F35=INT(F35)),FALSE))),AND(LEN(TRIM(D35&amp;""))&gt;0,NOT(OR(D35="Cobro",D35="Pago"))),AND(LEN(TRIM(E35&amp;""))&gt;0,NOT(OR(E35="Previsto",E35="Realizado"))),AND(AND(LEN(TRIM(B35&amp;""))&gt;0,TRIM(B35)&lt;&gt;"Pendiente",TRIM(B35)&lt;&gt;"Por confirmar",TRIM(B35)&lt;&gt;"No consta",TRIM(B35)&lt;&gt;"Desconocido"),SUMPRODUCT(($L$10:$L$69=L35)*1)&gt;1),AND(IF(ISNUMBER(F35),AND(F35&gt;=1,F35&lt;=2958465,F35=INT(F35)),FALSE),IF(ISNUMBER('CAJA'!$C$19),AND('CAJA'!$C$19&gt;=1,'CAJA'!$C$19&lt;=2958465,'CAJA'!$C$19=INT('CAJA'!$C$19)),FALSE),OR(AND(E35="Realizado",F35&gt;'CAJA'!$C$19),AND(E35="Previsto",F35&lt;'CAJA'!$C$19))),AND(IF(ISNUMBER(F35),AND(F35&gt;=1,F35&lt;=2958465,F35=INT(F35)),FALSE),'CAJA'!$L$2=1,F35&lt;'CAJA'!$C$18)),"Revisamos fecha, importe positivo/cero explícito y opciones de sentido/estado. Fechas sin hora e importes a céntimos.",IF(NOT(AND(LEN(TRIM(B35&amp;""))&gt;0,TRIM(B35)&lt;&gt;"Pendiente",TRIM(B35)&lt;&gt;"Por confirmar",TRIM(B35)&lt;&gt;"No consta",TRIM(B35)&lt;&gt;"Desconocido")),"Asignamos un identificador único.",IF(NOT(AND(LEN(TRIM(C35&amp;""))&gt;0,TRIM(C35)&lt;&gt;"Pendiente",TRIM(C35)&lt;&gt;"Por confirmar",TRIM(C35)&lt;&gt;"No consta",TRIM(C35)&lt;&gt;"Desconocido")),"Identificamos el concepto.",IF(NOT(OR(D35="Cobro",D35="Pago")),"Elegimos Cobro o Pago.",IF(NOT(OR(E35="Previsto",E35="Realizado")),"Elegimos Previsto o Realizado según lo acreditado.",IF(NOT(IF(ISNUMBER(F35),AND(F35&gt;=1,F35&lt;=2958465,F35=INT(F35)),FALSE)),"Falta fecha/semana: un plazo relativo o la fecha de una oferta no bastan.",IF(NOT(IF(ISNUMBER(G35),AND(G35&gt;=0,G35=ROUND(G35,2)),FALSE)),"Falta importe efectivo; el total de presupuesto no acredita este movimiento.",IF(NOT(AND(LEN(TRIM(H35&amp;""))&gt;0,TRIM(H35)&lt;&gt;"Pendiente",TRIM(H35)&lt;&gt;"Por confirmar",TRIM(H35)&lt;&gt;"No consta",TRIM(H35)&lt;&gt;"Desconocido")),"Identificamos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CAJA.",IF(AND(IF(ISNUMBER(F35),AND(F35&gt;=1,F35&lt;=2958465,F35=INT(F35)),FALSE),'CAJA'!$L$2=1,F35&gt;='CAJA'!$L$9),"Fuera del horizonte: ampliamos semanas (hasta 26) o revisamos la ventana. Aquí no se suma.","Dato registrado para la previsión; el estado Realizado requiere su evidencia de cobro/pago."))))))))))))))))))</f>
      </c>
      <c r="K35" t="n" s="27">
        <f>IF(COUNTA(B35:H35)&gt;0,1,0)</f>
        <v>0</v>
      </c>
      <c r="L35" t="str" s="27">
        <f>IF(COUNTA(B35:H35)&gt;0,IFERROR("ID:"&amp;UPPER(TRIM(B35&amp;"")),""),"")</f>
      </c>
      <c r="M35" t="str" s="27">
        <f>IF(NOT(COUNTA(B35:H35)&gt;0),"",IF(OR(ISERROR(B35),ISERROR(C35),ISERROR(D35),ISERROR(E35),ISERROR(F35),ISERROR(G35),ISERROR(H35)),2,IF(OR(ISERROR('CAJA'!$C$17),ISERROR('CAJA'!$C$18),ISERROR('CAJA'!$C$19),ISERROR('CAJA'!$C$20),ISERROR('CAJA'!$C$21),ISERROR('CAJA'!$C$22),ISERROR('CAJA'!$C$23)),1,IF(OR(AND(LEN(TRIM(G35&amp;""))&gt;0,NOT(IF(ISNUMBER(G35),AND(G35&gt;=0,G35=ROUND(G35,2)),FALSE))),AND(LEN(TRIM(F35&amp;""))&gt;0,NOT(IF(ISNUMBER(F35),AND(F35&gt;=1,F35&lt;=2958465,F35=INT(F35)),FALSE))),AND(LEN(TRIM(D35&amp;""))&gt;0,NOT(OR(D35="Cobro",D35="Pago"))),AND(LEN(TRIM(E35&amp;""))&gt;0,NOT(OR(E35="Previsto",E35="Realizado"))),AND(AND(LEN(TRIM(B35&amp;""))&gt;0,TRIM(B35)&lt;&gt;"Pendiente",TRIM(B35)&lt;&gt;"Por confirmar",TRIM(B35)&lt;&gt;"No consta",TRIM(B35)&lt;&gt;"Desconocido"),SUMPRODUCT(($L$10:$L$69=L35)*1)&gt;1),AND(IF(ISNUMBER(F35),AND(F35&gt;=1,F35&lt;=2958465,F35=INT(F35)),FALSE),IF(ISNUMBER('CAJA'!$C$19),AND('CAJA'!$C$19&gt;=1,'CAJA'!$C$19&lt;=2958465,'CAJA'!$C$19=INT('CAJA'!$C$19)),FALSE),OR(AND(E35="Realizado",F35&gt;'CAJA'!$C$19),AND(E35="Previsto",F35&lt;'CAJA'!$C$19))),AND(IF(ISNUMBER(F35),AND(F35&gt;=1,F35&lt;=2958465,F35=INT(F35)),FALSE),'CAJA'!$L$2=1,F35&lt;'CAJA'!$C$18)),2,IF(AND(AND(LEN(TRIM(B35&amp;""))&gt;0,TRIM(B35)&lt;&gt;"Pendiente",TRIM(B35)&lt;&gt;"Por confirmar",TRIM(B35)&lt;&gt;"No consta",TRIM(B35)&lt;&gt;"Desconocido"),AND(LEN(TRIM(C35&amp;""))&gt;0,TRIM(C35)&lt;&gt;"Pendiente",TRIM(C35)&lt;&gt;"Por confirmar",TRIM(C35)&lt;&gt;"No consta",TRIM(C35)&lt;&gt;"Desconocido"),OR(D35="Cobro",D35="Pago"),OR(E35="Previsto",E35="Realizado"),IF(ISNUMBER(F35),AND(F35&gt;=1,F35&lt;=2958465,F35=INT(F35)),FALSE),IF(ISNUMBER(G35),AND(G35&gt;=0,G35=ROUND(G35,2)),FALSE),AND(LEN(TRIM(H35&amp;""))&gt;0,TRIM(H35)&lt;&gt;"Pendiente",TRIM(H35)&lt;&gt;"Por confirmar",TRIM(H35)&lt;&gt;"No consta",TRIM(H35)&lt;&gt;"Desconocido"),'CAJA'!$L$2=1,IF(ISNUMBER('CAJA'!$C$19),AND('CAJA'!$C$19&gt;=1,'CAJA'!$C$19&lt;=2958465,'CAJA'!$C$19=INT('CAJA'!$C$19)),FALSE),F35&gt;='CAJA'!$C$18,F35&lt;'CAJA'!$L$9,NOT(OR(AND(LEN(TRIM(G35&amp;""))&gt;0,NOT(IF(ISNUMBER(G35),AND(G35&gt;=0,G35=ROUND(G35,2)),FALSE))),AND(LEN(TRIM(F35&amp;""))&gt;0,NOT(IF(ISNUMBER(F35),AND(F35&gt;=1,F35&lt;=2958465,F35=INT(F35)),FALSE))),AND(LEN(TRIM(D35&amp;""))&gt;0,NOT(OR(D35="Cobro",D35="Pago"))),AND(LEN(TRIM(E35&amp;""))&gt;0,NOT(OR(E35="Previsto",E35="Realizado"))),AND(AND(LEN(TRIM(B35&amp;""))&gt;0,TRIM(B35)&lt;&gt;"Pendiente",TRIM(B35)&lt;&gt;"Por confirmar",TRIM(B35)&lt;&gt;"No consta",TRIM(B35)&lt;&gt;"Desconocido"),SUMPRODUCT(($L$10:$L$69=L35)*1)&gt;1),AND(IF(ISNUMBER(F35),AND(F35&gt;=1,F35&lt;=2958465,F35=INT(F35)),FALSE),IF(ISNUMBER('CAJA'!$C$19),AND('CAJA'!$C$19&gt;=1,'CAJA'!$C$19&lt;=2958465,'CAJA'!$C$19=INT('CAJA'!$C$19)),FALSE),OR(AND(E35="Realizado",F35&gt;'CAJA'!$C$19),AND(E35="Previsto",F35&lt;'CAJA'!$C$19))),AND(IF(ISNUMBER(F35),AND(F35&gt;=1,F35&lt;=2958465,F35=INT(F35)),FALSE),'CAJA'!$L$2=1,F35&lt;'CAJA'!$C$18)))),0,1)))))</f>
      </c>
      <c r="N35" t="n" s="27">
        <f>IF(AND(K35=1,ISNUMBER(M35),M35=0),1,0)</f>
        <v>0</v>
      </c>
      <c r="O35" t="str" s="27">
        <f>IF(IF(ISNUMBER(F35),AND(F35&gt;=1,F35&lt;=2958465,F35=INT(F35)),FALSE),F35-WEEKDAY(F35,2)+1,"")</f>
      </c>
      <c r="P35" t="n" s="27">
        <f>IF(AND(K35=1,ISNUMBER(M35),M35&gt;0),IF(NOT(IF(ISNUMBER(F35),AND(F35&gt;=1,F35&lt;=2958465,F35=INT(F35)),FALSE)),1,IF('CAJA'!$L$2&lt;&gt;1,1,IF(OR(F35&lt;'CAJA'!$C$18,F35&gt;='CAJA'!$L$9),1,0))),0)</f>
        <v>0</v>
      </c>
    </row>
    <row r="36" ht="69" customHeight="1">
      <c r="B36" s="34"/>
      <c r="C36" s="34"/>
      <c r="D36" s="34"/>
      <c r="E36" s="34"/>
      <c r="F36" s="35"/>
      <c r="G36" s="36"/>
      <c r="H36" s="34"/>
      <c r="I36" s="33" t="str">
        <f>IF(K36=0,"",IF(M36=2,"ROJO",IF(M36=1,"ÁMBAR","VERDE")))</f>
      </c>
      <c r="J36" s="33" t="str">
        <f>IF(K36=0,"",IF(OR(ISERROR(B36),ISERROR(C36),ISERROR(D36),ISERROR(E36),ISERROR(F36),ISERROR(G36),ISERROR(H36)),"Hay una entrada con error de fórmula. Corregimos el dato; no lo convertimos en cero.",IF(OR(ISERROR('CAJA'!$C$17),ISERROR('CAJA'!$C$18),ISERROR('CAJA'!$C$19),ISERROR('CAJA'!$C$20),ISERROR('CAJA'!$C$21),ISERROR('CAJA'!$C$22),ISERROR('CAJA'!$C$23)),"Corregimos la entrada con error en CAJA antes de validar el movimiento.",IF(AND(AND(LEN(TRIM(B36&amp;""))&gt;0,TRIM(B36)&lt;&gt;"Pendiente",TRIM(B36)&lt;&gt;"Por confirmar",TRIM(B36)&lt;&gt;"No consta",TRIM(B36)&lt;&gt;"Desconocido"),SUMPRODUCT(($L$10:$L$69=L36)*1)&gt;1),"ID repetido: actualizamos el mismo movimiento o separamos únicamente la parte realizada y el resto pendiente.",IF(AND(IF(ISNUMBER(F36),AND(F36&gt;=1,F36&lt;=2958465,F36=INT(F36)),FALSE),IF(ISNUMBER('CAJA'!$C$19),AND('CAJA'!$C$19&gt;=1,'CAJA'!$C$19&lt;=2958465,'CAJA'!$C$19=INT('CAJA'!$C$19)),FALSE),E36="Realizado",F36&gt;'CAJA'!$C$19),"Realizado en fecha posterior al corte: revisamos fecha y estado.",IF(AND(IF(ISNUMBER(F36),AND(F36&gt;=1,F36&lt;=2958465,F36=INT(F36)),FALSE),IF(ISNUMBER('CAJA'!$C$19),AND('CAJA'!$C$19&gt;=1,'CAJA'!$C$19&lt;=2958465,'CAJA'!$C$19=INT('CAJA'!$C$19)),FALSE),E36="Previsto",F36&lt;'CAJA'!$C$19),"Previsión vencida: actualizamos su fecha esperada o registramos el movimiento realizado; no lo damos por cobrado.",IF(AND(IF(ISNUMBER(F36),AND(F36&gt;=1,F36&lt;=2958465,F36=INT(F36)),FALSE),'CAJA'!$L$2=1,F36&lt;'CAJA'!$C$18),"Anterior al horizonte: revisamos si ya está en el saldo inicial para no contarlo dos veces.",IF(OR(AND(LEN(TRIM(G36&amp;""))&gt;0,NOT(IF(ISNUMBER(G36),AND(G36&gt;=0,G36=ROUND(G36,2)),FALSE))),AND(LEN(TRIM(F36&amp;""))&gt;0,NOT(IF(ISNUMBER(F36),AND(F36&gt;=1,F36&lt;=2958465,F36=INT(F36)),FALSE))),AND(LEN(TRIM(D36&amp;""))&gt;0,NOT(OR(D36="Cobro",D36="Pago"))),AND(LEN(TRIM(E36&amp;""))&gt;0,NOT(OR(E36="Previsto",E36="Realizado"))),AND(AND(LEN(TRIM(B36&amp;""))&gt;0,TRIM(B36)&lt;&gt;"Pendiente",TRIM(B36)&lt;&gt;"Por confirmar",TRIM(B36)&lt;&gt;"No consta",TRIM(B36)&lt;&gt;"Desconocido"),SUMPRODUCT(($L$10:$L$69=L36)*1)&gt;1),AND(IF(ISNUMBER(F36),AND(F36&gt;=1,F36&lt;=2958465,F36=INT(F36)),FALSE),IF(ISNUMBER('CAJA'!$C$19),AND('CAJA'!$C$19&gt;=1,'CAJA'!$C$19&lt;=2958465,'CAJA'!$C$19=INT('CAJA'!$C$19)),FALSE),OR(AND(E36="Realizado",F36&gt;'CAJA'!$C$19),AND(E36="Previsto",F36&lt;'CAJA'!$C$19))),AND(IF(ISNUMBER(F36),AND(F36&gt;=1,F36&lt;=2958465,F36=INT(F36)),FALSE),'CAJA'!$L$2=1,F36&lt;'CAJA'!$C$18)),"Revisamos fecha, importe positivo/cero explícito y opciones de sentido/estado. Fechas sin hora e importes a céntimos.",IF(NOT(AND(LEN(TRIM(B36&amp;""))&gt;0,TRIM(B36)&lt;&gt;"Pendiente",TRIM(B36)&lt;&gt;"Por confirmar",TRIM(B36)&lt;&gt;"No consta",TRIM(B36)&lt;&gt;"Desconocido")),"Asignamos un identificador único.",IF(NOT(AND(LEN(TRIM(C36&amp;""))&gt;0,TRIM(C36)&lt;&gt;"Pendiente",TRIM(C36)&lt;&gt;"Por confirmar",TRIM(C36)&lt;&gt;"No consta",TRIM(C36)&lt;&gt;"Desconocido")),"Identificamos el concepto.",IF(NOT(OR(D36="Cobro",D36="Pago")),"Elegimos Cobro o Pago.",IF(NOT(OR(E36="Previsto",E36="Realizado")),"Elegimos Previsto o Realizado según lo acreditado.",IF(NOT(IF(ISNUMBER(F36),AND(F36&gt;=1,F36&lt;=2958465,F36=INT(F36)),FALSE)),"Falta fecha/semana: un plazo relativo o la fecha de una oferta no bastan.",IF(NOT(IF(ISNUMBER(G36),AND(G36&gt;=0,G36=ROUND(G36,2)),FALSE)),"Falta importe efectivo; el total de presupuesto no acredita este movimiento.",IF(NOT(AND(LEN(TRIM(H36&amp;""))&gt;0,TRIM(H36)&lt;&gt;"Pendiente",TRIM(H36)&lt;&gt;"Por confirmar",TRIM(H36)&lt;&gt;"No consta",TRIM(H36)&lt;&gt;"Desconocido")),"Identificamos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CAJA.",IF(AND(IF(ISNUMBER(F36),AND(F36&gt;=1,F36&lt;=2958465,F36=INT(F36)),FALSE),'CAJA'!$L$2=1,F36&gt;='CAJA'!$L$9),"Fuera del horizonte: ampliamos semanas (hasta 26) o revisamos la ventana. Aquí no se suma.","Dato registrado para la previsión; el estado Realizado requiere su evidencia de cobro/pago."))))))))))))))))))</f>
      </c>
      <c r="K36" t="n" s="27">
        <f>IF(COUNTA(B36:H36)&gt;0,1,0)</f>
        <v>0</v>
      </c>
      <c r="L36" t="str" s="27">
        <f>IF(COUNTA(B36:H36)&gt;0,IFERROR("ID:"&amp;UPPER(TRIM(B36&amp;"")),""),"")</f>
      </c>
      <c r="M36" t="str" s="27">
        <f>IF(NOT(COUNTA(B36:H36)&gt;0),"",IF(OR(ISERROR(B36),ISERROR(C36),ISERROR(D36),ISERROR(E36),ISERROR(F36),ISERROR(G36),ISERROR(H36)),2,IF(OR(ISERROR('CAJA'!$C$17),ISERROR('CAJA'!$C$18),ISERROR('CAJA'!$C$19),ISERROR('CAJA'!$C$20),ISERROR('CAJA'!$C$21),ISERROR('CAJA'!$C$22),ISERROR('CAJA'!$C$23)),1,IF(OR(AND(LEN(TRIM(G36&amp;""))&gt;0,NOT(IF(ISNUMBER(G36),AND(G36&gt;=0,G36=ROUND(G36,2)),FALSE))),AND(LEN(TRIM(F36&amp;""))&gt;0,NOT(IF(ISNUMBER(F36),AND(F36&gt;=1,F36&lt;=2958465,F36=INT(F36)),FALSE))),AND(LEN(TRIM(D36&amp;""))&gt;0,NOT(OR(D36="Cobro",D36="Pago"))),AND(LEN(TRIM(E36&amp;""))&gt;0,NOT(OR(E36="Previsto",E36="Realizado"))),AND(AND(LEN(TRIM(B36&amp;""))&gt;0,TRIM(B36)&lt;&gt;"Pendiente",TRIM(B36)&lt;&gt;"Por confirmar",TRIM(B36)&lt;&gt;"No consta",TRIM(B36)&lt;&gt;"Desconocido"),SUMPRODUCT(($L$10:$L$69=L36)*1)&gt;1),AND(IF(ISNUMBER(F36),AND(F36&gt;=1,F36&lt;=2958465,F36=INT(F36)),FALSE),IF(ISNUMBER('CAJA'!$C$19),AND('CAJA'!$C$19&gt;=1,'CAJA'!$C$19&lt;=2958465,'CAJA'!$C$19=INT('CAJA'!$C$19)),FALSE),OR(AND(E36="Realizado",F36&gt;'CAJA'!$C$19),AND(E36="Previsto",F36&lt;'CAJA'!$C$19))),AND(IF(ISNUMBER(F36),AND(F36&gt;=1,F36&lt;=2958465,F36=INT(F36)),FALSE),'CAJA'!$L$2=1,F36&lt;'CAJA'!$C$18)),2,IF(AND(AND(LEN(TRIM(B36&amp;""))&gt;0,TRIM(B36)&lt;&gt;"Pendiente",TRIM(B36)&lt;&gt;"Por confirmar",TRIM(B36)&lt;&gt;"No consta",TRIM(B36)&lt;&gt;"Desconocido"),AND(LEN(TRIM(C36&amp;""))&gt;0,TRIM(C36)&lt;&gt;"Pendiente",TRIM(C36)&lt;&gt;"Por confirmar",TRIM(C36)&lt;&gt;"No consta",TRIM(C36)&lt;&gt;"Desconocido"),OR(D36="Cobro",D36="Pago"),OR(E36="Previsto",E36="Realizado"),IF(ISNUMBER(F36),AND(F36&gt;=1,F36&lt;=2958465,F36=INT(F36)),FALSE),IF(ISNUMBER(G36),AND(G36&gt;=0,G36=ROUND(G36,2)),FALSE),AND(LEN(TRIM(H36&amp;""))&gt;0,TRIM(H36)&lt;&gt;"Pendiente",TRIM(H36)&lt;&gt;"Por confirmar",TRIM(H36)&lt;&gt;"No consta",TRIM(H36)&lt;&gt;"Desconocido"),'CAJA'!$L$2=1,IF(ISNUMBER('CAJA'!$C$19),AND('CAJA'!$C$19&gt;=1,'CAJA'!$C$19&lt;=2958465,'CAJA'!$C$19=INT('CAJA'!$C$19)),FALSE),F36&gt;='CAJA'!$C$18,F36&lt;'CAJA'!$L$9,NOT(OR(AND(LEN(TRIM(G36&amp;""))&gt;0,NOT(IF(ISNUMBER(G36),AND(G36&gt;=0,G36=ROUND(G36,2)),FALSE))),AND(LEN(TRIM(F36&amp;""))&gt;0,NOT(IF(ISNUMBER(F36),AND(F36&gt;=1,F36&lt;=2958465,F36=INT(F36)),FALSE))),AND(LEN(TRIM(D36&amp;""))&gt;0,NOT(OR(D36="Cobro",D36="Pago"))),AND(LEN(TRIM(E36&amp;""))&gt;0,NOT(OR(E36="Previsto",E36="Realizado"))),AND(AND(LEN(TRIM(B36&amp;""))&gt;0,TRIM(B36)&lt;&gt;"Pendiente",TRIM(B36)&lt;&gt;"Por confirmar",TRIM(B36)&lt;&gt;"No consta",TRIM(B36)&lt;&gt;"Desconocido"),SUMPRODUCT(($L$10:$L$69=L36)*1)&gt;1),AND(IF(ISNUMBER(F36),AND(F36&gt;=1,F36&lt;=2958465,F36=INT(F36)),FALSE),IF(ISNUMBER('CAJA'!$C$19),AND('CAJA'!$C$19&gt;=1,'CAJA'!$C$19&lt;=2958465,'CAJA'!$C$19=INT('CAJA'!$C$19)),FALSE),OR(AND(E36="Realizado",F36&gt;'CAJA'!$C$19),AND(E36="Previsto",F36&lt;'CAJA'!$C$19))),AND(IF(ISNUMBER(F36),AND(F36&gt;=1,F36&lt;=2958465,F36=INT(F36)),FALSE),'CAJA'!$L$2=1,F36&lt;'CAJA'!$C$18)))),0,1)))))</f>
      </c>
      <c r="N36" t="n" s="27">
        <f>IF(AND(K36=1,ISNUMBER(M36),M36=0),1,0)</f>
        <v>0</v>
      </c>
      <c r="O36" t="str" s="27">
        <f>IF(IF(ISNUMBER(F36),AND(F36&gt;=1,F36&lt;=2958465,F36=INT(F36)),FALSE),F36-WEEKDAY(F36,2)+1,"")</f>
      </c>
      <c r="P36" t="n" s="27">
        <f>IF(AND(K36=1,ISNUMBER(M36),M36&gt;0),IF(NOT(IF(ISNUMBER(F36),AND(F36&gt;=1,F36&lt;=2958465,F36=INT(F36)),FALSE)),1,IF('CAJA'!$L$2&lt;&gt;1,1,IF(OR(F36&lt;'CAJA'!$C$18,F36&gt;='CAJA'!$L$9),1,0))),0)</f>
        <v>0</v>
      </c>
    </row>
    <row r="37" ht="69" customHeight="1">
      <c r="B37" s="34"/>
      <c r="C37" s="34"/>
      <c r="D37" s="34"/>
      <c r="E37" s="34"/>
      <c r="F37" s="35"/>
      <c r="G37" s="36"/>
      <c r="H37" s="34"/>
      <c r="I37" s="33" t="str">
        <f>IF(K37=0,"",IF(M37=2,"ROJO",IF(M37=1,"ÁMBAR","VERDE")))</f>
      </c>
      <c r="J37" s="33" t="str">
        <f>IF(K37=0,"",IF(OR(ISERROR(B37),ISERROR(C37),ISERROR(D37),ISERROR(E37),ISERROR(F37),ISERROR(G37),ISERROR(H37)),"Hay una entrada con error de fórmula. Corregimos el dato; no lo convertimos en cero.",IF(OR(ISERROR('CAJA'!$C$17),ISERROR('CAJA'!$C$18),ISERROR('CAJA'!$C$19),ISERROR('CAJA'!$C$20),ISERROR('CAJA'!$C$21),ISERROR('CAJA'!$C$22),ISERROR('CAJA'!$C$23)),"Corregimos la entrada con error en CAJA antes de validar el movimiento.",IF(AND(AND(LEN(TRIM(B37&amp;""))&gt;0,TRIM(B37)&lt;&gt;"Pendiente",TRIM(B37)&lt;&gt;"Por confirmar",TRIM(B37)&lt;&gt;"No consta",TRIM(B37)&lt;&gt;"Desconocido"),SUMPRODUCT(($L$10:$L$69=L37)*1)&gt;1),"ID repetido: actualizamos el mismo movimiento o separamos únicamente la parte realizada y el resto pendiente.",IF(AND(IF(ISNUMBER(F37),AND(F37&gt;=1,F37&lt;=2958465,F37=INT(F37)),FALSE),IF(ISNUMBER('CAJA'!$C$19),AND('CAJA'!$C$19&gt;=1,'CAJA'!$C$19&lt;=2958465,'CAJA'!$C$19=INT('CAJA'!$C$19)),FALSE),E37="Realizado",F37&gt;'CAJA'!$C$19),"Realizado en fecha posterior al corte: revisamos fecha y estado.",IF(AND(IF(ISNUMBER(F37),AND(F37&gt;=1,F37&lt;=2958465,F37=INT(F37)),FALSE),IF(ISNUMBER('CAJA'!$C$19),AND('CAJA'!$C$19&gt;=1,'CAJA'!$C$19&lt;=2958465,'CAJA'!$C$19=INT('CAJA'!$C$19)),FALSE),E37="Previsto",F37&lt;'CAJA'!$C$19),"Previsión vencida: actualizamos su fecha esperada o registramos el movimiento realizado; no lo damos por cobrado.",IF(AND(IF(ISNUMBER(F37),AND(F37&gt;=1,F37&lt;=2958465,F37=INT(F37)),FALSE),'CAJA'!$L$2=1,F37&lt;'CAJA'!$C$18),"Anterior al horizonte: revisamos si ya está en el saldo inicial para no contarlo dos veces.",IF(OR(AND(LEN(TRIM(G37&amp;""))&gt;0,NOT(IF(ISNUMBER(G37),AND(G37&gt;=0,G37=ROUND(G37,2)),FALSE))),AND(LEN(TRIM(F37&amp;""))&gt;0,NOT(IF(ISNUMBER(F37),AND(F37&gt;=1,F37&lt;=2958465,F37=INT(F37)),FALSE))),AND(LEN(TRIM(D37&amp;""))&gt;0,NOT(OR(D37="Cobro",D37="Pago"))),AND(LEN(TRIM(E37&amp;""))&gt;0,NOT(OR(E37="Previsto",E37="Realizado"))),AND(AND(LEN(TRIM(B37&amp;""))&gt;0,TRIM(B37)&lt;&gt;"Pendiente",TRIM(B37)&lt;&gt;"Por confirmar",TRIM(B37)&lt;&gt;"No consta",TRIM(B37)&lt;&gt;"Desconocido"),SUMPRODUCT(($L$10:$L$69=L37)*1)&gt;1),AND(IF(ISNUMBER(F37),AND(F37&gt;=1,F37&lt;=2958465,F37=INT(F37)),FALSE),IF(ISNUMBER('CAJA'!$C$19),AND('CAJA'!$C$19&gt;=1,'CAJA'!$C$19&lt;=2958465,'CAJA'!$C$19=INT('CAJA'!$C$19)),FALSE),OR(AND(E37="Realizado",F37&gt;'CAJA'!$C$19),AND(E37="Previsto",F37&lt;'CAJA'!$C$19))),AND(IF(ISNUMBER(F37),AND(F37&gt;=1,F37&lt;=2958465,F37=INT(F37)),FALSE),'CAJA'!$L$2=1,F37&lt;'CAJA'!$C$18)),"Revisamos fecha, importe positivo/cero explícito y opciones de sentido/estado. Fechas sin hora e importes a céntimos.",IF(NOT(AND(LEN(TRIM(B37&amp;""))&gt;0,TRIM(B37)&lt;&gt;"Pendiente",TRIM(B37)&lt;&gt;"Por confirmar",TRIM(B37)&lt;&gt;"No consta",TRIM(B37)&lt;&gt;"Desconocido")),"Asignamos un identificador único.",IF(NOT(AND(LEN(TRIM(C37&amp;""))&gt;0,TRIM(C37)&lt;&gt;"Pendiente",TRIM(C37)&lt;&gt;"Por confirmar",TRIM(C37)&lt;&gt;"No consta",TRIM(C37)&lt;&gt;"Desconocido")),"Identificamos el concepto.",IF(NOT(OR(D37="Cobro",D37="Pago")),"Elegimos Cobro o Pago.",IF(NOT(OR(E37="Previsto",E37="Realizado")),"Elegimos Previsto o Realizado según lo acreditado.",IF(NOT(IF(ISNUMBER(F37),AND(F37&gt;=1,F37&lt;=2958465,F37=INT(F37)),FALSE)),"Falta fecha/semana: un plazo relativo o la fecha de una oferta no bastan.",IF(NOT(IF(ISNUMBER(G37),AND(G37&gt;=0,G37=ROUND(G37,2)),FALSE)),"Falta importe efectivo; el total de presupuesto no acredita este movimiento.",IF(NOT(AND(LEN(TRIM(H37&amp;""))&gt;0,TRIM(H37)&lt;&gt;"Pendiente",TRIM(H37)&lt;&gt;"Por confirmar",TRIM(H37)&lt;&gt;"No consta",TRIM(H37)&lt;&gt;"Desconocido")),"Identificamos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CAJA.",IF(AND(IF(ISNUMBER(F37),AND(F37&gt;=1,F37&lt;=2958465,F37=INT(F37)),FALSE),'CAJA'!$L$2=1,F37&gt;='CAJA'!$L$9),"Fuera del horizonte: ampliamos semanas (hasta 26) o revisamos la ventana. Aquí no se suma.","Dato registrado para la previsión; el estado Realizado requiere su evidencia de cobro/pago."))))))))))))))))))</f>
      </c>
      <c r="K37" t="n" s="27">
        <f>IF(COUNTA(B37:H37)&gt;0,1,0)</f>
        <v>0</v>
      </c>
      <c r="L37" t="str" s="27">
        <f>IF(COUNTA(B37:H37)&gt;0,IFERROR("ID:"&amp;UPPER(TRIM(B37&amp;"")),""),"")</f>
      </c>
      <c r="M37" t="str" s="27">
        <f>IF(NOT(COUNTA(B37:H37)&gt;0),"",IF(OR(ISERROR(B37),ISERROR(C37),ISERROR(D37),ISERROR(E37),ISERROR(F37),ISERROR(G37),ISERROR(H37)),2,IF(OR(ISERROR('CAJA'!$C$17),ISERROR('CAJA'!$C$18),ISERROR('CAJA'!$C$19),ISERROR('CAJA'!$C$20),ISERROR('CAJA'!$C$21),ISERROR('CAJA'!$C$22),ISERROR('CAJA'!$C$23)),1,IF(OR(AND(LEN(TRIM(G37&amp;""))&gt;0,NOT(IF(ISNUMBER(G37),AND(G37&gt;=0,G37=ROUND(G37,2)),FALSE))),AND(LEN(TRIM(F37&amp;""))&gt;0,NOT(IF(ISNUMBER(F37),AND(F37&gt;=1,F37&lt;=2958465,F37=INT(F37)),FALSE))),AND(LEN(TRIM(D37&amp;""))&gt;0,NOT(OR(D37="Cobro",D37="Pago"))),AND(LEN(TRIM(E37&amp;""))&gt;0,NOT(OR(E37="Previsto",E37="Realizado"))),AND(AND(LEN(TRIM(B37&amp;""))&gt;0,TRIM(B37)&lt;&gt;"Pendiente",TRIM(B37)&lt;&gt;"Por confirmar",TRIM(B37)&lt;&gt;"No consta",TRIM(B37)&lt;&gt;"Desconocido"),SUMPRODUCT(($L$10:$L$69=L37)*1)&gt;1),AND(IF(ISNUMBER(F37),AND(F37&gt;=1,F37&lt;=2958465,F37=INT(F37)),FALSE),IF(ISNUMBER('CAJA'!$C$19),AND('CAJA'!$C$19&gt;=1,'CAJA'!$C$19&lt;=2958465,'CAJA'!$C$19=INT('CAJA'!$C$19)),FALSE),OR(AND(E37="Realizado",F37&gt;'CAJA'!$C$19),AND(E37="Previsto",F37&lt;'CAJA'!$C$19))),AND(IF(ISNUMBER(F37),AND(F37&gt;=1,F37&lt;=2958465,F37=INT(F37)),FALSE),'CAJA'!$L$2=1,F37&lt;'CAJA'!$C$18)),2,IF(AND(AND(LEN(TRIM(B37&amp;""))&gt;0,TRIM(B37)&lt;&gt;"Pendiente",TRIM(B37)&lt;&gt;"Por confirmar",TRIM(B37)&lt;&gt;"No consta",TRIM(B37)&lt;&gt;"Desconocido"),AND(LEN(TRIM(C37&amp;""))&gt;0,TRIM(C37)&lt;&gt;"Pendiente",TRIM(C37)&lt;&gt;"Por confirmar",TRIM(C37)&lt;&gt;"No consta",TRIM(C37)&lt;&gt;"Desconocido"),OR(D37="Cobro",D37="Pago"),OR(E37="Previsto",E37="Realizado"),IF(ISNUMBER(F37),AND(F37&gt;=1,F37&lt;=2958465,F37=INT(F37)),FALSE),IF(ISNUMBER(G37),AND(G37&gt;=0,G37=ROUND(G37,2)),FALSE),AND(LEN(TRIM(H37&amp;""))&gt;0,TRIM(H37)&lt;&gt;"Pendiente",TRIM(H37)&lt;&gt;"Por confirmar",TRIM(H37)&lt;&gt;"No consta",TRIM(H37)&lt;&gt;"Desconocido"),'CAJA'!$L$2=1,IF(ISNUMBER('CAJA'!$C$19),AND('CAJA'!$C$19&gt;=1,'CAJA'!$C$19&lt;=2958465,'CAJA'!$C$19=INT('CAJA'!$C$19)),FALSE),F37&gt;='CAJA'!$C$18,F37&lt;'CAJA'!$L$9,NOT(OR(AND(LEN(TRIM(G37&amp;""))&gt;0,NOT(IF(ISNUMBER(G37),AND(G37&gt;=0,G37=ROUND(G37,2)),FALSE))),AND(LEN(TRIM(F37&amp;""))&gt;0,NOT(IF(ISNUMBER(F37),AND(F37&gt;=1,F37&lt;=2958465,F37=INT(F37)),FALSE))),AND(LEN(TRIM(D37&amp;""))&gt;0,NOT(OR(D37="Cobro",D37="Pago"))),AND(LEN(TRIM(E37&amp;""))&gt;0,NOT(OR(E37="Previsto",E37="Realizado"))),AND(AND(LEN(TRIM(B37&amp;""))&gt;0,TRIM(B37)&lt;&gt;"Pendiente",TRIM(B37)&lt;&gt;"Por confirmar",TRIM(B37)&lt;&gt;"No consta",TRIM(B37)&lt;&gt;"Desconocido"),SUMPRODUCT(($L$10:$L$69=L37)*1)&gt;1),AND(IF(ISNUMBER(F37),AND(F37&gt;=1,F37&lt;=2958465,F37=INT(F37)),FALSE),IF(ISNUMBER('CAJA'!$C$19),AND('CAJA'!$C$19&gt;=1,'CAJA'!$C$19&lt;=2958465,'CAJA'!$C$19=INT('CAJA'!$C$19)),FALSE),OR(AND(E37="Realizado",F37&gt;'CAJA'!$C$19),AND(E37="Previsto",F37&lt;'CAJA'!$C$19))),AND(IF(ISNUMBER(F37),AND(F37&gt;=1,F37&lt;=2958465,F37=INT(F37)),FALSE),'CAJA'!$L$2=1,F37&lt;'CAJA'!$C$18)))),0,1)))))</f>
      </c>
      <c r="N37" t="n" s="27">
        <f>IF(AND(K37=1,ISNUMBER(M37),M37=0),1,0)</f>
        <v>0</v>
      </c>
      <c r="O37" t="str" s="27">
        <f>IF(IF(ISNUMBER(F37),AND(F37&gt;=1,F37&lt;=2958465,F37=INT(F37)),FALSE),F37-WEEKDAY(F37,2)+1,"")</f>
      </c>
      <c r="P37" t="n" s="27">
        <f>IF(AND(K37=1,ISNUMBER(M37),M37&gt;0),IF(NOT(IF(ISNUMBER(F37),AND(F37&gt;=1,F37&lt;=2958465,F37=INT(F37)),FALSE)),1,IF('CAJA'!$L$2&lt;&gt;1,1,IF(OR(F37&lt;'CAJA'!$C$18,F37&gt;='CAJA'!$L$9),1,0))),0)</f>
        <v>0</v>
      </c>
    </row>
    <row r="38" ht="69" customHeight="1">
      <c r="B38" s="34"/>
      <c r="C38" s="34"/>
      <c r="D38" s="34"/>
      <c r="E38" s="34"/>
      <c r="F38" s="35"/>
      <c r="G38" s="36"/>
      <c r="H38" s="34"/>
      <c r="I38" s="33" t="str">
        <f>IF(K38=0,"",IF(M38=2,"ROJO",IF(M38=1,"ÁMBAR","VERDE")))</f>
      </c>
      <c r="J38" s="33" t="str">
        <f>IF(K38=0,"",IF(OR(ISERROR(B38),ISERROR(C38),ISERROR(D38),ISERROR(E38),ISERROR(F38),ISERROR(G38),ISERROR(H38)),"Hay una entrada con error de fórmula. Corregimos el dato; no lo convertimos en cero.",IF(OR(ISERROR('CAJA'!$C$17),ISERROR('CAJA'!$C$18),ISERROR('CAJA'!$C$19),ISERROR('CAJA'!$C$20),ISERROR('CAJA'!$C$21),ISERROR('CAJA'!$C$22),ISERROR('CAJA'!$C$23)),"Corregimos la entrada con error en CAJA antes de validar el movimiento.",IF(AND(AND(LEN(TRIM(B38&amp;""))&gt;0,TRIM(B38)&lt;&gt;"Pendiente",TRIM(B38)&lt;&gt;"Por confirmar",TRIM(B38)&lt;&gt;"No consta",TRIM(B38)&lt;&gt;"Desconocido"),SUMPRODUCT(($L$10:$L$69=L38)*1)&gt;1),"ID repetido: actualizamos el mismo movimiento o separamos únicamente la parte realizada y el resto pendiente.",IF(AND(IF(ISNUMBER(F38),AND(F38&gt;=1,F38&lt;=2958465,F38=INT(F38)),FALSE),IF(ISNUMBER('CAJA'!$C$19),AND('CAJA'!$C$19&gt;=1,'CAJA'!$C$19&lt;=2958465,'CAJA'!$C$19=INT('CAJA'!$C$19)),FALSE),E38="Realizado",F38&gt;'CAJA'!$C$19),"Realizado en fecha posterior al corte: revisamos fecha y estado.",IF(AND(IF(ISNUMBER(F38),AND(F38&gt;=1,F38&lt;=2958465,F38=INT(F38)),FALSE),IF(ISNUMBER('CAJA'!$C$19),AND('CAJA'!$C$19&gt;=1,'CAJA'!$C$19&lt;=2958465,'CAJA'!$C$19=INT('CAJA'!$C$19)),FALSE),E38="Previsto",F38&lt;'CAJA'!$C$19),"Previsión vencida: actualizamos su fecha esperada o registramos el movimiento realizado; no lo damos por cobrado.",IF(AND(IF(ISNUMBER(F38),AND(F38&gt;=1,F38&lt;=2958465,F38=INT(F38)),FALSE),'CAJA'!$L$2=1,F38&lt;'CAJA'!$C$18),"Anterior al horizonte: revisamos si ya está en el saldo inicial para no contarlo dos veces.",IF(OR(AND(LEN(TRIM(G38&amp;""))&gt;0,NOT(IF(ISNUMBER(G38),AND(G38&gt;=0,G38=ROUND(G38,2)),FALSE))),AND(LEN(TRIM(F38&amp;""))&gt;0,NOT(IF(ISNUMBER(F38),AND(F38&gt;=1,F38&lt;=2958465,F38=INT(F38)),FALSE))),AND(LEN(TRIM(D38&amp;""))&gt;0,NOT(OR(D38="Cobro",D38="Pago"))),AND(LEN(TRIM(E38&amp;""))&gt;0,NOT(OR(E38="Previsto",E38="Realizado"))),AND(AND(LEN(TRIM(B38&amp;""))&gt;0,TRIM(B38)&lt;&gt;"Pendiente",TRIM(B38)&lt;&gt;"Por confirmar",TRIM(B38)&lt;&gt;"No consta",TRIM(B38)&lt;&gt;"Desconocido"),SUMPRODUCT(($L$10:$L$69=L38)*1)&gt;1),AND(IF(ISNUMBER(F38),AND(F38&gt;=1,F38&lt;=2958465,F38=INT(F38)),FALSE),IF(ISNUMBER('CAJA'!$C$19),AND('CAJA'!$C$19&gt;=1,'CAJA'!$C$19&lt;=2958465,'CAJA'!$C$19=INT('CAJA'!$C$19)),FALSE),OR(AND(E38="Realizado",F38&gt;'CAJA'!$C$19),AND(E38="Previsto",F38&lt;'CAJA'!$C$19))),AND(IF(ISNUMBER(F38),AND(F38&gt;=1,F38&lt;=2958465,F38=INT(F38)),FALSE),'CAJA'!$L$2=1,F38&lt;'CAJA'!$C$18)),"Revisamos fecha, importe positivo/cero explícito y opciones de sentido/estado. Fechas sin hora e importes a céntimos.",IF(NOT(AND(LEN(TRIM(B38&amp;""))&gt;0,TRIM(B38)&lt;&gt;"Pendiente",TRIM(B38)&lt;&gt;"Por confirmar",TRIM(B38)&lt;&gt;"No consta",TRIM(B38)&lt;&gt;"Desconocido")),"Asignamos un identificador único.",IF(NOT(AND(LEN(TRIM(C38&amp;""))&gt;0,TRIM(C38)&lt;&gt;"Pendiente",TRIM(C38)&lt;&gt;"Por confirmar",TRIM(C38)&lt;&gt;"No consta",TRIM(C38)&lt;&gt;"Desconocido")),"Identificamos el concepto.",IF(NOT(OR(D38="Cobro",D38="Pago")),"Elegimos Cobro o Pago.",IF(NOT(OR(E38="Previsto",E38="Realizado")),"Elegimos Previsto o Realizado según lo acreditado.",IF(NOT(IF(ISNUMBER(F38),AND(F38&gt;=1,F38&lt;=2958465,F38=INT(F38)),FALSE)),"Falta fecha/semana: un plazo relativo o la fecha de una oferta no bastan.",IF(NOT(IF(ISNUMBER(G38),AND(G38&gt;=0,G38=ROUND(G38,2)),FALSE)),"Falta importe efectivo; el total de presupuesto no acredita este movimiento.",IF(NOT(AND(LEN(TRIM(H38&amp;""))&gt;0,TRIM(H38)&lt;&gt;"Pendiente",TRIM(H38)&lt;&gt;"Por confirmar",TRIM(H38)&lt;&gt;"No consta",TRIM(H38)&lt;&gt;"Desconocido")),"Identificamos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CAJA.",IF(AND(IF(ISNUMBER(F38),AND(F38&gt;=1,F38&lt;=2958465,F38=INT(F38)),FALSE),'CAJA'!$L$2=1,F38&gt;='CAJA'!$L$9),"Fuera del horizonte: ampliamos semanas (hasta 26) o revisamos la ventana. Aquí no se suma.","Dato registrado para la previsión; el estado Realizado requiere su evidencia de cobro/pago."))))))))))))))))))</f>
      </c>
      <c r="K38" t="n" s="27">
        <f>IF(COUNTA(B38:H38)&gt;0,1,0)</f>
        <v>0</v>
      </c>
      <c r="L38" t="str" s="27">
        <f>IF(COUNTA(B38:H38)&gt;0,IFERROR("ID:"&amp;UPPER(TRIM(B38&amp;"")),""),"")</f>
      </c>
      <c r="M38" t="str" s="27">
        <f>IF(NOT(COUNTA(B38:H38)&gt;0),"",IF(OR(ISERROR(B38),ISERROR(C38),ISERROR(D38),ISERROR(E38),ISERROR(F38),ISERROR(G38),ISERROR(H38)),2,IF(OR(ISERROR('CAJA'!$C$17),ISERROR('CAJA'!$C$18),ISERROR('CAJA'!$C$19),ISERROR('CAJA'!$C$20),ISERROR('CAJA'!$C$21),ISERROR('CAJA'!$C$22),ISERROR('CAJA'!$C$23)),1,IF(OR(AND(LEN(TRIM(G38&amp;""))&gt;0,NOT(IF(ISNUMBER(G38),AND(G38&gt;=0,G38=ROUND(G38,2)),FALSE))),AND(LEN(TRIM(F38&amp;""))&gt;0,NOT(IF(ISNUMBER(F38),AND(F38&gt;=1,F38&lt;=2958465,F38=INT(F38)),FALSE))),AND(LEN(TRIM(D38&amp;""))&gt;0,NOT(OR(D38="Cobro",D38="Pago"))),AND(LEN(TRIM(E38&amp;""))&gt;0,NOT(OR(E38="Previsto",E38="Realizado"))),AND(AND(LEN(TRIM(B38&amp;""))&gt;0,TRIM(B38)&lt;&gt;"Pendiente",TRIM(B38)&lt;&gt;"Por confirmar",TRIM(B38)&lt;&gt;"No consta",TRIM(B38)&lt;&gt;"Desconocido"),SUMPRODUCT(($L$10:$L$69=L38)*1)&gt;1),AND(IF(ISNUMBER(F38),AND(F38&gt;=1,F38&lt;=2958465,F38=INT(F38)),FALSE),IF(ISNUMBER('CAJA'!$C$19),AND('CAJA'!$C$19&gt;=1,'CAJA'!$C$19&lt;=2958465,'CAJA'!$C$19=INT('CAJA'!$C$19)),FALSE),OR(AND(E38="Realizado",F38&gt;'CAJA'!$C$19),AND(E38="Previsto",F38&lt;'CAJA'!$C$19))),AND(IF(ISNUMBER(F38),AND(F38&gt;=1,F38&lt;=2958465,F38=INT(F38)),FALSE),'CAJA'!$L$2=1,F38&lt;'CAJA'!$C$18)),2,IF(AND(AND(LEN(TRIM(B38&amp;""))&gt;0,TRIM(B38)&lt;&gt;"Pendiente",TRIM(B38)&lt;&gt;"Por confirmar",TRIM(B38)&lt;&gt;"No consta",TRIM(B38)&lt;&gt;"Desconocido"),AND(LEN(TRIM(C38&amp;""))&gt;0,TRIM(C38)&lt;&gt;"Pendiente",TRIM(C38)&lt;&gt;"Por confirmar",TRIM(C38)&lt;&gt;"No consta",TRIM(C38)&lt;&gt;"Desconocido"),OR(D38="Cobro",D38="Pago"),OR(E38="Previsto",E38="Realizado"),IF(ISNUMBER(F38),AND(F38&gt;=1,F38&lt;=2958465,F38=INT(F38)),FALSE),IF(ISNUMBER(G38),AND(G38&gt;=0,G38=ROUND(G38,2)),FALSE),AND(LEN(TRIM(H38&amp;""))&gt;0,TRIM(H38)&lt;&gt;"Pendiente",TRIM(H38)&lt;&gt;"Por confirmar",TRIM(H38)&lt;&gt;"No consta",TRIM(H38)&lt;&gt;"Desconocido"),'CAJA'!$L$2=1,IF(ISNUMBER('CAJA'!$C$19),AND('CAJA'!$C$19&gt;=1,'CAJA'!$C$19&lt;=2958465,'CAJA'!$C$19=INT('CAJA'!$C$19)),FALSE),F38&gt;='CAJA'!$C$18,F38&lt;'CAJA'!$L$9,NOT(OR(AND(LEN(TRIM(G38&amp;""))&gt;0,NOT(IF(ISNUMBER(G38),AND(G38&gt;=0,G38=ROUND(G38,2)),FALSE))),AND(LEN(TRIM(F38&amp;""))&gt;0,NOT(IF(ISNUMBER(F38),AND(F38&gt;=1,F38&lt;=2958465,F38=INT(F38)),FALSE))),AND(LEN(TRIM(D38&amp;""))&gt;0,NOT(OR(D38="Cobro",D38="Pago"))),AND(LEN(TRIM(E38&amp;""))&gt;0,NOT(OR(E38="Previsto",E38="Realizado"))),AND(AND(LEN(TRIM(B38&amp;""))&gt;0,TRIM(B38)&lt;&gt;"Pendiente",TRIM(B38)&lt;&gt;"Por confirmar",TRIM(B38)&lt;&gt;"No consta",TRIM(B38)&lt;&gt;"Desconocido"),SUMPRODUCT(($L$10:$L$69=L38)*1)&gt;1),AND(IF(ISNUMBER(F38),AND(F38&gt;=1,F38&lt;=2958465,F38=INT(F38)),FALSE),IF(ISNUMBER('CAJA'!$C$19),AND('CAJA'!$C$19&gt;=1,'CAJA'!$C$19&lt;=2958465,'CAJA'!$C$19=INT('CAJA'!$C$19)),FALSE),OR(AND(E38="Realizado",F38&gt;'CAJA'!$C$19),AND(E38="Previsto",F38&lt;'CAJA'!$C$19))),AND(IF(ISNUMBER(F38),AND(F38&gt;=1,F38&lt;=2958465,F38=INT(F38)),FALSE),'CAJA'!$L$2=1,F38&lt;'CAJA'!$C$18)))),0,1)))))</f>
      </c>
      <c r="N38" t="n" s="27">
        <f>IF(AND(K38=1,ISNUMBER(M38),M38=0),1,0)</f>
        <v>0</v>
      </c>
      <c r="O38" t="str" s="27">
        <f>IF(IF(ISNUMBER(F38),AND(F38&gt;=1,F38&lt;=2958465,F38=INT(F38)),FALSE),F38-WEEKDAY(F38,2)+1,"")</f>
      </c>
      <c r="P38" t="n" s="27">
        <f>IF(AND(K38=1,ISNUMBER(M38),M38&gt;0),IF(NOT(IF(ISNUMBER(F38),AND(F38&gt;=1,F38&lt;=2958465,F38=INT(F38)),FALSE)),1,IF('CAJA'!$L$2&lt;&gt;1,1,IF(OR(F38&lt;'CAJA'!$C$18,F38&gt;='CAJA'!$L$9),1,0))),0)</f>
        <v>0</v>
      </c>
    </row>
    <row r="39" ht="69" customHeight="1">
      <c r="B39" s="34"/>
      <c r="C39" s="34"/>
      <c r="D39" s="34"/>
      <c r="E39" s="34"/>
      <c r="F39" s="35"/>
      <c r="G39" s="36"/>
      <c r="H39" s="34"/>
      <c r="I39" s="33" t="str">
        <f>IF(K39=0,"",IF(M39=2,"ROJO",IF(M39=1,"ÁMBAR","VERDE")))</f>
      </c>
      <c r="J39" s="33" t="str">
        <f>IF(K39=0,"",IF(OR(ISERROR(B39),ISERROR(C39),ISERROR(D39),ISERROR(E39),ISERROR(F39),ISERROR(G39),ISERROR(H39)),"Hay una entrada con error de fórmula. Corregimos el dato; no lo convertimos en cero.",IF(OR(ISERROR('CAJA'!$C$17),ISERROR('CAJA'!$C$18),ISERROR('CAJA'!$C$19),ISERROR('CAJA'!$C$20),ISERROR('CAJA'!$C$21),ISERROR('CAJA'!$C$22),ISERROR('CAJA'!$C$23)),"Corregimos la entrada con error en CAJA antes de validar el movimiento.",IF(AND(AND(LEN(TRIM(B39&amp;""))&gt;0,TRIM(B39)&lt;&gt;"Pendiente",TRIM(B39)&lt;&gt;"Por confirmar",TRIM(B39)&lt;&gt;"No consta",TRIM(B39)&lt;&gt;"Desconocido"),SUMPRODUCT(($L$10:$L$69=L39)*1)&gt;1),"ID repetido: actualizamos el mismo movimiento o separamos únicamente la parte realizada y el resto pendiente.",IF(AND(IF(ISNUMBER(F39),AND(F39&gt;=1,F39&lt;=2958465,F39=INT(F39)),FALSE),IF(ISNUMBER('CAJA'!$C$19),AND('CAJA'!$C$19&gt;=1,'CAJA'!$C$19&lt;=2958465,'CAJA'!$C$19=INT('CAJA'!$C$19)),FALSE),E39="Realizado",F39&gt;'CAJA'!$C$19),"Realizado en fecha posterior al corte: revisamos fecha y estado.",IF(AND(IF(ISNUMBER(F39),AND(F39&gt;=1,F39&lt;=2958465,F39=INT(F39)),FALSE),IF(ISNUMBER('CAJA'!$C$19),AND('CAJA'!$C$19&gt;=1,'CAJA'!$C$19&lt;=2958465,'CAJA'!$C$19=INT('CAJA'!$C$19)),FALSE),E39="Previsto",F39&lt;'CAJA'!$C$19),"Previsión vencida: actualizamos su fecha esperada o registramos el movimiento realizado; no lo damos por cobrado.",IF(AND(IF(ISNUMBER(F39),AND(F39&gt;=1,F39&lt;=2958465,F39=INT(F39)),FALSE),'CAJA'!$L$2=1,F39&lt;'CAJA'!$C$18),"Anterior al horizonte: revisamos si ya está en el saldo inicial para no contarlo dos veces.",IF(OR(AND(LEN(TRIM(G39&amp;""))&gt;0,NOT(IF(ISNUMBER(G39),AND(G39&gt;=0,G39=ROUND(G39,2)),FALSE))),AND(LEN(TRIM(F39&amp;""))&gt;0,NOT(IF(ISNUMBER(F39),AND(F39&gt;=1,F39&lt;=2958465,F39=INT(F39)),FALSE))),AND(LEN(TRIM(D39&amp;""))&gt;0,NOT(OR(D39="Cobro",D39="Pago"))),AND(LEN(TRIM(E39&amp;""))&gt;0,NOT(OR(E39="Previsto",E39="Realizado"))),AND(AND(LEN(TRIM(B39&amp;""))&gt;0,TRIM(B39)&lt;&gt;"Pendiente",TRIM(B39)&lt;&gt;"Por confirmar",TRIM(B39)&lt;&gt;"No consta",TRIM(B39)&lt;&gt;"Desconocido"),SUMPRODUCT(($L$10:$L$69=L39)*1)&gt;1),AND(IF(ISNUMBER(F39),AND(F39&gt;=1,F39&lt;=2958465,F39=INT(F39)),FALSE),IF(ISNUMBER('CAJA'!$C$19),AND('CAJA'!$C$19&gt;=1,'CAJA'!$C$19&lt;=2958465,'CAJA'!$C$19=INT('CAJA'!$C$19)),FALSE),OR(AND(E39="Realizado",F39&gt;'CAJA'!$C$19),AND(E39="Previsto",F39&lt;'CAJA'!$C$19))),AND(IF(ISNUMBER(F39),AND(F39&gt;=1,F39&lt;=2958465,F39=INT(F39)),FALSE),'CAJA'!$L$2=1,F39&lt;'CAJA'!$C$18)),"Revisamos fecha, importe positivo/cero explícito y opciones de sentido/estado. Fechas sin hora e importes a céntimos.",IF(NOT(AND(LEN(TRIM(B39&amp;""))&gt;0,TRIM(B39)&lt;&gt;"Pendiente",TRIM(B39)&lt;&gt;"Por confirmar",TRIM(B39)&lt;&gt;"No consta",TRIM(B39)&lt;&gt;"Desconocido")),"Asignamos un identificador único.",IF(NOT(AND(LEN(TRIM(C39&amp;""))&gt;0,TRIM(C39)&lt;&gt;"Pendiente",TRIM(C39)&lt;&gt;"Por confirmar",TRIM(C39)&lt;&gt;"No consta",TRIM(C39)&lt;&gt;"Desconocido")),"Identificamos el concepto.",IF(NOT(OR(D39="Cobro",D39="Pago")),"Elegimos Cobro o Pago.",IF(NOT(OR(E39="Previsto",E39="Realizado")),"Elegimos Previsto o Realizado según lo acreditado.",IF(NOT(IF(ISNUMBER(F39),AND(F39&gt;=1,F39&lt;=2958465,F39=INT(F39)),FALSE)),"Falta fecha/semana: un plazo relativo o la fecha de una oferta no bastan.",IF(NOT(IF(ISNUMBER(G39),AND(G39&gt;=0,G39=ROUND(G39,2)),FALSE)),"Falta importe efectivo; el total de presupuesto no acredita este movimiento.",IF(NOT(AND(LEN(TRIM(H39&amp;""))&gt;0,TRIM(H39)&lt;&gt;"Pendiente",TRIM(H39)&lt;&gt;"Por confirmar",TRIM(H39)&lt;&gt;"No consta",TRIM(H39)&lt;&gt;"Desconocido")),"Identificamos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CAJA.",IF(AND(IF(ISNUMBER(F39),AND(F39&gt;=1,F39&lt;=2958465,F39=INT(F39)),FALSE),'CAJA'!$L$2=1,F39&gt;='CAJA'!$L$9),"Fuera del horizonte: ampliamos semanas (hasta 26) o revisamos la ventana. Aquí no se suma.","Dato registrado para la previsión; el estado Realizado requiere su evidencia de cobro/pago."))))))))))))))))))</f>
      </c>
      <c r="K39" t="n" s="27">
        <f>IF(COUNTA(B39:H39)&gt;0,1,0)</f>
        <v>0</v>
      </c>
      <c r="L39" t="str" s="27">
        <f>IF(COUNTA(B39:H39)&gt;0,IFERROR("ID:"&amp;UPPER(TRIM(B39&amp;"")),""),"")</f>
      </c>
      <c r="M39" t="str" s="27">
        <f>IF(NOT(COUNTA(B39:H39)&gt;0),"",IF(OR(ISERROR(B39),ISERROR(C39),ISERROR(D39),ISERROR(E39),ISERROR(F39),ISERROR(G39),ISERROR(H39)),2,IF(OR(ISERROR('CAJA'!$C$17),ISERROR('CAJA'!$C$18),ISERROR('CAJA'!$C$19),ISERROR('CAJA'!$C$20),ISERROR('CAJA'!$C$21),ISERROR('CAJA'!$C$22),ISERROR('CAJA'!$C$23)),1,IF(OR(AND(LEN(TRIM(G39&amp;""))&gt;0,NOT(IF(ISNUMBER(G39),AND(G39&gt;=0,G39=ROUND(G39,2)),FALSE))),AND(LEN(TRIM(F39&amp;""))&gt;0,NOT(IF(ISNUMBER(F39),AND(F39&gt;=1,F39&lt;=2958465,F39=INT(F39)),FALSE))),AND(LEN(TRIM(D39&amp;""))&gt;0,NOT(OR(D39="Cobro",D39="Pago"))),AND(LEN(TRIM(E39&amp;""))&gt;0,NOT(OR(E39="Previsto",E39="Realizado"))),AND(AND(LEN(TRIM(B39&amp;""))&gt;0,TRIM(B39)&lt;&gt;"Pendiente",TRIM(B39)&lt;&gt;"Por confirmar",TRIM(B39)&lt;&gt;"No consta",TRIM(B39)&lt;&gt;"Desconocido"),SUMPRODUCT(($L$10:$L$69=L39)*1)&gt;1),AND(IF(ISNUMBER(F39),AND(F39&gt;=1,F39&lt;=2958465,F39=INT(F39)),FALSE),IF(ISNUMBER('CAJA'!$C$19),AND('CAJA'!$C$19&gt;=1,'CAJA'!$C$19&lt;=2958465,'CAJA'!$C$19=INT('CAJA'!$C$19)),FALSE),OR(AND(E39="Realizado",F39&gt;'CAJA'!$C$19),AND(E39="Previsto",F39&lt;'CAJA'!$C$19))),AND(IF(ISNUMBER(F39),AND(F39&gt;=1,F39&lt;=2958465,F39=INT(F39)),FALSE),'CAJA'!$L$2=1,F39&lt;'CAJA'!$C$18)),2,IF(AND(AND(LEN(TRIM(B39&amp;""))&gt;0,TRIM(B39)&lt;&gt;"Pendiente",TRIM(B39)&lt;&gt;"Por confirmar",TRIM(B39)&lt;&gt;"No consta",TRIM(B39)&lt;&gt;"Desconocido"),AND(LEN(TRIM(C39&amp;""))&gt;0,TRIM(C39)&lt;&gt;"Pendiente",TRIM(C39)&lt;&gt;"Por confirmar",TRIM(C39)&lt;&gt;"No consta",TRIM(C39)&lt;&gt;"Desconocido"),OR(D39="Cobro",D39="Pago"),OR(E39="Previsto",E39="Realizado"),IF(ISNUMBER(F39),AND(F39&gt;=1,F39&lt;=2958465,F39=INT(F39)),FALSE),IF(ISNUMBER(G39),AND(G39&gt;=0,G39=ROUND(G39,2)),FALSE),AND(LEN(TRIM(H39&amp;""))&gt;0,TRIM(H39)&lt;&gt;"Pendiente",TRIM(H39)&lt;&gt;"Por confirmar",TRIM(H39)&lt;&gt;"No consta",TRIM(H39)&lt;&gt;"Desconocido"),'CAJA'!$L$2=1,IF(ISNUMBER('CAJA'!$C$19),AND('CAJA'!$C$19&gt;=1,'CAJA'!$C$19&lt;=2958465,'CAJA'!$C$19=INT('CAJA'!$C$19)),FALSE),F39&gt;='CAJA'!$C$18,F39&lt;'CAJA'!$L$9,NOT(OR(AND(LEN(TRIM(G39&amp;""))&gt;0,NOT(IF(ISNUMBER(G39),AND(G39&gt;=0,G39=ROUND(G39,2)),FALSE))),AND(LEN(TRIM(F39&amp;""))&gt;0,NOT(IF(ISNUMBER(F39),AND(F39&gt;=1,F39&lt;=2958465,F39=INT(F39)),FALSE))),AND(LEN(TRIM(D39&amp;""))&gt;0,NOT(OR(D39="Cobro",D39="Pago"))),AND(LEN(TRIM(E39&amp;""))&gt;0,NOT(OR(E39="Previsto",E39="Realizado"))),AND(AND(LEN(TRIM(B39&amp;""))&gt;0,TRIM(B39)&lt;&gt;"Pendiente",TRIM(B39)&lt;&gt;"Por confirmar",TRIM(B39)&lt;&gt;"No consta",TRIM(B39)&lt;&gt;"Desconocido"),SUMPRODUCT(($L$10:$L$69=L39)*1)&gt;1),AND(IF(ISNUMBER(F39),AND(F39&gt;=1,F39&lt;=2958465,F39=INT(F39)),FALSE),IF(ISNUMBER('CAJA'!$C$19),AND('CAJA'!$C$19&gt;=1,'CAJA'!$C$19&lt;=2958465,'CAJA'!$C$19=INT('CAJA'!$C$19)),FALSE),OR(AND(E39="Realizado",F39&gt;'CAJA'!$C$19),AND(E39="Previsto",F39&lt;'CAJA'!$C$19))),AND(IF(ISNUMBER(F39),AND(F39&gt;=1,F39&lt;=2958465,F39=INT(F39)),FALSE),'CAJA'!$L$2=1,F39&lt;'CAJA'!$C$18)))),0,1)))))</f>
      </c>
      <c r="N39" t="n" s="27">
        <f>IF(AND(K39=1,ISNUMBER(M39),M39=0),1,0)</f>
        <v>0</v>
      </c>
      <c r="O39" t="str" s="27">
        <f>IF(IF(ISNUMBER(F39),AND(F39&gt;=1,F39&lt;=2958465,F39=INT(F39)),FALSE),F39-WEEKDAY(F39,2)+1,"")</f>
      </c>
      <c r="P39" t="n" s="27">
        <f>IF(AND(K39=1,ISNUMBER(M39),M39&gt;0),IF(NOT(IF(ISNUMBER(F39),AND(F39&gt;=1,F39&lt;=2958465,F39=INT(F39)),FALSE)),1,IF('CAJA'!$L$2&lt;&gt;1,1,IF(OR(F39&lt;'CAJA'!$C$18,F39&gt;='CAJA'!$L$9),1,0))),0)</f>
        <v>0</v>
      </c>
    </row>
    <row r="40" ht="69" customHeight="1">
      <c r="B40" s="34"/>
      <c r="C40" s="34"/>
      <c r="D40" s="34"/>
      <c r="E40" s="34"/>
      <c r="F40" s="35"/>
      <c r="G40" s="36"/>
      <c r="H40" s="34"/>
      <c r="I40" s="33" t="str">
        <f>IF(K40=0,"",IF(M40=2,"ROJO",IF(M40=1,"ÁMBAR","VERDE")))</f>
      </c>
      <c r="J40" s="33" t="str">
        <f>IF(K40=0,"",IF(OR(ISERROR(B40),ISERROR(C40),ISERROR(D40),ISERROR(E40),ISERROR(F40),ISERROR(G40),ISERROR(H40)),"Hay una entrada con error de fórmula. Corregimos el dato; no lo convertimos en cero.",IF(OR(ISERROR('CAJA'!$C$17),ISERROR('CAJA'!$C$18),ISERROR('CAJA'!$C$19),ISERROR('CAJA'!$C$20),ISERROR('CAJA'!$C$21),ISERROR('CAJA'!$C$22),ISERROR('CAJA'!$C$23)),"Corregimos la entrada con error en CAJA antes de validar el movimiento.",IF(AND(AND(LEN(TRIM(B40&amp;""))&gt;0,TRIM(B40)&lt;&gt;"Pendiente",TRIM(B40)&lt;&gt;"Por confirmar",TRIM(B40)&lt;&gt;"No consta",TRIM(B40)&lt;&gt;"Desconocido"),SUMPRODUCT(($L$10:$L$69=L40)*1)&gt;1),"ID repetido: actualizamos el mismo movimiento o separamos únicamente la parte realizada y el resto pendiente.",IF(AND(IF(ISNUMBER(F40),AND(F40&gt;=1,F40&lt;=2958465,F40=INT(F40)),FALSE),IF(ISNUMBER('CAJA'!$C$19),AND('CAJA'!$C$19&gt;=1,'CAJA'!$C$19&lt;=2958465,'CAJA'!$C$19=INT('CAJA'!$C$19)),FALSE),E40="Realizado",F40&gt;'CAJA'!$C$19),"Realizado en fecha posterior al corte: revisamos fecha y estado.",IF(AND(IF(ISNUMBER(F40),AND(F40&gt;=1,F40&lt;=2958465,F40=INT(F40)),FALSE),IF(ISNUMBER('CAJA'!$C$19),AND('CAJA'!$C$19&gt;=1,'CAJA'!$C$19&lt;=2958465,'CAJA'!$C$19=INT('CAJA'!$C$19)),FALSE),E40="Previsto",F40&lt;'CAJA'!$C$19),"Previsión vencida: actualizamos su fecha esperada o registramos el movimiento realizado; no lo damos por cobrado.",IF(AND(IF(ISNUMBER(F40),AND(F40&gt;=1,F40&lt;=2958465,F40=INT(F40)),FALSE),'CAJA'!$L$2=1,F40&lt;'CAJA'!$C$18),"Anterior al horizonte: revisamos si ya está en el saldo inicial para no contarlo dos veces.",IF(OR(AND(LEN(TRIM(G40&amp;""))&gt;0,NOT(IF(ISNUMBER(G40),AND(G40&gt;=0,G40=ROUND(G40,2)),FALSE))),AND(LEN(TRIM(F40&amp;""))&gt;0,NOT(IF(ISNUMBER(F40),AND(F40&gt;=1,F40&lt;=2958465,F40=INT(F40)),FALSE))),AND(LEN(TRIM(D40&amp;""))&gt;0,NOT(OR(D40="Cobro",D40="Pago"))),AND(LEN(TRIM(E40&amp;""))&gt;0,NOT(OR(E40="Previsto",E40="Realizado"))),AND(AND(LEN(TRIM(B40&amp;""))&gt;0,TRIM(B40)&lt;&gt;"Pendiente",TRIM(B40)&lt;&gt;"Por confirmar",TRIM(B40)&lt;&gt;"No consta",TRIM(B40)&lt;&gt;"Desconocido"),SUMPRODUCT(($L$10:$L$69=L40)*1)&gt;1),AND(IF(ISNUMBER(F40),AND(F40&gt;=1,F40&lt;=2958465,F40=INT(F40)),FALSE),IF(ISNUMBER('CAJA'!$C$19),AND('CAJA'!$C$19&gt;=1,'CAJA'!$C$19&lt;=2958465,'CAJA'!$C$19=INT('CAJA'!$C$19)),FALSE),OR(AND(E40="Realizado",F40&gt;'CAJA'!$C$19),AND(E40="Previsto",F40&lt;'CAJA'!$C$19))),AND(IF(ISNUMBER(F40),AND(F40&gt;=1,F40&lt;=2958465,F40=INT(F40)),FALSE),'CAJA'!$L$2=1,F40&lt;'CAJA'!$C$18)),"Revisamos fecha, importe positivo/cero explícito y opciones de sentido/estado. Fechas sin hora e importes a céntimos.",IF(NOT(AND(LEN(TRIM(B40&amp;""))&gt;0,TRIM(B40)&lt;&gt;"Pendiente",TRIM(B40)&lt;&gt;"Por confirmar",TRIM(B40)&lt;&gt;"No consta",TRIM(B40)&lt;&gt;"Desconocido")),"Asignamos un identificador único.",IF(NOT(AND(LEN(TRIM(C40&amp;""))&gt;0,TRIM(C40)&lt;&gt;"Pendiente",TRIM(C40)&lt;&gt;"Por confirmar",TRIM(C40)&lt;&gt;"No consta",TRIM(C40)&lt;&gt;"Desconocido")),"Identificamos el concepto.",IF(NOT(OR(D40="Cobro",D40="Pago")),"Elegimos Cobro o Pago.",IF(NOT(OR(E40="Previsto",E40="Realizado")),"Elegimos Previsto o Realizado según lo acreditado.",IF(NOT(IF(ISNUMBER(F40),AND(F40&gt;=1,F40&lt;=2958465,F40=INT(F40)),FALSE)),"Falta fecha/semana: un plazo relativo o la fecha de una oferta no bastan.",IF(NOT(IF(ISNUMBER(G40),AND(G40&gt;=0,G40=ROUND(G40,2)),FALSE)),"Falta importe efectivo; el total de presupuesto no acredita este movimiento.",IF(NOT(AND(LEN(TRIM(H40&amp;""))&gt;0,TRIM(H40)&lt;&gt;"Pendiente",TRIM(H40)&lt;&gt;"Por confirmar",TRIM(H40)&lt;&gt;"No consta",TRIM(H40)&lt;&gt;"Desconocido")),"Identificamos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CAJA.",IF(AND(IF(ISNUMBER(F40),AND(F40&gt;=1,F40&lt;=2958465,F40=INT(F40)),FALSE),'CAJA'!$L$2=1,F40&gt;='CAJA'!$L$9),"Fuera del horizonte: ampliamos semanas (hasta 26) o revisamos la ventana. Aquí no se suma.","Dato registrado para la previsión; el estado Realizado requiere su evidencia de cobro/pago."))))))))))))))))))</f>
      </c>
      <c r="K40" t="n" s="27">
        <f>IF(COUNTA(B40:H40)&gt;0,1,0)</f>
        <v>0</v>
      </c>
      <c r="L40" t="str" s="27">
        <f>IF(COUNTA(B40:H40)&gt;0,IFERROR("ID:"&amp;UPPER(TRIM(B40&amp;"")),""),"")</f>
      </c>
      <c r="M40" t="str" s="27">
        <f>IF(NOT(COUNTA(B40:H40)&gt;0),"",IF(OR(ISERROR(B40),ISERROR(C40),ISERROR(D40),ISERROR(E40),ISERROR(F40),ISERROR(G40),ISERROR(H40)),2,IF(OR(ISERROR('CAJA'!$C$17),ISERROR('CAJA'!$C$18),ISERROR('CAJA'!$C$19),ISERROR('CAJA'!$C$20),ISERROR('CAJA'!$C$21),ISERROR('CAJA'!$C$22),ISERROR('CAJA'!$C$23)),1,IF(OR(AND(LEN(TRIM(G40&amp;""))&gt;0,NOT(IF(ISNUMBER(G40),AND(G40&gt;=0,G40=ROUND(G40,2)),FALSE))),AND(LEN(TRIM(F40&amp;""))&gt;0,NOT(IF(ISNUMBER(F40),AND(F40&gt;=1,F40&lt;=2958465,F40=INT(F40)),FALSE))),AND(LEN(TRIM(D40&amp;""))&gt;0,NOT(OR(D40="Cobro",D40="Pago"))),AND(LEN(TRIM(E40&amp;""))&gt;0,NOT(OR(E40="Previsto",E40="Realizado"))),AND(AND(LEN(TRIM(B40&amp;""))&gt;0,TRIM(B40)&lt;&gt;"Pendiente",TRIM(B40)&lt;&gt;"Por confirmar",TRIM(B40)&lt;&gt;"No consta",TRIM(B40)&lt;&gt;"Desconocido"),SUMPRODUCT(($L$10:$L$69=L40)*1)&gt;1),AND(IF(ISNUMBER(F40),AND(F40&gt;=1,F40&lt;=2958465,F40=INT(F40)),FALSE),IF(ISNUMBER('CAJA'!$C$19),AND('CAJA'!$C$19&gt;=1,'CAJA'!$C$19&lt;=2958465,'CAJA'!$C$19=INT('CAJA'!$C$19)),FALSE),OR(AND(E40="Realizado",F40&gt;'CAJA'!$C$19),AND(E40="Previsto",F40&lt;'CAJA'!$C$19))),AND(IF(ISNUMBER(F40),AND(F40&gt;=1,F40&lt;=2958465,F40=INT(F40)),FALSE),'CAJA'!$L$2=1,F40&lt;'CAJA'!$C$18)),2,IF(AND(AND(LEN(TRIM(B40&amp;""))&gt;0,TRIM(B40)&lt;&gt;"Pendiente",TRIM(B40)&lt;&gt;"Por confirmar",TRIM(B40)&lt;&gt;"No consta",TRIM(B40)&lt;&gt;"Desconocido"),AND(LEN(TRIM(C40&amp;""))&gt;0,TRIM(C40)&lt;&gt;"Pendiente",TRIM(C40)&lt;&gt;"Por confirmar",TRIM(C40)&lt;&gt;"No consta",TRIM(C40)&lt;&gt;"Desconocido"),OR(D40="Cobro",D40="Pago"),OR(E40="Previsto",E40="Realizado"),IF(ISNUMBER(F40),AND(F40&gt;=1,F40&lt;=2958465,F40=INT(F40)),FALSE),IF(ISNUMBER(G40),AND(G40&gt;=0,G40=ROUND(G40,2)),FALSE),AND(LEN(TRIM(H40&amp;""))&gt;0,TRIM(H40)&lt;&gt;"Pendiente",TRIM(H40)&lt;&gt;"Por confirmar",TRIM(H40)&lt;&gt;"No consta",TRIM(H40)&lt;&gt;"Desconocido"),'CAJA'!$L$2=1,IF(ISNUMBER('CAJA'!$C$19),AND('CAJA'!$C$19&gt;=1,'CAJA'!$C$19&lt;=2958465,'CAJA'!$C$19=INT('CAJA'!$C$19)),FALSE),F40&gt;='CAJA'!$C$18,F40&lt;'CAJA'!$L$9,NOT(OR(AND(LEN(TRIM(G40&amp;""))&gt;0,NOT(IF(ISNUMBER(G40),AND(G40&gt;=0,G40=ROUND(G40,2)),FALSE))),AND(LEN(TRIM(F40&amp;""))&gt;0,NOT(IF(ISNUMBER(F40),AND(F40&gt;=1,F40&lt;=2958465,F40=INT(F40)),FALSE))),AND(LEN(TRIM(D40&amp;""))&gt;0,NOT(OR(D40="Cobro",D40="Pago"))),AND(LEN(TRIM(E40&amp;""))&gt;0,NOT(OR(E40="Previsto",E40="Realizado"))),AND(AND(LEN(TRIM(B40&amp;""))&gt;0,TRIM(B40)&lt;&gt;"Pendiente",TRIM(B40)&lt;&gt;"Por confirmar",TRIM(B40)&lt;&gt;"No consta",TRIM(B40)&lt;&gt;"Desconocido"),SUMPRODUCT(($L$10:$L$69=L40)*1)&gt;1),AND(IF(ISNUMBER(F40),AND(F40&gt;=1,F40&lt;=2958465,F40=INT(F40)),FALSE),IF(ISNUMBER('CAJA'!$C$19),AND('CAJA'!$C$19&gt;=1,'CAJA'!$C$19&lt;=2958465,'CAJA'!$C$19=INT('CAJA'!$C$19)),FALSE),OR(AND(E40="Realizado",F40&gt;'CAJA'!$C$19),AND(E40="Previsto",F40&lt;'CAJA'!$C$19))),AND(IF(ISNUMBER(F40),AND(F40&gt;=1,F40&lt;=2958465,F40=INT(F40)),FALSE),'CAJA'!$L$2=1,F40&lt;'CAJA'!$C$18)))),0,1)))))</f>
      </c>
      <c r="N40" t="n" s="27">
        <f>IF(AND(K40=1,ISNUMBER(M40),M40=0),1,0)</f>
        <v>0</v>
      </c>
      <c r="O40" t="str" s="27">
        <f>IF(IF(ISNUMBER(F40),AND(F40&gt;=1,F40&lt;=2958465,F40=INT(F40)),FALSE),F40-WEEKDAY(F40,2)+1,"")</f>
      </c>
      <c r="P40" t="n" s="27">
        <f>IF(AND(K40=1,ISNUMBER(M40),M40&gt;0),IF(NOT(IF(ISNUMBER(F40),AND(F40&gt;=1,F40&lt;=2958465,F40=INT(F40)),FALSE)),1,IF('CAJA'!$L$2&lt;&gt;1,1,IF(OR(F40&lt;'CAJA'!$C$18,F40&gt;='CAJA'!$L$9),1,0))),0)</f>
        <v>0</v>
      </c>
    </row>
    <row r="41" ht="69" customHeight="1">
      <c r="B41" s="34"/>
      <c r="C41" s="34"/>
      <c r="D41" s="34"/>
      <c r="E41" s="34"/>
      <c r="F41" s="35"/>
      <c r="G41" s="36"/>
      <c r="H41" s="34"/>
      <c r="I41" s="33" t="str">
        <f>IF(K41=0,"",IF(M41=2,"ROJO",IF(M41=1,"ÁMBAR","VERDE")))</f>
      </c>
      <c r="J41" s="33" t="str">
        <f>IF(K41=0,"",IF(OR(ISERROR(B41),ISERROR(C41),ISERROR(D41),ISERROR(E41),ISERROR(F41),ISERROR(G41),ISERROR(H41)),"Hay una entrada con error de fórmula. Corregimos el dato; no lo convertimos en cero.",IF(OR(ISERROR('CAJA'!$C$17),ISERROR('CAJA'!$C$18),ISERROR('CAJA'!$C$19),ISERROR('CAJA'!$C$20),ISERROR('CAJA'!$C$21),ISERROR('CAJA'!$C$22),ISERROR('CAJA'!$C$23)),"Corregimos la entrada con error en CAJA antes de validar el movimiento.",IF(AND(AND(LEN(TRIM(B41&amp;""))&gt;0,TRIM(B41)&lt;&gt;"Pendiente",TRIM(B41)&lt;&gt;"Por confirmar",TRIM(B41)&lt;&gt;"No consta",TRIM(B41)&lt;&gt;"Desconocido"),SUMPRODUCT(($L$10:$L$69=L41)*1)&gt;1),"ID repetido: actualizamos el mismo movimiento o separamos únicamente la parte realizada y el resto pendiente.",IF(AND(IF(ISNUMBER(F41),AND(F41&gt;=1,F41&lt;=2958465,F41=INT(F41)),FALSE),IF(ISNUMBER('CAJA'!$C$19),AND('CAJA'!$C$19&gt;=1,'CAJA'!$C$19&lt;=2958465,'CAJA'!$C$19=INT('CAJA'!$C$19)),FALSE),E41="Realizado",F41&gt;'CAJA'!$C$19),"Realizado en fecha posterior al corte: revisamos fecha y estado.",IF(AND(IF(ISNUMBER(F41),AND(F41&gt;=1,F41&lt;=2958465,F41=INT(F41)),FALSE),IF(ISNUMBER('CAJA'!$C$19),AND('CAJA'!$C$19&gt;=1,'CAJA'!$C$19&lt;=2958465,'CAJA'!$C$19=INT('CAJA'!$C$19)),FALSE),E41="Previsto",F41&lt;'CAJA'!$C$19),"Previsión vencida: actualizamos su fecha esperada o registramos el movimiento realizado; no lo damos por cobrado.",IF(AND(IF(ISNUMBER(F41),AND(F41&gt;=1,F41&lt;=2958465,F41=INT(F41)),FALSE),'CAJA'!$L$2=1,F41&lt;'CAJA'!$C$18),"Anterior al horizonte: revisamos si ya está en el saldo inicial para no contarlo dos veces.",IF(OR(AND(LEN(TRIM(G41&amp;""))&gt;0,NOT(IF(ISNUMBER(G41),AND(G41&gt;=0,G41=ROUND(G41,2)),FALSE))),AND(LEN(TRIM(F41&amp;""))&gt;0,NOT(IF(ISNUMBER(F41),AND(F41&gt;=1,F41&lt;=2958465,F41=INT(F41)),FALSE))),AND(LEN(TRIM(D41&amp;""))&gt;0,NOT(OR(D41="Cobro",D41="Pago"))),AND(LEN(TRIM(E41&amp;""))&gt;0,NOT(OR(E41="Previsto",E41="Realizado"))),AND(AND(LEN(TRIM(B41&amp;""))&gt;0,TRIM(B41)&lt;&gt;"Pendiente",TRIM(B41)&lt;&gt;"Por confirmar",TRIM(B41)&lt;&gt;"No consta",TRIM(B41)&lt;&gt;"Desconocido"),SUMPRODUCT(($L$10:$L$69=L41)*1)&gt;1),AND(IF(ISNUMBER(F41),AND(F41&gt;=1,F41&lt;=2958465,F41=INT(F41)),FALSE),IF(ISNUMBER('CAJA'!$C$19),AND('CAJA'!$C$19&gt;=1,'CAJA'!$C$19&lt;=2958465,'CAJA'!$C$19=INT('CAJA'!$C$19)),FALSE),OR(AND(E41="Realizado",F41&gt;'CAJA'!$C$19),AND(E41="Previsto",F41&lt;'CAJA'!$C$19))),AND(IF(ISNUMBER(F41),AND(F41&gt;=1,F41&lt;=2958465,F41=INT(F41)),FALSE),'CAJA'!$L$2=1,F41&lt;'CAJA'!$C$18)),"Revisamos fecha, importe positivo/cero explícito y opciones de sentido/estado. Fechas sin hora e importes a céntimos.",IF(NOT(AND(LEN(TRIM(B41&amp;""))&gt;0,TRIM(B41)&lt;&gt;"Pendiente",TRIM(B41)&lt;&gt;"Por confirmar",TRIM(B41)&lt;&gt;"No consta",TRIM(B41)&lt;&gt;"Desconocido")),"Asignamos un identificador único.",IF(NOT(AND(LEN(TRIM(C41&amp;""))&gt;0,TRIM(C41)&lt;&gt;"Pendiente",TRIM(C41)&lt;&gt;"Por confirmar",TRIM(C41)&lt;&gt;"No consta",TRIM(C41)&lt;&gt;"Desconocido")),"Identificamos el concepto.",IF(NOT(OR(D41="Cobro",D41="Pago")),"Elegimos Cobro o Pago.",IF(NOT(OR(E41="Previsto",E41="Realizado")),"Elegimos Previsto o Realizado según lo acreditado.",IF(NOT(IF(ISNUMBER(F41),AND(F41&gt;=1,F41&lt;=2958465,F41=INT(F41)),FALSE)),"Falta fecha/semana: un plazo relativo o la fecha de una oferta no bastan.",IF(NOT(IF(ISNUMBER(G41),AND(G41&gt;=0,G41=ROUND(G41,2)),FALSE)),"Falta importe efectivo; el total de presupuesto no acredita este movimiento.",IF(NOT(AND(LEN(TRIM(H41&amp;""))&gt;0,TRIM(H41)&lt;&gt;"Pendiente",TRIM(H41)&lt;&gt;"Por confirmar",TRIM(H41)&lt;&gt;"No consta",TRIM(H41)&lt;&gt;"Desconocido")),"Identificamos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CAJA.",IF(AND(IF(ISNUMBER(F41),AND(F41&gt;=1,F41&lt;=2958465,F41=INT(F41)),FALSE),'CAJA'!$L$2=1,F41&gt;='CAJA'!$L$9),"Fuera del horizonte: ampliamos semanas (hasta 26) o revisamos la ventana. Aquí no se suma.","Dato registrado para la previsión; el estado Realizado requiere su evidencia de cobro/pago."))))))))))))))))))</f>
      </c>
      <c r="K41" t="n" s="27">
        <f>IF(COUNTA(B41:H41)&gt;0,1,0)</f>
        <v>0</v>
      </c>
      <c r="L41" t="str" s="27">
        <f>IF(COUNTA(B41:H41)&gt;0,IFERROR("ID:"&amp;UPPER(TRIM(B41&amp;"")),""),"")</f>
      </c>
      <c r="M41" t="str" s="27">
        <f>IF(NOT(COUNTA(B41:H41)&gt;0),"",IF(OR(ISERROR(B41),ISERROR(C41),ISERROR(D41),ISERROR(E41),ISERROR(F41),ISERROR(G41),ISERROR(H41)),2,IF(OR(ISERROR('CAJA'!$C$17),ISERROR('CAJA'!$C$18),ISERROR('CAJA'!$C$19),ISERROR('CAJA'!$C$20),ISERROR('CAJA'!$C$21),ISERROR('CAJA'!$C$22),ISERROR('CAJA'!$C$23)),1,IF(OR(AND(LEN(TRIM(G41&amp;""))&gt;0,NOT(IF(ISNUMBER(G41),AND(G41&gt;=0,G41=ROUND(G41,2)),FALSE))),AND(LEN(TRIM(F41&amp;""))&gt;0,NOT(IF(ISNUMBER(F41),AND(F41&gt;=1,F41&lt;=2958465,F41=INT(F41)),FALSE))),AND(LEN(TRIM(D41&amp;""))&gt;0,NOT(OR(D41="Cobro",D41="Pago"))),AND(LEN(TRIM(E41&amp;""))&gt;0,NOT(OR(E41="Previsto",E41="Realizado"))),AND(AND(LEN(TRIM(B41&amp;""))&gt;0,TRIM(B41)&lt;&gt;"Pendiente",TRIM(B41)&lt;&gt;"Por confirmar",TRIM(B41)&lt;&gt;"No consta",TRIM(B41)&lt;&gt;"Desconocido"),SUMPRODUCT(($L$10:$L$69=L41)*1)&gt;1),AND(IF(ISNUMBER(F41),AND(F41&gt;=1,F41&lt;=2958465,F41=INT(F41)),FALSE),IF(ISNUMBER('CAJA'!$C$19),AND('CAJA'!$C$19&gt;=1,'CAJA'!$C$19&lt;=2958465,'CAJA'!$C$19=INT('CAJA'!$C$19)),FALSE),OR(AND(E41="Realizado",F41&gt;'CAJA'!$C$19),AND(E41="Previsto",F41&lt;'CAJA'!$C$19))),AND(IF(ISNUMBER(F41),AND(F41&gt;=1,F41&lt;=2958465,F41=INT(F41)),FALSE),'CAJA'!$L$2=1,F41&lt;'CAJA'!$C$18)),2,IF(AND(AND(LEN(TRIM(B41&amp;""))&gt;0,TRIM(B41)&lt;&gt;"Pendiente",TRIM(B41)&lt;&gt;"Por confirmar",TRIM(B41)&lt;&gt;"No consta",TRIM(B41)&lt;&gt;"Desconocido"),AND(LEN(TRIM(C41&amp;""))&gt;0,TRIM(C41)&lt;&gt;"Pendiente",TRIM(C41)&lt;&gt;"Por confirmar",TRIM(C41)&lt;&gt;"No consta",TRIM(C41)&lt;&gt;"Desconocido"),OR(D41="Cobro",D41="Pago"),OR(E41="Previsto",E41="Realizado"),IF(ISNUMBER(F41),AND(F41&gt;=1,F41&lt;=2958465,F41=INT(F41)),FALSE),IF(ISNUMBER(G41),AND(G41&gt;=0,G41=ROUND(G41,2)),FALSE),AND(LEN(TRIM(H41&amp;""))&gt;0,TRIM(H41)&lt;&gt;"Pendiente",TRIM(H41)&lt;&gt;"Por confirmar",TRIM(H41)&lt;&gt;"No consta",TRIM(H41)&lt;&gt;"Desconocido"),'CAJA'!$L$2=1,IF(ISNUMBER('CAJA'!$C$19),AND('CAJA'!$C$19&gt;=1,'CAJA'!$C$19&lt;=2958465,'CAJA'!$C$19=INT('CAJA'!$C$19)),FALSE),F41&gt;='CAJA'!$C$18,F41&lt;'CAJA'!$L$9,NOT(OR(AND(LEN(TRIM(G41&amp;""))&gt;0,NOT(IF(ISNUMBER(G41),AND(G41&gt;=0,G41=ROUND(G41,2)),FALSE))),AND(LEN(TRIM(F41&amp;""))&gt;0,NOT(IF(ISNUMBER(F41),AND(F41&gt;=1,F41&lt;=2958465,F41=INT(F41)),FALSE))),AND(LEN(TRIM(D41&amp;""))&gt;0,NOT(OR(D41="Cobro",D41="Pago"))),AND(LEN(TRIM(E41&amp;""))&gt;0,NOT(OR(E41="Previsto",E41="Realizado"))),AND(AND(LEN(TRIM(B41&amp;""))&gt;0,TRIM(B41)&lt;&gt;"Pendiente",TRIM(B41)&lt;&gt;"Por confirmar",TRIM(B41)&lt;&gt;"No consta",TRIM(B41)&lt;&gt;"Desconocido"),SUMPRODUCT(($L$10:$L$69=L41)*1)&gt;1),AND(IF(ISNUMBER(F41),AND(F41&gt;=1,F41&lt;=2958465,F41=INT(F41)),FALSE),IF(ISNUMBER('CAJA'!$C$19),AND('CAJA'!$C$19&gt;=1,'CAJA'!$C$19&lt;=2958465,'CAJA'!$C$19=INT('CAJA'!$C$19)),FALSE),OR(AND(E41="Realizado",F41&gt;'CAJA'!$C$19),AND(E41="Previsto",F41&lt;'CAJA'!$C$19))),AND(IF(ISNUMBER(F41),AND(F41&gt;=1,F41&lt;=2958465,F41=INT(F41)),FALSE),'CAJA'!$L$2=1,F41&lt;'CAJA'!$C$18)))),0,1)))))</f>
      </c>
      <c r="N41" t="n" s="27">
        <f>IF(AND(K41=1,ISNUMBER(M41),M41=0),1,0)</f>
        <v>0</v>
      </c>
      <c r="O41" t="str" s="27">
        <f>IF(IF(ISNUMBER(F41),AND(F41&gt;=1,F41&lt;=2958465,F41=INT(F41)),FALSE),F41-WEEKDAY(F41,2)+1,"")</f>
      </c>
      <c r="P41" t="n" s="27">
        <f>IF(AND(K41=1,ISNUMBER(M41),M41&gt;0),IF(NOT(IF(ISNUMBER(F41),AND(F41&gt;=1,F41&lt;=2958465,F41=INT(F41)),FALSE)),1,IF('CAJA'!$L$2&lt;&gt;1,1,IF(OR(F41&lt;'CAJA'!$C$18,F41&gt;='CAJA'!$L$9),1,0))),0)</f>
        <v>0</v>
      </c>
    </row>
    <row r="42" ht="69" customHeight="1">
      <c r="B42" s="34"/>
      <c r="C42" s="34"/>
      <c r="D42" s="34"/>
      <c r="E42" s="34"/>
      <c r="F42" s="35"/>
      <c r="G42" s="36"/>
      <c r="H42" s="34"/>
      <c r="I42" s="33" t="str">
        <f>IF(K42=0,"",IF(M42=2,"ROJO",IF(M42=1,"ÁMBAR","VERDE")))</f>
      </c>
      <c r="J42" s="33" t="str">
        <f>IF(K42=0,"",IF(OR(ISERROR(B42),ISERROR(C42),ISERROR(D42),ISERROR(E42),ISERROR(F42),ISERROR(G42),ISERROR(H42)),"Hay una entrada con error de fórmula. Corregimos el dato; no lo convertimos en cero.",IF(OR(ISERROR('CAJA'!$C$17),ISERROR('CAJA'!$C$18),ISERROR('CAJA'!$C$19),ISERROR('CAJA'!$C$20),ISERROR('CAJA'!$C$21),ISERROR('CAJA'!$C$22),ISERROR('CAJA'!$C$23)),"Corregimos la entrada con error en CAJA antes de validar el movimiento.",IF(AND(AND(LEN(TRIM(B42&amp;""))&gt;0,TRIM(B42)&lt;&gt;"Pendiente",TRIM(B42)&lt;&gt;"Por confirmar",TRIM(B42)&lt;&gt;"No consta",TRIM(B42)&lt;&gt;"Desconocido"),SUMPRODUCT(($L$10:$L$69=L42)*1)&gt;1),"ID repetido: actualizamos el mismo movimiento o separamos únicamente la parte realizada y el resto pendiente.",IF(AND(IF(ISNUMBER(F42),AND(F42&gt;=1,F42&lt;=2958465,F42=INT(F42)),FALSE),IF(ISNUMBER('CAJA'!$C$19),AND('CAJA'!$C$19&gt;=1,'CAJA'!$C$19&lt;=2958465,'CAJA'!$C$19=INT('CAJA'!$C$19)),FALSE),E42="Realizado",F42&gt;'CAJA'!$C$19),"Realizado en fecha posterior al corte: revisamos fecha y estado.",IF(AND(IF(ISNUMBER(F42),AND(F42&gt;=1,F42&lt;=2958465,F42=INT(F42)),FALSE),IF(ISNUMBER('CAJA'!$C$19),AND('CAJA'!$C$19&gt;=1,'CAJA'!$C$19&lt;=2958465,'CAJA'!$C$19=INT('CAJA'!$C$19)),FALSE),E42="Previsto",F42&lt;'CAJA'!$C$19),"Previsión vencida: actualizamos su fecha esperada o registramos el movimiento realizado; no lo damos por cobrado.",IF(AND(IF(ISNUMBER(F42),AND(F42&gt;=1,F42&lt;=2958465,F42=INT(F42)),FALSE),'CAJA'!$L$2=1,F42&lt;'CAJA'!$C$18),"Anterior al horizonte: revisamos si ya está en el saldo inicial para no contarlo dos veces.",IF(OR(AND(LEN(TRIM(G42&amp;""))&gt;0,NOT(IF(ISNUMBER(G42),AND(G42&gt;=0,G42=ROUND(G42,2)),FALSE))),AND(LEN(TRIM(F42&amp;""))&gt;0,NOT(IF(ISNUMBER(F42),AND(F42&gt;=1,F42&lt;=2958465,F42=INT(F42)),FALSE))),AND(LEN(TRIM(D42&amp;""))&gt;0,NOT(OR(D42="Cobro",D42="Pago"))),AND(LEN(TRIM(E42&amp;""))&gt;0,NOT(OR(E42="Previsto",E42="Realizado"))),AND(AND(LEN(TRIM(B42&amp;""))&gt;0,TRIM(B42)&lt;&gt;"Pendiente",TRIM(B42)&lt;&gt;"Por confirmar",TRIM(B42)&lt;&gt;"No consta",TRIM(B42)&lt;&gt;"Desconocido"),SUMPRODUCT(($L$10:$L$69=L42)*1)&gt;1),AND(IF(ISNUMBER(F42),AND(F42&gt;=1,F42&lt;=2958465,F42=INT(F42)),FALSE),IF(ISNUMBER('CAJA'!$C$19),AND('CAJA'!$C$19&gt;=1,'CAJA'!$C$19&lt;=2958465,'CAJA'!$C$19=INT('CAJA'!$C$19)),FALSE),OR(AND(E42="Realizado",F42&gt;'CAJA'!$C$19),AND(E42="Previsto",F42&lt;'CAJA'!$C$19))),AND(IF(ISNUMBER(F42),AND(F42&gt;=1,F42&lt;=2958465,F42=INT(F42)),FALSE),'CAJA'!$L$2=1,F42&lt;'CAJA'!$C$18)),"Revisamos fecha, importe positivo/cero explícito y opciones de sentido/estado. Fechas sin hora e importes a céntimos.",IF(NOT(AND(LEN(TRIM(B42&amp;""))&gt;0,TRIM(B42)&lt;&gt;"Pendiente",TRIM(B42)&lt;&gt;"Por confirmar",TRIM(B42)&lt;&gt;"No consta",TRIM(B42)&lt;&gt;"Desconocido")),"Asignamos un identificador único.",IF(NOT(AND(LEN(TRIM(C42&amp;""))&gt;0,TRIM(C42)&lt;&gt;"Pendiente",TRIM(C42)&lt;&gt;"Por confirmar",TRIM(C42)&lt;&gt;"No consta",TRIM(C42)&lt;&gt;"Desconocido")),"Identificamos el concepto.",IF(NOT(OR(D42="Cobro",D42="Pago")),"Elegimos Cobro o Pago.",IF(NOT(OR(E42="Previsto",E42="Realizado")),"Elegimos Previsto o Realizado según lo acreditado.",IF(NOT(IF(ISNUMBER(F42),AND(F42&gt;=1,F42&lt;=2958465,F42=INT(F42)),FALSE)),"Falta fecha/semana: un plazo relativo o la fecha de una oferta no bastan.",IF(NOT(IF(ISNUMBER(G42),AND(G42&gt;=0,G42=ROUND(G42,2)),FALSE)),"Falta importe efectivo; el total de presupuesto no acredita este movimiento.",IF(NOT(AND(LEN(TRIM(H42&amp;""))&gt;0,TRIM(H42)&lt;&gt;"Pendiente",TRIM(H42)&lt;&gt;"Por confirmar",TRIM(H42)&lt;&gt;"No consta",TRIM(H42)&lt;&gt;"Desconocido")),"Identificamos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CAJA.",IF(AND(IF(ISNUMBER(F42),AND(F42&gt;=1,F42&lt;=2958465,F42=INT(F42)),FALSE),'CAJA'!$L$2=1,F42&gt;='CAJA'!$L$9),"Fuera del horizonte: ampliamos semanas (hasta 26) o revisamos la ventana. Aquí no se suma.","Dato registrado para la previsión; el estado Realizado requiere su evidencia de cobro/pago."))))))))))))))))))</f>
      </c>
      <c r="K42" t="n" s="27">
        <f>IF(COUNTA(B42:H42)&gt;0,1,0)</f>
        <v>0</v>
      </c>
      <c r="L42" t="str" s="27">
        <f>IF(COUNTA(B42:H42)&gt;0,IFERROR("ID:"&amp;UPPER(TRIM(B42&amp;"")),""),"")</f>
      </c>
      <c r="M42" t="str" s="27">
        <f>IF(NOT(COUNTA(B42:H42)&gt;0),"",IF(OR(ISERROR(B42),ISERROR(C42),ISERROR(D42),ISERROR(E42),ISERROR(F42),ISERROR(G42),ISERROR(H42)),2,IF(OR(ISERROR('CAJA'!$C$17),ISERROR('CAJA'!$C$18),ISERROR('CAJA'!$C$19),ISERROR('CAJA'!$C$20),ISERROR('CAJA'!$C$21),ISERROR('CAJA'!$C$22),ISERROR('CAJA'!$C$23)),1,IF(OR(AND(LEN(TRIM(G42&amp;""))&gt;0,NOT(IF(ISNUMBER(G42),AND(G42&gt;=0,G42=ROUND(G42,2)),FALSE))),AND(LEN(TRIM(F42&amp;""))&gt;0,NOT(IF(ISNUMBER(F42),AND(F42&gt;=1,F42&lt;=2958465,F42=INT(F42)),FALSE))),AND(LEN(TRIM(D42&amp;""))&gt;0,NOT(OR(D42="Cobro",D42="Pago"))),AND(LEN(TRIM(E42&amp;""))&gt;0,NOT(OR(E42="Previsto",E42="Realizado"))),AND(AND(LEN(TRIM(B42&amp;""))&gt;0,TRIM(B42)&lt;&gt;"Pendiente",TRIM(B42)&lt;&gt;"Por confirmar",TRIM(B42)&lt;&gt;"No consta",TRIM(B42)&lt;&gt;"Desconocido"),SUMPRODUCT(($L$10:$L$69=L42)*1)&gt;1),AND(IF(ISNUMBER(F42),AND(F42&gt;=1,F42&lt;=2958465,F42=INT(F42)),FALSE),IF(ISNUMBER('CAJA'!$C$19),AND('CAJA'!$C$19&gt;=1,'CAJA'!$C$19&lt;=2958465,'CAJA'!$C$19=INT('CAJA'!$C$19)),FALSE),OR(AND(E42="Realizado",F42&gt;'CAJA'!$C$19),AND(E42="Previsto",F42&lt;'CAJA'!$C$19))),AND(IF(ISNUMBER(F42),AND(F42&gt;=1,F42&lt;=2958465,F42=INT(F42)),FALSE),'CAJA'!$L$2=1,F42&lt;'CAJA'!$C$18)),2,IF(AND(AND(LEN(TRIM(B42&amp;""))&gt;0,TRIM(B42)&lt;&gt;"Pendiente",TRIM(B42)&lt;&gt;"Por confirmar",TRIM(B42)&lt;&gt;"No consta",TRIM(B42)&lt;&gt;"Desconocido"),AND(LEN(TRIM(C42&amp;""))&gt;0,TRIM(C42)&lt;&gt;"Pendiente",TRIM(C42)&lt;&gt;"Por confirmar",TRIM(C42)&lt;&gt;"No consta",TRIM(C42)&lt;&gt;"Desconocido"),OR(D42="Cobro",D42="Pago"),OR(E42="Previsto",E42="Realizado"),IF(ISNUMBER(F42),AND(F42&gt;=1,F42&lt;=2958465,F42=INT(F42)),FALSE),IF(ISNUMBER(G42),AND(G42&gt;=0,G42=ROUND(G42,2)),FALSE),AND(LEN(TRIM(H42&amp;""))&gt;0,TRIM(H42)&lt;&gt;"Pendiente",TRIM(H42)&lt;&gt;"Por confirmar",TRIM(H42)&lt;&gt;"No consta",TRIM(H42)&lt;&gt;"Desconocido"),'CAJA'!$L$2=1,IF(ISNUMBER('CAJA'!$C$19),AND('CAJA'!$C$19&gt;=1,'CAJA'!$C$19&lt;=2958465,'CAJA'!$C$19=INT('CAJA'!$C$19)),FALSE),F42&gt;='CAJA'!$C$18,F42&lt;'CAJA'!$L$9,NOT(OR(AND(LEN(TRIM(G42&amp;""))&gt;0,NOT(IF(ISNUMBER(G42),AND(G42&gt;=0,G42=ROUND(G42,2)),FALSE))),AND(LEN(TRIM(F42&amp;""))&gt;0,NOT(IF(ISNUMBER(F42),AND(F42&gt;=1,F42&lt;=2958465,F42=INT(F42)),FALSE))),AND(LEN(TRIM(D42&amp;""))&gt;0,NOT(OR(D42="Cobro",D42="Pago"))),AND(LEN(TRIM(E42&amp;""))&gt;0,NOT(OR(E42="Previsto",E42="Realizado"))),AND(AND(LEN(TRIM(B42&amp;""))&gt;0,TRIM(B42)&lt;&gt;"Pendiente",TRIM(B42)&lt;&gt;"Por confirmar",TRIM(B42)&lt;&gt;"No consta",TRIM(B42)&lt;&gt;"Desconocido"),SUMPRODUCT(($L$10:$L$69=L42)*1)&gt;1),AND(IF(ISNUMBER(F42),AND(F42&gt;=1,F42&lt;=2958465,F42=INT(F42)),FALSE),IF(ISNUMBER('CAJA'!$C$19),AND('CAJA'!$C$19&gt;=1,'CAJA'!$C$19&lt;=2958465,'CAJA'!$C$19=INT('CAJA'!$C$19)),FALSE),OR(AND(E42="Realizado",F42&gt;'CAJA'!$C$19),AND(E42="Previsto",F42&lt;'CAJA'!$C$19))),AND(IF(ISNUMBER(F42),AND(F42&gt;=1,F42&lt;=2958465,F42=INT(F42)),FALSE),'CAJA'!$L$2=1,F42&lt;'CAJA'!$C$18)))),0,1)))))</f>
      </c>
      <c r="N42" t="n" s="27">
        <f>IF(AND(K42=1,ISNUMBER(M42),M42=0),1,0)</f>
        <v>0</v>
      </c>
      <c r="O42" t="str" s="27">
        <f>IF(IF(ISNUMBER(F42),AND(F42&gt;=1,F42&lt;=2958465,F42=INT(F42)),FALSE),F42-WEEKDAY(F42,2)+1,"")</f>
      </c>
      <c r="P42" t="n" s="27">
        <f>IF(AND(K42=1,ISNUMBER(M42),M42&gt;0),IF(NOT(IF(ISNUMBER(F42),AND(F42&gt;=1,F42&lt;=2958465,F42=INT(F42)),FALSE)),1,IF('CAJA'!$L$2&lt;&gt;1,1,IF(OR(F42&lt;'CAJA'!$C$18,F42&gt;='CAJA'!$L$9),1,0))),0)</f>
        <v>0</v>
      </c>
    </row>
    <row r="43" ht="69" customHeight="1">
      <c r="B43" s="34"/>
      <c r="C43" s="34"/>
      <c r="D43" s="34"/>
      <c r="E43" s="34"/>
      <c r="F43" s="35"/>
      <c r="G43" s="36"/>
      <c r="H43" s="34"/>
      <c r="I43" s="33" t="str">
        <f>IF(K43=0,"",IF(M43=2,"ROJO",IF(M43=1,"ÁMBAR","VERDE")))</f>
      </c>
      <c r="J43" s="33" t="str">
        <f>IF(K43=0,"",IF(OR(ISERROR(B43),ISERROR(C43),ISERROR(D43),ISERROR(E43),ISERROR(F43),ISERROR(G43),ISERROR(H43)),"Hay una entrada con error de fórmula. Corregimos el dato; no lo convertimos en cero.",IF(OR(ISERROR('CAJA'!$C$17),ISERROR('CAJA'!$C$18),ISERROR('CAJA'!$C$19),ISERROR('CAJA'!$C$20),ISERROR('CAJA'!$C$21),ISERROR('CAJA'!$C$22),ISERROR('CAJA'!$C$23)),"Corregimos la entrada con error en CAJA antes de validar el movimiento.",IF(AND(AND(LEN(TRIM(B43&amp;""))&gt;0,TRIM(B43)&lt;&gt;"Pendiente",TRIM(B43)&lt;&gt;"Por confirmar",TRIM(B43)&lt;&gt;"No consta",TRIM(B43)&lt;&gt;"Desconocido"),SUMPRODUCT(($L$10:$L$69=L43)*1)&gt;1),"ID repetido: actualizamos el mismo movimiento o separamos únicamente la parte realizada y el resto pendiente.",IF(AND(IF(ISNUMBER(F43),AND(F43&gt;=1,F43&lt;=2958465,F43=INT(F43)),FALSE),IF(ISNUMBER('CAJA'!$C$19),AND('CAJA'!$C$19&gt;=1,'CAJA'!$C$19&lt;=2958465,'CAJA'!$C$19=INT('CAJA'!$C$19)),FALSE),E43="Realizado",F43&gt;'CAJA'!$C$19),"Realizado en fecha posterior al corte: revisamos fecha y estado.",IF(AND(IF(ISNUMBER(F43),AND(F43&gt;=1,F43&lt;=2958465,F43=INT(F43)),FALSE),IF(ISNUMBER('CAJA'!$C$19),AND('CAJA'!$C$19&gt;=1,'CAJA'!$C$19&lt;=2958465,'CAJA'!$C$19=INT('CAJA'!$C$19)),FALSE),E43="Previsto",F43&lt;'CAJA'!$C$19),"Previsión vencida: actualizamos su fecha esperada o registramos el movimiento realizado; no lo damos por cobrado.",IF(AND(IF(ISNUMBER(F43),AND(F43&gt;=1,F43&lt;=2958465,F43=INT(F43)),FALSE),'CAJA'!$L$2=1,F43&lt;'CAJA'!$C$18),"Anterior al horizonte: revisamos si ya está en el saldo inicial para no contarlo dos veces.",IF(OR(AND(LEN(TRIM(G43&amp;""))&gt;0,NOT(IF(ISNUMBER(G43),AND(G43&gt;=0,G43=ROUND(G43,2)),FALSE))),AND(LEN(TRIM(F43&amp;""))&gt;0,NOT(IF(ISNUMBER(F43),AND(F43&gt;=1,F43&lt;=2958465,F43=INT(F43)),FALSE))),AND(LEN(TRIM(D43&amp;""))&gt;0,NOT(OR(D43="Cobro",D43="Pago"))),AND(LEN(TRIM(E43&amp;""))&gt;0,NOT(OR(E43="Previsto",E43="Realizado"))),AND(AND(LEN(TRIM(B43&amp;""))&gt;0,TRIM(B43)&lt;&gt;"Pendiente",TRIM(B43)&lt;&gt;"Por confirmar",TRIM(B43)&lt;&gt;"No consta",TRIM(B43)&lt;&gt;"Desconocido"),SUMPRODUCT(($L$10:$L$69=L43)*1)&gt;1),AND(IF(ISNUMBER(F43),AND(F43&gt;=1,F43&lt;=2958465,F43=INT(F43)),FALSE),IF(ISNUMBER('CAJA'!$C$19),AND('CAJA'!$C$19&gt;=1,'CAJA'!$C$19&lt;=2958465,'CAJA'!$C$19=INT('CAJA'!$C$19)),FALSE),OR(AND(E43="Realizado",F43&gt;'CAJA'!$C$19),AND(E43="Previsto",F43&lt;'CAJA'!$C$19))),AND(IF(ISNUMBER(F43),AND(F43&gt;=1,F43&lt;=2958465,F43=INT(F43)),FALSE),'CAJA'!$L$2=1,F43&lt;'CAJA'!$C$18)),"Revisamos fecha, importe positivo/cero explícito y opciones de sentido/estado. Fechas sin hora e importes a céntimos.",IF(NOT(AND(LEN(TRIM(B43&amp;""))&gt;0,TRIM(B43)&lt;&gt;"Pendiente",TRIM(B43)&lt;&gt;"Por confirmar",TRIM(B43)&lt;&gt;"No consta",TRIM(B43)&lt;&gt;"Desconocido")),"Asignamos un identificador único.",IF(NOT(AND(LEN(TRIM(C43&amp;""))&gt;0,TRIM(C43)&lt;&gt;"Pendiente",TRIM(C43)&lt;&gt;"Por confirmar",TRIM(C43)&lt;&gt;"No consta",TRIM(C43)&lt;&gt;"Desconocido")),"Identificamos el concepto.",IF(NOT(OR(D43="Cobro",D43="Pago")),"Elegimos Cobro o Pago.",IF(NOT(OR(E43="Previsto",E43="Realizado")),"Elegimos Previsto o Realizado según lo acreditado.",IF(NOT(IF(ISNUMBER(F43),AND(F43&gt;=1,F43&lt;=2958465,F43=INT(F43)),FALSE)),"Falta fecha/semana: un plazo relativo o la fecha de una oferta no bastan.",IF(NOT(IF(ISNUMBER(G43),AND(G43&gt;=0,G43=ROUND(G43,2)),FALSE)),"Falta importe efectivo; el total de presupuesto no acredita este movimiento.",IF(NOT(AND(LEN(TRIM(H43&amp;""))&gt;0,TRIM(H43)&lt;&gt;"Pendiente",TRIM(H43)&lt;&gt;"Por confirmar",TRIM(H43)&lt;&gt;"No consta",TRIM(H43)&lt;&gt;"Desconocido")),"Identificamos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CAJA.",IF(AND(IF(ISNUMBER(F43),AND(F43&gt;=1,F43&lt;=2958465,F43=INT(F43)),FALSE),'CAJA'!$L$2=1,F43&gt;='CAJA'!$L$9),"Fuera del horizonte: ampliamos semanas (hasta 26) o revisamos la ventana. Aquí no se suma.","Dato registrado para la previsión; el estado Realizado requiere su evidencia de cobro/pago."))))))))))))))))))</f>
      </c>
      <c r="K43" t="n" s="27">
        <f>IF(COUNTA(B43:H43)&gt;0,1,0)</f>
        <v>0</v>
      </c>
      <c r="L43" t="str" s="27">
        <f>IF(COUNTA(B43:H43)&gt;0,IFERROR("ID:"&amp;UPPER(TRIM(B43&amp;"")),""),"")</f>
      </c>
      <c r="M43" t="str" s="27">
        <f>IF(NOT(COUNTA(B43:H43)&gt;0),"",IF(OR(ISERROR(B43),ISERROR(C43),ISERROR(D43),ISERROR(E43),ISERROR(F43),ISERROR(G43),ISERROR(H43)),2,IF(OR(ISERROR('CAJA'!$C$17),ISERROR('CAJA'!$C$18),ISERROR('CAJA'!$C$19),ISERROR('CAJA'!$C$20),ISERROR('CAJA'!$C$21),ISERROR('CAJA'!$C$22),ISERROR('CAJA'!$C$23)),1,IF(OR(AND(LEN(TRIM(G43&amp;""))&gt;0,NOT(IF(ISNUMBER(G43),AND(G43&gt;=0,G43=ROUND(G43,2)),FALSE))),AND(LEN(TRIM(F43&amp;""))&gt;0,NOT(IF(ISNUMBER(F43),AND(F43&gt;=1,F43&lt;=2958465,F43=INT(F43)),FALSE))),AND(LEN(TRIM(D43&amp;""))&gt;0,NOT(OR(D43="Cobro",D43="Pago"))),AND(LEN(TRIM(E43&amp;""))&gt;0,NOT(OR(E43="Previsto",E43="Realizado"))),AND(AND(LEN(TRIM(B43&amp;""))&gt;0,TRIM(B43)&lt;&gt;"Pendiente",TRIM(B43)&lt;&gt;"Por confirmar",TRIM(B43)&lt;&gt;"No consta",TRIM(B43)&lt;&gt;"Desconocido"),SUMPRODUCT(($L$10:$L$69=L43)*1)&gt;1),AND(IF(ISNUMBER(F43),AND(F43&gt;=1,F43&lt;=2958465,F43=INT(F43)),FALSE),IF(ISNUMBER('CAJA'!$C$19),AND('CAJA'!$C$19&gt;=1,'CAJA'!$C$19&lt;=2958465,'CAJA'!$C$19=INT('CAJA'!$C$19)),FALSE),OR(AND(E43="Realizado",F43&gt;'CAJA'!$C$19),AND(E43="Previsto",F43&lt;'CAJA'!$C$19))),AND(IF(ISNUMBER(F43),AND(F43&gt;=1,F43&lt;=2958465,F43=INT(F43)),FALSE),'CAJA'!$L$2=1,F43&lt;'CAJA'!$C$18)),2,IF(AND(AND(LEN(TRIM(B43&amp;""))&gt;0,TRIM(B43)&lt;&gt;"Pendiente",TRIM(B43)&lt;&gt;"Por confirmar",TRIM(B43)&lt;&gt;"No consta",TRIM(B43)&lt;&gt;"Desconocido"),AND(LEN(TRIM(C43&amp;""))&gt;0,TRIM(C43)&lt;&gt;"Pendiente",TRIM(C43)&lt;&gt;"Por confirmar",TRIM(C43)&lt;&gt;"No consta",TRIM(C43)&lt;&gt;"Desconocido"),OR(D43="Cobro",D43="Pago"),OR(E43="Previsto",E43="Realizado"),IF(ISNUMBER(F43),AND(F43&gt;=1,F43&lt;=2958465,F43=INT(F43)),FALSE),IF(ISNUMBER(G43),AND(G43&gt;=0,G43=ROUND(G43,2)),FALSE),AND(LEN(TRIM(H43&amp;""))&gt;0,TRIM(H43)&lt;&gt;"Pendiente",TRIM(H43)&lt;&gt;"Por confirmar",TRIM(H43)&lt;&gt;"No consta",TRIM(H43)&lt;&gt;"Desconocido"),'CAJA'!$L$2=1,IF(ISNUMBER('CAJA'!$C$19),AND('CAJA'!$C$19&gt;=1,'CAJA'!$C$19&lt;=2958465,'CAJA'!$C$19=INT('CAJA'!$C$19)),FALSE),F43&gt;='CAJA'!$C$18,F43&lt;'CAJA'!$L$9,NOT(OR(AND(LEN(TRIM(G43&amp;""))&gt;0,NOT(IF(ISNUMBER(G43),AND(G43&gt;=0,G43=ROUND(G43,2)),FALSE))),AND(LEN(TRIM(F43&amp;""))&gt;0,NOT(IF(ISNUMBER(F43),AND(F43&gt;=1,F43&lt;=2958465,F43=INT(F43)),FALSE))),AND(LEN(TRIM(D43&amp;""))&gt;0,NOT(OR(D43="Cobro",D43="Pago"))),AND(LEN(TRIM(E43&amp;""))&gt;0,NOT(OR(E43="Previsto",E43="Realizado"))),AND(AND(LEN(TRIM(B43&amp;""))&gt;0,TRIM(B43)&lt;&gt;"Pendiente",TRIM(B43)&lt;&gt;"Por confirmar",TRIM(B43)&lt;&gt;"No consta",TRIM(B43)&lt;&gt;"Desconocido"),SUMPRODUCT(($L$10:$L$69=L43)*1)&gt;1),AND(IF(ISNUMBER(F43),AND(F43&gt;=1,F43&lt;=2958465,F43=INT(F43)),FALSE),IF(ISNUMBER('CAJA'!$C$19),AND('CAJA'!$C$19&gt;=1,'CAJA'!$C$19&lt;=2958465,'CAJA'!$C$19=INT('CAJA'!$C$19)),FALSE),OR(AND(E43="Realizado",F43&gt;'CAJA'!$C$19),AND(E43="Previsto",F43&lt;'CAJA'!$C$19))),AND(IF(ISNUMBER(F43),AND(F43&gt;=1,F43&lt;=2958465,F43=INT(F43)),FALSE),'CAJA'!$L$2=1,F43&lt;'CAJA'!$C$18)))),0,1)))))</f>
      </c>
      <c r="N43" t="n" s="27">
        <f>IF(AND(K43=1,ISNUMBER(M43),M43=0),1,0)</f>
        <v>0</v>
      </c>
      <c r="O43" t="str" s="27">
        <f>IF(IF(ISNUMBER(F43),AND(F43&gt;=1,F43&lt;=2958465,F43=INT(F43)),FALSE),F43-WEEKDAY(F43,2)+1,"")</f>
      </c>
      <c r="P43" t="n" s="27">
        <f>IF(AND(K43=1,ISNUMBER(M43),M43&gt;0),IF(NOT(IF(ISNUMBER(F43),AND(F43&gt;=1,F43&lt;=2958465,F43=INT(F43)),FALSE)),1,IF('CAJA'!$L$2&lt;&gt;1,1,IF(OR(F43&lt;'CAJA'!$C$18,F43&gt;='CAJA'!$L$9),1,0))),0)</f>
        <v>0</v>
      </c>
    </row>
    <row r="44" ht="69" customHeight="1">
      <c r="B44" s="34"/>
      <c r="C44" s="34"/>
      <c r="D44" s="34"/>
      <c r="E44" s="34"/>
      <c r="F44" s="35"/>
      <c r="G44" s="36"/>
      <c r="H44" s="34"/>
      <c r="I44" s="33" t="str">
        <f>IF(K44=0,"",IF(M44=2,"ROJO",IF(M44=1,"ÁMBAR","VERDE")))</f>
      </c>
      <c r="J44" s="33" t="str">
        <f>IF(K44=0,"",IF(OR(ISERROR(B44),ISERROR(C44),ISERROR(D44),ISERROR(E44),ISERROR(F44),ISERROR(G44),ISERROR(H44)),"Hay una entrada con error de fórmula. Corregimos el dato; no lo convertimos en cero.",IF(OR(ISERROR('CAJA'!$C$17),ISERROR('CAJA'!$C$18),ISERROR('CAJA'!$C$19),ISERROR('CAJA'!$C$20),ISERROR('CAJA'!$C$21),ISERROR('CAJA'!$C$22),ISERROR('CAJA'!$C$23)),"Corregimos la entrada con error en CAJA antes de validar el movimiento.",IF(AND(AND(LEN(TRIM(B44&amp;""))&gt;0,TRIM(B44)&lt;&gt;"Pendiente",TRIM(B44)&lt;&gt;"Por confirmar",TRIM(B44)&lt;&gt;"No consta",TRIM(B44)&lt;&gt;"Desconocido"),SUMPRODUCT(($L$10:$L$69=L44)*1)&gt;1),"ID repetido: actualizamos el mismo movimiento o separamos únicamente la parte realizada y el resto pendiente.",IF(AND(IF(ISNUMBER(F44),AND(F44&gt;=1,F44&lt;=2958465,F44=INT(F44)),FALSE),IF(ISNUMBER('CAJA'!$C$19),AND('CAJA'!$C$19&gt;=1,'CAJA'!$C$19&lt;=2958465,'CAJA'!$C$19=INT('CAJA'!$C$19)),FALSE),E44="Realizado",F44&gt;'CAJA'!$C$19),"Realizado en fecha posterior al corte: revisamos fecha y estado.",IF(AND(IF(ISNUMBER(F44),AND(F44&gt;=1,F44&lt;=2958465,F44=INT(F44)),FALSE),IF(ISNUMBER('CAJA'!$C$19),AND('CAJA'!$C$19&gt;=1,'CAJA'!$C$19&lt;=2958465,'CAJA'!$C$19=INT('CAJA'!$C$19)),FALSE),E44="Previsto",F44&lt;'CAJA'!$C$19),"Previsión vencida: actualizamos su fecha esperada o registramos el movimiento realizado; no lo damos por cobrado.",IF(AND(IF(ISNUMBER(F44),AND(F44&gt;=1,F44&lt;=2958465,F44=INT(F44)),FALSE),'CAJA'!$L$2=1,F44&lt;'CAJA'!$C$18),"Anterior al horizonte: revisamos si ya está en el saldo inicial para no contarlo dos veces.",IF(OR(AND(LEN(TRIM(G44&amp;""))&gt;0,NOT(IF(ISNUMBER(G44),AND(G44&gt;=0,G44=ROUND(G44,2)),FALSE))),AND(LEN(TRIM(F44&amp;""))&gt;0,NOT(IF(ISNUMBER(F44),AND(F44&gt;=1,F44&lt;=2958465,F44=INT(F44)),FALSE))),AND(LEN(TRIM(D44&amp;""))&gt;0,NOT(OR(D44="Cobro",D44="Pago"))),AND(LEN(TRIM(E44&amp;""))&gt;0,NOT(OR(E44="Previsto",E44="Realizado"))),AND(AND(LEN(TRIM(B44&amp;""))&gt;0,TRIM(B44)&lt;&gt;"Pendiente",TRIM(B44)&lt;&gt;"Por confirmar",TRIM(B44)&lt;&gt;"No consta",TRIM(B44)&lt;&gt;"Desconocido"),SUMPRODUCT(($L$10:$L$69=L44)*1)&gt;1),AND(IF(ISNUMBER(F44),AND(F44&gt;=1,F44&lt;=2958465,F44=INT(F44)),FALSE),IF(ISNUMBER('CAJA'!$C$19),AND('CAJA'!$C$19&gt;=1,'CAJA'!$C$19&lt;=2958465,'CAJA'!$C$19=INT('CAJA'!$C$19)),FALSE),OR(AND(E44="Realizado",F44&gt;'CAJA'!$C$19),AND(E44="Previsto",F44&lt;'CAJA'!$C$19))),AND(IF(ISNUMBER(F44),AND(F44&gt;=1,F44&lt;=2958465,F44=INT(F44)),FALSE),'CAJA'!$L$2=1,F44&lt;'CAJA'!$C$18)),"Revisamos fecha, importe positivo/cero explícito y opciones de sentido/estado. Fechas sin hora e importes a céntimos.",IF(NOT(AND(LEN(TRIM(B44&amp;""))&gt;0,TRIM(B44)&lt;&gt;"Pendiente",TRIM(B44)&lt;&gt;"Por confirmar",TRIM(B44)&lt;&gt;"No consta",TRIM(B44)&lt;&gt;"Desconocido")),"Asignamos un identificador único.",IF(NOT(AND(LEN(TRIM(C44&amp;""))&gt;0,TRIM(C44)&lt;&gt;"Pendiente",TRIM(C44)&lt;&gt;"Por confirmar",TRIM(C44)&lt;&gt;"No consta",TRIM(C44)&lt;&gt;"Desconocido")),"Identificamos el concepto.",IF(NOT(OR(D44="Cobro",D44="Pago")),"Elegimos Cobro o Pago.",IF(NOT(OR(E44="Previsto",E44="Realizado")),"Elegimos Previsto o Realizado según lo acreditado.",IF(NOT(IF(ISNUMBER(F44),AND(F44&gt;=1,F44&lt;=2958465,F44=INT(F44)),FALSE)),"Falta fecha/semana: un plazo relativo o la fecha de una oferta no bastan.",IF(NOT(IF(ISNUMBER(G44),AND(G44&gt;=0,G44=ROUND(G44,2)),FALSE)),"Falta importe efectivo; el total de presupuesto no acredita este movimiento.",IF(NOT(AND(LEN(TRIM(H44&amp;""))&gt;0,TRIM(H44)&lt;&gt;"Pendiente",TRIM(H44)&lt;&gt;"Por confirmar",TRIM(H44)&lt;&gt;"No consta",TRIM(H44)&lt;&gt;"Desconocido")),"Identificamos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CAJA.",IF(AND(IF(ISNUMBER(F44),AND(F44&gt;=1,F44&lt;=2958465,F44=INT(F44)),FALSE),'CAJA'!$L$2=1,F44&gt;='CAJA'!$L$9),"Fuera del horizonte: ampliamos semanas (hasta 26) o revisamos la ventana. Aquí no se suma.","Dato registrado para la previsión; el estado Realizado requiere su evidencia de cobro/pago."))))))))))))))))))</f>
      </c>
      <c r="K44" t="n" s="27">
        <f>IF(COUNTA(B44:H44)&gt;0,1,0)</f>
        <v>0</v>
      </c>
      <c r="L44" t="str" s="27">
        <f>IF(COUNTA(B44:H44)&gt;0,IFERROR("ID:"&amp;UPPER(TRIM(B44&amp;"")),""),"")</f>
      </c>
      <c r="M44" t="str" s="27">
        <f>IF(NOT(COUNTA(B44:H44)&gt;0),"",IF(OR(ISERROR(B44),ISERROR(C44),ISERROR(D44),ISERROR(E44),ISERROR(F44),ISERROR(G44),ISERROR(H44)),2,IF(OR(ISERROR('CAJA'!$C$17),ISERROR('CAJA'!$C$18),ISERROR('CAJA'!$C$19),ISERROR('CAJA'!$C$20),ISERROR('CAJA'!$C$21),ISERROR('CAJA'!$C$22),ISERROR('CAJA'!$C$23)),1,IF(OR(AND(LEN(TRIM(G44&amp;""))&gt;0,NOT(IF(ISNUMBER(G44),AND(G44&gt;=0,G44=ROUND(G44,2)),FALSE))),AND(LEN(TRIM(F44&amp;""))&gt;0,NOT(IF(ISNUMBER(F44),AND(F44&gt;=1,F44&lt;=2958465,F44=INT(F44)),FALSE))),AND(LEN(TRIM(D44&amp;""))&gt;0,NOT(OR(D44="Cobro",D44="Pago"))),AND(LEN(TRIM(E44&amp;""))&gt;0,NOT(OR(E44="Previsto",E44="Realizado"))),AND(AND(LEN(TRIM(B44&amp;""))&gt;0,TRIM(B44)&lt;&gt;"Pendiente",TRIM(B44)&lt;&gt;"Por confirmar",TRIM(B44)&lt;&gt;"No consta",TRIM(B44)&lt;&gt;"Desconocido"),SUMPRODUCT(($L$10:$L$69=L44)*1)&gt;1),AND(IF(ISNUMBER(F44),AND(F44&gt;=1,F44&lt;=2958465,F44=INT(F44)),FALSE),IF(ISNUMBER('CAJA'!$C$19),AND('CAJA'!$C$19&gt;=1,'CAJA'!$C$19&lt;=2958465,'CAJA'!$C$19=INT('CAJA'!$C$19)),FALSE),OR(AND(E44="Realizado",F44&gt;'CAJA'!$C$19),AND(E44="Previsto",F44&lt;'CAJA'!$C$19))),AND(IF(ISNUMBER(F44),AND(F44&gt;=1,F44&lt;=2958465,F44=INT(F44)),FALSE),'CAJA'!$L$2=1,F44&lt;'CAJA'!$C$18)),2,IF(AND(AND(LEN(TRIM(B44&amp;""))&gt;0,TRIM(B44)&lt;&gt;"Pendiente",TRIM(B44)&lt;&gt;"Por confirmar",TRIM(B44)&lt;&gt;"No consta",TRIM(B44)&lt;&gt;"Desconocido"),AND(LEN(TRIM(C44&amp;""))&gt;0,TRIM(C44)&lt;&gt;"Pendiente",TRIM(C44)&lt;&gt;"Por confirmar",TRIM(C44)&lt;&gt;"No consta",TRIM(C44)&lt;&gt;"Desconocido"),OR(D44="Cobro",D44="Pago"),OR(E44="Previsto",E44="Realizado"),IF(ISNUMBER(F44),AND(F44&gt;=1,F44&lt;=2958465,F44=INT(F44)),FALSE),IF(ISNUMBER(G44),AND(G44&gt;=0,G44=ROUND(G44,2)),FALSE),AND(LEN(TRIM(H44&amp;""))&gt;0,TRIM(H44)&lt;&gt;"Pendiente",TRIM(H44)&lt;&gt;"Por confirmar",TRIM(H44)&lt;&gt;"No consta",TRIM(H44)&lt;&gt;"Desconocido"),'CAJA'!$L$2=1,IF(ISNUMBER('CAJA'!$C$19),AND('CAJA'!$C$19&gt;=1,'CAJA'!$C$19&lt;=2958465,'CAJA'!$C$19=INT('CAJA'!$C$19)),FALSE),F44&gt;='CAJA'!$C$18,F44&lt;'CAJA'!$L$9,NOT(OR(AND(LEN(TRIM(G44&amp;""))&gt;0,NOT(IF(ISNUMBER(G44),AND(G44&gt;=0,G44=ROUND(G44,2)),FALSE))),AND(LEN(TRIM(F44&amp;""))&gt;0,NOT(IF(ISNUMBER(F44),AND(F44&gt;=1,F44&lt;=2958465,F44=INT(F44)),FALSE))),AND(LEN(TRIM(D44&amp;""))&gt;0,NOT(OR(D44="Cobro",D44="Pago"))),AND(LEN(TRIM(E44&amp;""))&gt;0,NOT(OR(E44="Previsto",E44="Realizado"))),AND(AND(LEN(TRIM(B44&amp;""))&gt;0,TRIM(B44)&lt;&gt;"Pendiente",TRIM(B44)&lt;&gt;"Por confirmar",TRIM(B44)&lt;&gt;"No consta",TRIM(B44)&lt;&gt;"Desconocido"),SUMPRODUCT(($L$10:$L$69=L44)*1)&gt;1),AND(IF(ISNUMBER(F44),AND(F44&gt;=1,F44&lt;=2958465,F44=INT(F44)),FALSE),IF(ISNUMBER('CAJA'!$C$19),AND('CAJA'!$C$19&gt;=1,'CAJA'!$C$19&lt;=2958465,'CAJA'!$C$19=INT('CAJA'!$C$19)),FALSE),OR(AND(E44="Realizado",F44&gt;'CAJA'!$C$19),AND(E44="Previsto",F44&lt;'CAJA'!$C$19))),AND(IF(ISNUMBER(F44),AND(F44&gt;=1,F44&lt;=2958465,F44=INT(F44)),FALSE),'CAJA'!$L$2=1,F44&lt;'CAJA'!$C$18)))),0,1)))))</f>
      </c>
      <c r="N44" t="n" s="27">
        <f>IF(AND(K44=1,ISNUMBER(M44),M44=0),1,0)</f>
        <v>0</v>
      </c>
      <c r="O44" t="str" s="27">
        <f>IF(IF(ISNUMBER(F44),AND(F44&gt;=1,F44&lt;=2958465,F44=INT(F44)),FALSE),F44-WEEKDAY(F44,2)+1,"")</f>
      </c>
      <c r="P44" t="n" s="27">
        <f>IF(AND(K44=1,ISNUMBER(M44),M44&gt;0),IF(NOT(IF(ISNUMBER(F44),AND(F44&gt;=1,F44&lt;=2958465,F44=INT(F44)),FALSE)),1,IF('CAJA'!$L$2&lt;&gt;1,1,IF(OR(F44&lt;'CAJA'!$C$18,F44&gt;='CAJA'!$L$9),1,0))),0)</f>
        <v>0</v>
      </c>
    </row>
    <row r="45" ht="69" customHeight="1">
      <c r="B45" s="34"/>
      <c r="C45" s="34"/>
      <c r="D45" s="34"/>
      <c r="E45" s="34"/>
      <c r="F45" s="35"/>
      <c r="G45" s="36"/>
      <c r="H45" s="34"/>
      <c r="I45" s="33" t="str">
        <f>IF(K45=0,"",IF(M45=2,"ROJO",IF(M45=1,"ÁMBAR","VERDE")))</f>
      </c>
      <c r="J45" s="33" t="str">
        <f>IF(K45=0,"",IF(OR(ISERROR(B45),ISERROR(C45),ISERROR(D45),ISERROR(E45),ISERROR(F45),ISERROR(G45),ISERROR(H45)),"Hay una entrada con error de fórmula. Corregimos el dato; no lo convertimos en cero.",IF(OR(ISERROR('CAJA'!$C$17),ISERROR('CAJA'!$C$18),ISERROR('CAJA'!$C$19),ISERROR('CAJA'!$C$20),ISERROR('CAJA'!$C$21),ISERROR('CAJA'!$C$22),ISERROR('CAJA'!$C$23)),"Corregimos la entrada con error en CAJA antes de validar el movimiento.",IF(AND(AND(LEN(TRIM(B45&amp;""))&gt;0,TRIM(B45)&lt;&gt;"Pendiente",TRIM(B45)&lt;&gt;"Por confirmar",TRIM(B45)&lt;&gt;"No consta",TRIM(B45)&lt;&gt;"Desconocido"),SUMPRODUCT(($L$10:$L$69=L45)*1)&gt;1),"ID repetido: actualizamos el mismo movimiento o separamos únicamente la parte realizada y el resto pendiente.",IF(AND(IF(ISNUMBER(F45),AND(F45&gt;=1,F45&lt;=2958465,F45=INT(F45)),FALSE),IF(ISNUMBER('CAJA'!$C$19),AND('CAJA'!$C$19&gt;=1,'CAJA'!$C$19&lt;=2958465,'CAJA'!$C$19=INT('CAJA'!$C$19)),FALSE),E45="Realizado",F45&gt;'CAJA'!$C$19),"Realizado en fecha posterior al corte: revisamos fecha y estado.",IF(AND(IF(ISNUMBER(F45),AND(F45&gt;=1,F45&lt;=2958465,F45=INT(F45)),FALSE),IF(ISNUMBER('CAJA'!$C$19),AND('CAJA'!$C$19&gt;=1,'CAJA'!$C$19&lt;=2958465,'CAJA'!$C$19=INT('CAJA'!$C$19)),FALSE),E45="Previsto",F45&lt;'CAJA'!$C$19),"Previsión vencida: actualizamos su fecha esperada o registramos el movimiento realizado; no lo damos por cobrado.",IF(AND(IF(ISNUMBER(F45),AND(F45&gt;=1,F45&lt;=2958465,F45=INT(F45)),FALSE),'CAJA'!$L$2=1,F45&lt;'CAJA'!$C$18),"Anterior al horizonte: revisamos si ya está en el saldo inicial para no contarlo dos veces.",IF(OR(AND(LEN(TRIM(G45&amp;""))&gt;0,NOT(IF(ISNUMBER(G45),AND(G45&gt;=0,G45=ROUND(G45,2)),FALSE))),AND(LEN(TRIM(F45&amp;""))&gt;0,NOT(IF(ISNUMBER(F45),AND(F45&gt;=1,F45&lt;=2958465,F45=INT(F45)),FALSE))),AND(LEN(TRIM(D45&amp;""))&gt;0,NOT(OR(D45="Cobro",D45="Pago"))),AND(LEN(TRIM(E45&amp;""))&gt;0,NOT(OR(E45="Previsto",E45="Realizado"))),AND(AND(LEN(TRIM(B45&amp;""))&gt;0,TRIM(B45)&lt;&gt;"Pendiente",TRIM(B45)&lt;&gt;"Por confirmar",TRIM(B45)&lt;&gt;"No consta",TRIM(B45)&lt;&gt;"Desconocido"),SUMPRODUCT(($L$10:$L$69=L45)*1)&gt;1),AND(IF(ISNUMBER(F45),AND(F45&gt;=1,F45&lt;=2958465,F45=INT(F45)),FALSE),IF(ISNUMBER('CAJA'!$C$19),AND('CAJA'!$C$19&gt;=1,'CAJA'!$C$19&lt;=2958465,'CAJA'!$C$19=INT('CAJA'!$C$19)),FALSE),OR(AND(E45="Realizado",F45&gt;'CAJA'!$C$19),AND(E45="Previsto",F45&lt;'CAJA'!$C$19))),AND(IF(ISNUMBER(F45),AND(F45&gt;=1,F45&lt;=2958465,F45=INT(F45)),FALSE),'CAJA'!$L$2=1,F45&lt;'CAJA'!$C$18)),"Revisamos fecha, importe positivo/cero explícito y opciones de sentido/estado. Fechas sin hora e importes a céntimos.",IF(NOT(AND(LEN(TRIM(B45&amp;""))&gt;0,TRIM(B45)&lt;&gt;"Pendiente",TRIM(B45)&lt;&gt;"Por confirmar",TRIM(B45)&lt;&gt;"No consta",TRIM(B45)&lt;&gt;"Desconocido")),"Asignamos un identificador único.",IF(NOT(AND(LEN(TRIM(C45&amp;""))&gt;0,TRIM(C45)&lt;&gt;"Pendiente",TRIM(C45)&lt;&gt;"Por confirmar",TRIM(C45)&lt;&gt;"No consta",TRIM(C45)&lt;&gt;"Desconocido")),"Identificamos el concepto.",IF(NOT(OR(D45="Cobro",D45="Pago")),"Elegimos Cobro o Pago.",IF(NOT(OR(E45="Previsto",E45="Realizado")),"Elegimos Previsto o Realizado según lo acreditado.",IF(NOT(IF(ISNUMBER(F45),AND(F45&gt;=1,F45&lt;=2958465,F45=INT(F45)),FALSE)),"Falta fecha/semana: un plazo relativo o la fecha de una oferta no bastan.",IF(NOT(IF(ISNUMBER(G45),AND(G45&gt;=0,G45=ROUND(G45,2)),FALSE)),"Falta importe efectivo; el total de presupuesto no acredita este movimiento.",IF(NOT(AND(LEN(TRIM(H45&amp;""))&gt;0,TRIM(H45)&lt;&gt;"Pendiente",TRIM(H45)&lt;&gt;"Por confirmar",TRIM(H45)&lt;&gt;"No consta",TRIM(H45)&lt;&gt;"Desconocido")),"Identificamos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CAJA.",IF(AND(IF(ISNUMBER(F45),AND(F45&gt;=1,F45&lt;=2958465,F45=INT(F45)),FALSE),'CAJA'!$L$2=1,F45&gt;='CAJA'!$L$9),"Fuera del horizonte: ampliamos semanas (hasta 26) o revisamos la ventana. Aquí no se suma.","Dato registrado para la previsión; el estado Realizado requiere su evidencia de cobro/pago."))))))))))))))))))</f>
      </c>
      <c r="K45" t="n" s="27">
        <f>IF(COUNTA(B45:H45)&gt;0,1,0)</f>
        <v>0</v>
      </c>
      <c r="L45" t="str" s="27">
        <f>IF(COUNTA(B45:H45)&gt;0,IFERROR("ID:"&amp;UPPER(TRIM(B45&amp;"")),""),"")</f>
      </c>
      <c r="M45" t="str" s="27">
        <f>IF(NOT(COUNTA(B45:H45)&gt;0),"",IF(OR(ISERROR(B45),ISERROR(C45),ISERROR(D45),ISERROR(E45),ISERROR(F45),ISERROR(G45),ISERROR(H45)),2,IF(OR(ISERROR('CAJA'!$C$17),ISERROR('CAJA'!$C$18),ISERROR('CAJA'!$C$19),ISERROR('CAJA'!$C$20),ISERROR('CAJA'!$C$21),ISERROR('CAJA'!$C$22),ISERROR('CAJA'!$C$23)),1,IF(OR(AND(LEN(TRIM(G45&amp;""))&gt;0,NOT(IF(ISNUMBER(G45),AND(G45&gt;=0,G45=ROUND(G45,2)),FALSE))),AND(LEN(TRIM(F45&amp;""))&gt;0,NOT(IF(ISNUMBER(F45),AND(F45&gt;=1,F45&lt;=2958465,F45=INT(F45)),FALSE))),AND(LEN(TRIM(D45&amp;""))&gt;0,NOT(OR(D45="Cobro",D45="Pago"))),AND(LEN(TRIM(E45&amp;""))&gt;0,NOT(OR(E45="Previsto",E45="Realizado"))),AND(AND(LEN(TRIM(B45&amp;""))&gt;0,TRIM(B45)&lt;&gt;"Pendiente",TRIM(B45)&lt;&gt;"Por confirmar",TRIM(B45)&lt;&gt;"No consta",TRIM(B45)&lt;&gt;"Desconocido"),SUMPRODUCT(($L$10:$L$69=L45)*1)&gt;1),AND(IF(ISNUMBER(F45),AND(F45&gt;=1,F45&lt;=2958465,F45=INT(F45)),FALSE),IF(ISNUMBER('CAJA'!$C$19),AND('CAJA'!$C$19&gt;=1,'CAJA'!$C$19&lt;=2958465,'CAJA'!$C$19=INT('CAJA'!$C$19)),FALSE),OR(AND(E45="Realizado",F45&gt;'CAJA'!$C$19),AND(E45="Previsto",F45&lt;'CAJA'!$C$19))),AND(IF(ISNUMBER(F45),AND(F45&gt;=1,F45&lt;=2958465,F45=INT(F45)),FALSE),'CAJA'!$L$2=1,F45&lt;'CAJA'!$C$18)),2,IF(AND(AND(LEN(TRIM(B45&amp;""))&gt;0,TRIM(B45)&lt;&gt;"Pendiente",TRIM(B45)&lt;&gt;"Por confirmar",TRIM(B45)&lt;&gt;"No consta",TRIM(B45)&lt;&gt;"Desconocido"),AND(LEN(TRIM(C45&amp;""))&gt;0,TRIM(C45)&lt;&gt;"Pendiente",TRIM(C45)&lt;&gt;"Por confirmar",TRIM(C45)&lt;&gt;"No consta",TRIM(C45)&lt;&gt;"Desconocido"),OR(D45="Cobro",D45="Pago"),OR(E45="Previsto",E45="Realizado"),IF(ISNUMBER(F45),AND(F45&gt;=1,F45&lt;=2958465,F45=INT(F45)),FALSE),IF(ISNUMBER(G45),AND(G45&gt;=0,G45=ROUND(G45,2)),FALSE),AND(LEN(TRIM(H45&amp;""))&gt;0,TRIM(H45)&lt;&gt;"Pendiente",TRIM(H45)&lt;&gt;"Por confirmar",TRIM(H45)&lt;&gt;"No consta",TRIM(H45)&lt;&gt;"Desconocido"),'CAJA'!$L$2=1,IF(ISNUMBER('CAJA'!$C$19),AND('CAJA'!$C$19&gt;=1,'CAJA'!$C$19&lt;=2958465,'CAJA'!$C$19=INT('CAJA'!$C$19)),FALSE),F45&gt;='CAJA'!$C$18,F45&lt;'CAJA'!$L$9,NOT(OR(AND(LEN(TRIM(G45&amp;""))&gt;0,NOT(IF(ISNUMBER(G45),AND(G45&gt;=0,G45=ROUND(G45,2)),FALSE))),AND(LEN(TRIM(F45&amp;""))&gt;0,NOT(IF(ISNUMBER(F45),AND(F45&gt;=1,F45&lt;=2958465,F45=INT(F45)),FALSE))),AND(LEN(TRIM(D45&amp;""))&gt;0,NOT(OR(D45="Cobro",D45="Pago"))),AND(LEN(TRIM(E45&amp;""))&gt;0,NOT(OR(E45="Previsto",E45="Realizado"))),AND(AND(LEN(TRIM(B45&amp;""))&gt;0,TRIM(B45)&lt;&gt;"Pendiente",TRIM(B45)&lt;&gt;"Por confirmar",TRIM(B45)&lt;&gt;"No consta",TRIM(B45)&lt;&gt;"Desconocido"),SUMPRODUCT(($L$10:$L$69=L45)*1)&gt;1),AND(IF(ISNUMBER(F45),AND(F45&gt;=1,F45&lt;=2958465,F45=INT(F45)),FALSE),IF(ISNUMBER('CAJA'!$C$19),AND('CAJA'!$C$19&gt;=1,'CAJA'!$C$19&lt;=2958465,'CAJA'!$C$19=INT('CAJA'!$C$19)),FALSE),OR(AND(E45="Realizado",F45&gt;'CAJA'!$C$19),AND(E45="Previsto",F45&lt;'CAJA'!$C$19))),AND(IF(ISNUMBER(F45),AND(F45&gt;=1,F45&lt;=2958465,F45=INT(F45)),FALSE),'CAJA'!$L$2=1,F45&lt;'CAJA'!$C$18)))),0,1)))))</f>
      </c>
      <c r="N45" t="n" s="27">
        <f>IF(AND(K45=1,ISNUMBER(M45),M45=0),1,0)</f>
        <v>0</v>
      </c>
      <c r="O45" t="str" s="27">
        <f>IF(IF(ISNUMBER(F45),AND(F45&gt;=1,F45&lt;=2958465,F45=INT(F45)),FALSE),F45-WEEKDAY(F45,2)+1,"")</f>
      </c>
      <c r="P45" t="n" s="27">
        <f>IF(AND(K45=1,ISNUMBER(M45),M45&gt;0),IF(NOT(IF(ISNUMBER(F45),AND(F45&gt;=1,F45&lt;=2958465,F45=INT(F45)),FALSE)),1,IF('CAJA'!$L$2&lt;&gt;1,1,IF(OR(F45&lt;'CAJA'!$C$18,F45&gt;='CAJA'!$L$9),1,0))),0)</f>
        <v>0</v>
      </c>
    </row>
    <row r="46" ht="69" customHeight="1">
      <c r="B46" s="34"/>
      <c r="C46" s="34"/>
      <c r="D46" s="34"/>
      <c r="E46" s="34"/>
      <c r="F46" s="35"/>
      <c r="G46" s="36"/>
      <c r="H46" s="34"/>
      <c r="I46" s="33" t="str">
        <f>IF(K46=0,"",IF(M46=2,"ROJO",IF(M46=1,"ÁMBAR","VERDE")))</f>
      </c>
      <c r="J46" s="33" t="str">
        <f>IF(K46=0,"",IF(OR(ISERROR(B46),ISERROR(C46),ISERROR(D46),ISERROR(E46),ISERROR(F46),ISERROR(G46),ISERROR(H46)),"Hay una entrada con error de fórmula. Corregimos el dato; no lo convertimos en cero.",IF(OR(ISERROR('CAJA'!$C$17),ISERROR('CAJA'!$C$18),ISERROR('CAJA'!$C$19),ISERROR('CAJA'!$C$20),ISERROR('CAJA'!$C$21),ISERROR('CAJA'!$C$22),ISERROR('CAJA'!$C$23)),"Corregimos la entrada con error en CAJA antes de validar el movimiento.",IF(AND(AND(LEN(TRIM(B46&amp;""))&gt;0,TRIM(B46)&lt;&gt;"Pendiente",TRIM(B46)&lt;&gt;"Por confirmar",TRIM(B46)&lt;&gt;"No consta",TRIM(B46)&lt;&gt;"Desconocido"),SUMPRODUCT(($L$10:$L$69=L46)*1)&gt;1),"ID repetido: actualizamos el mismo movimiento o separamos únicamente la parte realizada y el resto pendiente.",IF(AND(IF(ISNUMBER(F46),AND(F46&gt;=1,F46&lt;=2958465,F46=INT(F46)),FALSE),IF(ISNUMBER('CAJA'!$C$19),AND('CAJA'!$C$19&gt;=1,'CAJA'!$C$19&lt;=2958465,'CAJA'!$C$19=INT('CAJA'!$C$19)),FALSE),E46="Realizado",F46&gt;'CAJA'!$C$19),"Realizado en fecha posterior al corte: revisamos fecha y estado.",IF(AND(IF(ISNUMBER(F46),AND(F46&gt;=1,F46&lt;=2958465,F46=INT(F46)),FALSE),IF(ISNUMBER('CAJA'!$C$19),AND('CAJA'!$C$19&gt;=1,'CAJA'!$C$19&lt;=2958465,'CAJA'!$C$19=INT('CAJA'!$C$19)),FALSE),E46="Previsto",F46&lt;'CAJA'!$C$19),"Previsión vencida: actualizamos su fecha esperada o registramos el movimiento realizado; no lo damos por cobrado.",IF(AND(IF(ISNUMBER(F46),AND(F46&gt;=1,F46&lt;=2958465,F46=INT(F46)),FALSE),'CAJA'!$L$2=1,F46&lt;'CAJA'!$C$18),"Anterior al horizonte: revisamos si ya está en el saldo inicial para no contarlo dos veces.",IF(OR(AND(LEN(TRIM(G46&amp;""))&gt;0,NOT(IF(ISNUMBER(G46),AND(G46&gt;=0,G46=ROUND(G46,2)),FALSE))),AND(LEN(TRIM(F46&amp;""))&gt;0,NOT(IF(ISNUMBER(F46),AND(F46&gt;=1,F46&lt;=2958465,F46=INT(F46)),FALSE))),AND(LEN(TRIM(D46&amp;""))&gt;0,NOT(OR(D46="Cobro",D46="Pago"))),AND(LEN(TRIM(E46&amp;""))&gt;0,NOT(OR(E46="Previsto",E46="Realizado"))),AND(AND(LEN(TRIM(B46&amp;""))&gt;0,TRIM(B46)&lt;&gt;"Pendiente",TRIM(B46)&lt;&gt;"Por confirmar",TRIM(B46)&lt;&gt;"No consta",TRIM(B46)&lt;&gt;"Desconocido"),SUMPRODUCT(($L$10:$L$69=L46)*1)&gt;1),AND(IF(ISNUMBER(F46),AND(F46&gt;=1,F46&lt;=2958465,F46=INT(F46)),FALSE),IF(ISNUMBER('CAJA'!$C$19),AND('CAJA'!$C$19&gt;=1,'CAJA'!$C$19&lt;=2958465,'CAJA'!$C$19=INT('CAJA'!$C$19)),FALSE),OR(AND(E46="Realizado",F46&gt;'CAJA'!$C$19),AND(E46="Previsto",F46&lt;'CAJA'!$C$19))),AND(IF(ISNUMBER(F46),AND(F46&gt;=1,F46&lt;=2958465,F46=INT(F46)),FALSE),'CAJA'!$L$2=1,F46&lt;'CAJA'!$C$18)),"Revisamos fecha, importe positivo/cero explícito y opciones de sentido/estado. Fechas sin hora e importes a céntimos.",IF(NOT(AND(LEN(TRIM(B46&amp;""))&gt;0,TRIM(B46)&lt;&gt;"Pendiente",TRIM(B46)&lt;&gt;"Por confirmar",TRIM(B46)&lt;&gt;"No consta",TRIM(B46)&lt;&gt;"Desconocido")),"Asignamos un identificador único.",IF(NOT(AND(LEN(TRIM(C46&amp;""))&gt;0,TRIM(C46)&lt;&gt;"Pendiente",TRIM(C46)&lt;&gt;"Por confirmar",TRIM(C46)&lt;&gt;"No consta",TRIM(C46)&lt;&gt;"Desconocido")),"Identificamos el concepto.",IF(NOT(OR(D46="Cobro",D46="Pago")),"Elegimos Cobro o Pago.",IF(NOT(OR(E46="Previsto",E46="Realizado")),"Elegimos Previsto o Realizado según lo acreditado.",IF(NOT(IF(ISNUMBER(F46),AND(F46&gt;=1,F46&lt;=2958465,F46=INT(F46)),FALSE)),"Falta fecha/semana: un plazo relativo o la fecha de una oferta no bastan.",IF(NOT(IF(ISNUMBER(G46),AND(G46&gt;=0,G46=ROUND(G46,2)),FALSE)),"Falta importe efectivo; el total de presupuesto no acredita este movimiento.",IF(NOT(AND(LEN(TRIM(H46&amp;""))&gt;0,TRIM(H46)&lt;&gt;"Pendiente",TRIM(H46)&lt;&gt;"Por confirmar",TRIM(H46)&lt;&gt;"No consta",TRIM(H46)&lt;&gt;"Desconocido")),"Identificamos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CAJA.",IF(AND(IF(ISNUMBER(F46),AND(F46&gt;=1,F46&lt;=2958465,F46=INT(F46)),FALSE),'CAJA'!$L$2=1,F46&gt;='CAJA'!$L$9),"Fuera del horizonte: ampliamos semanas (hasta 26) o revisamos la ventana. Aquí no se suma.","Dato registrado para la previsión; el estado Realizado requiere su evidencia de cobro/pago."))))))))))))))))))</f>
      </c>
      <c r="K46" t="n" s="27">
        <f>IF(COUNTA(B46:H46)&gt;0,1,0)</f>
        <v>0</v>
      </c>
      <c r="L46" t="str" s="27">
        <f>IF(COUNTA(B46:H46)&gt;0,IFERROR("ID:"&amp;UPPER(TRIM(B46&amp;"")),""),"")</f>
      </c>
      <c r="M46" t="str" s="27">
        <f>IF(NOT(COUNTA(B46:H46)&gt;0),"",IF(OR(ISERROR(B46),ISERROR(C46),ISERROR(D46),ISERROR(E46),ISERROR(F46),ISERROR(G46),ISERROR(H46)),2,IF(OR(ISERROR('CAJA'!$C$17),ISERROR('CAJA'!$C$18),ISERROR('CAJA'!$C$19),ISERROR('CAJA'!$C$20),ISERROR('CAJA'!$C$21),ISERROR('CAJA'!$C$22),ISERROR('CAJA'!$C$23)),1,IF(OR(AND(LEN(TRIM(G46&amp;""))&gt;0,NOT(IF(ISNUMBER(G46),AND(G46&gt;=0,G46=ROUND(G46,2)),FALSE))),AND(LEN(TRIM(F46&amp;""))&gt;0,NOT(IF(ISNUMBER(F46),AND(F46&gt;=1,F46&lt;=2958465,F46=INT(F46)),FALSE))),AND(LEN(TRIM(D46&amp;""))&gt;0,NOT(OR(D46="Cobro",D46="Pago"))),AND(LEN(TRIM(E46&amp;""))&gt;0,NOT(OR(E46="Previsto",E46="Realizado"))),AND(AND(LEN(TRIM(B46&amp;""))&gt;0,TRIM(B46)&lt;&gt;"Pendiente",TRIM(B46)&lt;&gt;"Por confirmar",TRIM(B46)&lt;&gt;"No consta",TRIM(B46)&lt;&gt;"Desconocido"),SUMPRODUCT(($L$10:$L$69=L46)*1)&gt;1),AND(IF(ISNUMBER(F46),AND(F46&gt;=1,F46&lt;=2958465,F46=INT(F46)),FALSE),IF(ISNUMBER('CAJA'!$C$19),AND('CAJA'!$C$19&gt;=1,'CAJA'!$C$19&lt;=2958465,'CAJA'!$C$19=INT('CAJA'!$C$19)),FALSE),OR(AND(E46="Realizado",F46&gt;'CAJA'!$C$19),AND(E46="Previsto",F46&lt;'CAJA'!$C$19))),AND(IF(ISNUMBER(F46),AND(F46&gt;=1,F46&lt;=2958465,F46=INT(F46)),FALSE),'CAJA'!$L$2=1,F46&lt;'CAJA'!$C$18)),2,IF(AND(AND(LEN(TRIM(B46&amp;""))&gt;0,TRIM(B46)&lt;&gt;"Pendiente",TRIM(B46)&lt;&gt;"Por confirmar",TRIM(B46)&lt;&gt;"No consta",TRIM(B46)&lt;&gt;"Desconocido"),AND(LEN(TRIM(C46&amp;""))&gt;0,TRIM(C46)&lt;&gt;"Pendiente",TRIM(C46)&lt;&gt;"Por confirmar",TRIM(C46)&lt;&gt;"No consta",TRIM(C46)&lt;&gt;"Desconocido"),OR(D46="Cobro",D46="Pago"),OR(E46="Previsto",E46="Realizado"),IF(ISNUMBER(F46),AND(F46&gt;=1,F46&lt;=2958465,F46=INT(F46)),FALSE),IF(ISNUMBER(G46),AND(G46&gt;=0,G46=ROUND(G46,2)),FALSE),AND(LEN(TRIM(H46&amp;""))&gt;0,TRIM(H46)&lt;&gt;"Pendiente",TRIM(H46)&lt;&gt;"Por confirmar",TRIM(H46)&lt;&gt;"No consta",TRIM(H46)&lt;&gt;"Desconocido"),'CAJA'!$L$2=1,IF(ISNUMBER('CAJA'!$C$19),AND('CAJA'!$C$19&gt;=1,'CAJA'!$C$19&lt;=2958465,'CAJA'!$C$19=INT('CAJA'!$C$19)),FALSE),F46&gt;='CAJA'!$C$18,F46&lt;'CAJA'!$L$9,NOT(OR(AND(LEN(TRIM(G46&amp;""))&gt;0,NOT(IF(ISNUMBER(G46),AND(G46&gt;=0,G46=ROUND(G46,2)),FALSE))),AND(LEN(TRIM(F46&amp;""))&gt;0,NOT(IF(ISNUMBER(F46),AND(F46&gt;=1,F46&lt;=2958465,F46=INT(F46)),FALSE))),AND(LEN(TRIM(D46&amp;""))&gt;0,NOT(OR(D46="Cobro",D46="Pago"))),AND(LEN(TRIM(E46&amp;""))&gt;0,NOT(OR(E46="Previsto",E46="Realizado"))),AND(AND(LEN(TRIM(B46&amp;""))&gt;0,TRIM(B46)&lt;&gt;"Pendiente",TRIM(B46)&lt;&gt;"Por confirmar",TRIM(B46)&lt;&gt;"No consta",TRIM(B46)&lt;&gt;"Desconocido"),SUMPRODUCT(($L$10:$L$69=L46)*1)&gt;1),AND(IF(ISNUMBER(F46),AND(F46&gt;=1,F46&lt;=2958465,F46=INT(F46)),FALSE),IF(ISNUMBER('CAJA'!$C$19),AND('CAJA'!$C$19&gt;=1,'CAJA'!$C$19&lt;=2958465,'CAJA'!$C$19=INT('CAJA'!$C$19)),FALSE),OR(AND(E46="Realizado",F46&gt;'CAJA'!$C$19),AND(E46="Previsto",F46&lt;'CAJA'!$C$19))),AND(IF(ISNUMBER(F46),AND(F46&gt;=1,F46&lt;=2958465,F46=INT(F46)),FALSE),'CAJA'!$L$2=1,F46&lt;'CAJA'!$C$18)))),0,1)))))</f>
      </c>
      <c r="N46" t="n" s="27">
        <f>IF(AND(K46=1,ISNUMBER(M46),M46=0),1,0)</f>
        <v>0</v>
      </c>
      <c r="O46" t="str" s="27">
        <f>IF(IF(ISNUMBER(F46),AND(F46&gt;=1,F46&lt;=2958465,F46=INT(F46)),FALSE),F46-WEEKDAY(F46,2)+1,"")</f>
      </c>
      <c r="P46" t="n" s="27">
        <f>IF(AND(K46=1,ISNUMBER(M46),M46&gt;0),IF(NOT(IF(ISNUMBER(F46),AND(F46&gt;=1,F46&lt;=2958465,F46=INT(F46)),FALSE)),1,IF('CAJA'!$L$2&lt;&gt;1,1,IF(OR(F46&lt;'CAJA'!$C$18,F46&gt;='CAJA'!$L$9),1,0))),0)</f>
        <v>0</v>
      </c>
    </row>
    <row r="47" ht="69" customHeight="1">
      <c r="B47" s="34"/>
      <c r="C47" s="34"/>
      <c r="D47" s="34"/>
      <c r="E47" s="34"/>
      <c r="F47" s="35"/>
      <c r="G47" s="36"/>
      <c r="H47" s="34"/>
      <c r="I47" s="33" t="str">
        <f>IF(K47=0,"",IF(M47=2,"ROJO",IF(M47=1,"ÁMBAR","VERDE")))</f>
      </c>
      <c r="J47" s="33" t="str">
        <f>IF(K47=0,"",IF(OR(ISERROR(B47),ISERROR(C47),ISERROR(D47),ISERROR(E47),ISERROR(F47),ISERROR(G47),ISERROR(H47)),"Hay una entrada con error de fórmula. Corregimos el dato; no lo convertimos en cero.",IF(OR(ISERROR('CAJA'!$C$17),ISERROR('CAJA'!$C$18),ISERROR('CAJA'!$C$19),ISERROR('CAJA'!$C$20),ISERROR('CAJA'!$C$21),ISERROR('CAJA'!$C$22),ISERROR('CAJA'!$C$23)),"Corregimos la entrada con error en CAJA antes de validar el movimiento.",IF(AND(AND(LEN(TRIM(B47&amp;""))&gt;0,TRIM(B47)&lt;&gt;"Pendiente",TRIM(B47)&lt;&gt;"Por confirmar",TRIM(B47)&lt;&gt;"No consta",TRIM(B47)&lt;&gt;"Desconocido"),SUMPRODUCT(($L$10:$L$69=L47)*1)&gt;1),"ID repetido: actualizamos el mismo movimiento o separamos únicamente la parte realizada y el resto pendiente.",IF(AND(IF(ISNUMBER(F47),AND(F47&gt;=1,F47&lt;=2958465,F47=INT(F47)),FALSE),IF(ISNUMBER('CAJA'!$C$19),AND('CAJA'!$C$19&gt;=1,'CAJA'!$C$19&lt;=2958465,'CAJA'!$C$19=INT('CAJA'!$C$19)),FALSE),E47="Realizado",F47&gt;'CAJA'!$C$19),"Realizado en fecha posterior al corte: revisamos fecha y estado.",IF(AND(IF(ISNUMBER(F47),AND(F47&gt;=1,F47&lt;=2958465,F47=INT(F47)),FALSE),IF(ISNUMBER('CAJA'!$C$19),AND('CAJA'!$C$19&gt;=1,'CAJA'!$C$19&lt;=2958465,'CAJA'!$C$19=INT('CAJA'!$C$19)),FALSE),E47="Previsto",F47&lt;'CAJA'!$C$19),"Previsión vencida: actualizamos su fecha esperada o registramos el movimiento realizado; no lo damos por cobrado.",IF(AND(IF(ISNUMBER(F47),AND(F47&gt;=1,F47&lt;=2958465,F47=INT(F47)),FALSE),'CAJA'!$L$2=1,F47&lt;'CAJA'!$C$18),"Anterior al horizonte: revisamos si ya está en el saldo inicial para no contarlo dos veces.",IF(OR(AND(LEN(TRIM(G47&amp;""))&gt;0,NOT(IF(ISNUMBER(G47),AND(G47&gt;=0,G47=ROUND(G47,2)),FALSE))),AND(LEN(TRIM(F47&amp;""))&gt;0,NOT(IF(ISNUMBER(F47),AND(F47&gt;=1,F47&lt;=2958465,F47=INT(F47)),FALSE))),AND(LEN(TRIM(D47&amp;""))&gt;0,NOT(OR(D47="Cobro",D47="Pago"))),AND(LEN(TRIM(E47&amp;""))&gt;0,NOT(OR(E47="Previsto",E47="Realizado"))),AND(AND(LEN(TRIM(B47&amp;""))&gt;0,TRIM(B47)&lt;&gt;"Pendiente",TRIM(B47)&lt;&gt;"Por confirmar",TRIM(B47)&lt;&gt;"No consta",TRIM(B47)&lt;&gt;"Desconocido"),SUMPRODUCT(($L$10:$L$69=L47)*1)&gt;1),AND(IF(ISNUMBER(F47),AND(F47&gt;=1,F47&lt;=2958465,F47=INT(F47)),FALSE),IF(ISNUMBER('CAJA'!$C$19),AND('CAJA'!$C$19&gt;=1,'CAJA'!$C$19&lt;=2958465,'CAJA'!$C$19=INT('CAJA'!$C$19)),FALSE),OR(AND(E47="Realizado",F47&gt;'CAJA'!$C$19),AND(E47="Previsto",F47&lt;'CAJA'!$C$19))),AND(IF(ISNUMBER(F47),AND(F47&gt;=1,F47&lt;=2958465,F47=INT(F47)),FALSE),'CAJA'!$L$2=1,F47&lt;'CAJA'!$C$18)),"Revisamos fecha, importe positivo/cero explícito y opciones de sentido/estado. Fechas sin hora e importes a céntimos.",IF(NOT(AND(LEN(TRIM(B47&amp;""))&gt;0,TRIM(B47)&lt;&gt;"Pendiente",TRIM(B47)&lt;&gt;"Por confirmar",TRIM(B47)&lt;&gt;"No consta",TRIM(B47)&lt;&gt;"Desconocido")),"Asignamos un identificador único.",IF(NOT(AND(LEN(TRIM(C47&amp;""))&gt;0,TRIM(C47)&lt;&gt;"Pendiente",TRIM(C47)&lt;&gt;"Por confirmar",TRIM(C47)&lt;&gt;"No consta",TRIM(C47)&lt;&gt;"Desconocido")),"Identificamos el concepto.",IF(NOT(OR(D47="Cobro",D47="Pago")),"Elegimos Cobro o Pago.",IF(NOT(OR(E47="Previsto",E47="Realizado")),"Elegimos Previsto o Realizado según lo acreditado.",IF(NOT(IF(ISNUMBER(F47),AND(F47&gt;=1,F47&lt;=2958465,F47=INT(F47)),FALSE)),"Falta fecha/semana: un plazo relativo o la fecha de una oferta no bastan.",IF(NOT(IF(ISNUMBER(G47),AND(G47&gt;=0,G47=ROUND(G47,2)),FALSE)),"Falta importe efectivo; el total de presupuesto no acredita este movimiento.",IF(NOT(AND(LEN(TRIM(H47&amp;""))&gt;0,TRIM(H47)&lt;&gt;"Pendiente",TRIM(H47)&lt;&gt;"Por confirmar",TRIM(H47)&lt;&gt;"No consta",TRIM(H47)&lt;&gt;"Desconocido")),"Identificamos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CAJA.",IF(AND(IF(ISNUMBER(F47),AND(F47&gt;=1,F47&lt;=2958465,F47=INT(F47)),FALSE),'CAJA'!$L$2=1,F47&gt;='CAJA'!$L$9),"Fuera del horizonte: ampliamos semanas (hasta 26) o revisamos la ventana. Aquí no se suma.","Dato registrado para la previsión; el estado Realizado requiere su evidencia de cobro/pago."))))))))))))))))))</f>
      </c>
      <c r="K47" t="n" s="27">
        <f>IF(COUNTA(B47:H47)&gt;0,1,0)</f>
        <v>0</v>
      </c>
      <c r="L47" t="str" s="27">
        <f>IF(COUNTA(B47:H47)&gt;0,IFERROR("ID:"&amp;UPPER(TRIM(B47&amp;"")),""),"")</f>
      </c>
      <c r="M47" t="str" s="27">
        <f>IF(NOT(COUNTA(B47:H47)&gt;0),"",IF(OR(ISERROR(B47),ISERROR(C47),ISERROR(D47),ISERROR(E47),ISERROR(F47),ISERROR(G47),ISERROR(H47)),2,IF(OR(ISERROR('CAJA'!$C$17),ISERROR('CAJA'!$C$18),ISERROR('CAJA'!$C$19),ISERROR('CAJA'!$C$20),ISERROR('CAJA'!$C$21),ISERROR('CAJA'!$C$22),ISERROR('CAJA'!$C$23)),1,IF(OR(AND(LEN(TRIM(G47&amp;""))&gt;0,NOT(IF(ISNUMBER(G47),AND(G47&gt;=0,G47=ROUND(G47,2)),FALSE))),AND(LEN(TRIM(F47&amp;""))&gt;0,NOT(IF(ISNUMBER(F47),AND(F47&gt;=1,F47&lt;=2958465,F47=INT(F47)),FALSE))),AND(LEN(TRIM(D47&amp;""))&gt;0,NOT(OR(D47="Cobro",D47="Pago"))),AND(LEN(TRIM(E47&amp;""))&gt;0,NOT(OR(E47="Previsto",E47="Realizado"))),AND(AND(LEN(TRIM(B47&amp;""))&gt;0,TRIM(B47)&lt;&gt;"Pendiente",TRIM(B47)&lt;&gt;"Por confirmar",TRIM(B47)&lt;&gt;"No consta",TRIM(B47)&lt;&gt;"Desconocido"),SUMPRODUCT(($L$10:$L$69=L47)*1)&gt;1),AND(IF(ISNUMBER(F47),AND(F47&gt;=1,F47&lt;=2958465,F47=INT(F47)),FALSE),IF(ISNUMBER('CAJA'!$C$19),AND('CAJA'!$C$19&gt;=1,'CAJA'!$C$19&lt;=2958465,'CAJA'!$C$19=INT('CAJA'!$C$19)),FALSE),OR(AND(E47="Realizado",F47&gt;'CAJA'!$C$19),AND(E47="Previsto",F47&lt;'CAJA'!$C$19))),AND(IF(ISNUMBER(F47),AND(F47&gt;=1,F47&lt;=2958465,F47=INT(F47)),FALSE),'CAJA'!$L$2=1,F47&lt;'CAJA'!$C$18)),2,IF(AND(AND(LEN(TRIM(B47&amp;""))&gt;0,TRIM(B47)&lt;&gt;"Pendiente",TRIM(B47)&lt;&gt;"Por confirmar",TRIM(B47)&lt;&gt;"No consta",TRIM(B47)&lt;&gt;"Desconocido"),AND(LEN(TRIM(C47&amp;""))&gt;0,TRIM(C47)&lt;&gt;"Pendiente",TRIM(C47)&lt;&gt;"Por confirmar",TRIM(C47)&lt;&gt;"No consta",TRIM(C47)&lt;&gt;"Desconocido"),OR(D47="Cobro",D47="Pago"),OR(E47="Previsto",E47="Realizado"),IF(ISNUMBER(F47),AND(F47&gt;=1,F47&lt;=2958465,F47=INT(F47)),FALSE),IF(ISNUMBER(G47),AND(G47&gt;=0,G47=ROUND(G47,2)),FALSE),AND(LEN(TRIM(H47&amp;""))&gt;0,TRIM(H47)&lt;&gt;"Pendiente",TRIM(H47)&lt;&gt;"Por confirmar",TRIM(H47)&lt;&gt;"No consta",TRIM(H47)&lt;&gt;"Desconocido"),'CAJA'!$L$2=1,IF(ISNUMBER('CAJA'!$C$19),AND('CAJA'!$C$19&gt;=1,'CAJA'!$C$19&lt;=2958465,'CAJA'!$C$19=INT('CAJA'!$C$19)),FALSE),F47&gt;='CAJA'!$C$18,F47&lt;'CAJA'!$L$9,NOT(OR(AND(LEN(TRIM(G47&amp;""))&gt;0,NOT(IF(ISNUMBER(G47),AND(G47&gt;=0,G47=ROUND(G47,2)),FALSE))),AND(LEN(TRIM(F47&amp;""))&gt;0,NOT(IF(ISNUMBER(F47),AND(F47&gt;=1,F47&lt;=2958465,F47=INT(F47)),FALSE))),AND(LEN(TRIM(D47&amp;""))&gt;0,NOT(OR(D47="Cobro",D47="Pago"))),AND(LEN(TRIM(E47&amp;""))&gt;0,NOT(OR(E47="Previsto",E47="Realizado"))),AND(AND(LEN(TRIM(B47&amp;""))&gt;0,TRIM(B47)&lt;&gt;"Pendiente",TRIM(B47)&lt;&gt;"Por confirmar",TRIM(B47)&lt;&gt;"No consta",TRIM(B47)&lt;&gt;"Desconocido"),SUMPRODUCT(($L$10:$L$69=L47)*1)&gt;1),AND(IF(ISNUMBER(F47),AND(F47&gt;=1,F47&lt;=2958465,F47=INT(F47)),FALSE),IF(ISNUMBER('CAJA'!$C$19),AND('CAJA'!$C$19&gt;=1,'CAJA'!$C$19&lt;=2958465,'CAJA'!$C$19=INT('CAJA'!$C$19)),FALSE),OR(AND(E47="Realizado",F47&gt;'CAJA'!$C$19),AND(E47="Previsto",F47&lt;'CAJA'!$C$19))),AND(IF(ISNUMBER(F47),AND(F47&gt;=1,F47&lt;=2958465,F47=INT(F47)),FALSE),'CAJA'!$L$2=1,F47&lt;'CAJA'!$C$18)))),0,1)))))</f>
      </c>
      <c r="N47" t="n" s="27">
        <f>IF(AND(K47=1,ISNUMBER(M47),M47=0),1,0)</f>
        <v>0</v>
      </c>
      <c r="O47" t="str" s="27">
        <f>IF(IF(ISNUMBER(F47),AND(F47&gt;=1,F47&lt;=2958465,F47=INT(F47)),FALSE),F47-WEEKDAY(F47,2)+1,"")</f>
      </c>
      <c r="P47" t="n" s="27">
        <f>IF(AND(K47=1,ISNUMBER(M47),M47&gt;0),IF(NOT(IF(ISNUMBER(F47),AND(F47&gt;=1,F47&lt;=2958465,F47=INT(F47)),FALSE)),1,IF('CAJA'!$L$2&lt;&gt;1,1,IF(OR(F47&lt;'CAJA'!$C$18,F47&gt;='CAJA'!$L$9),1,0))),0)</f>
        <v>0</v>
      </c>
    </row>
    <row r="48" ht="69" customHeight="1">
      <c r="B48" s="34"/>
      <c r="C48" s="34"/>
      <c r="D48" s="34"/>
      <c r="E48" s="34"/>
      <c r="F48" s="35"/>
      <c r="G48" s="36"/>
      <c r="H48" s="34"/>
      <c r="I48" s="33" t="str">
        <f>IF(K48=0,"",IF(M48=2,"ROJO",IF(M48=1,"ÁMBAR","VERDE")))</f>
      </c>
      <c r="J48" s="33" t="str">
        <f>IF(K48=0,"",IF(OR(ISERROR(B48),ISERROR(C48),ISERROR(D48),ISERROR(E48),ISERROR(F48),ISERROR(G48),ISERROR(H48)),"Hay una entrada con error de fórmula. Corregimos el dato; no lo convertimos en cero.",IF(OR(ISERROR('CAJA'!$C$17),ISERROR('CAJA'!$C$18),ISERROR('CAJA'!$C$19),ISERROR('CAJA'!$C$20),ISERROR('CAJA'!$C$21),ISERROR('CAJA'!$C$22),ISERROR('CAJA'!$C$23)),"Corregimos la entrada con error en CAJA antes de validar el movimiento.",IF(AND(AND(LEN(TRIM(B48&amp;""))&gt;0,TRIM(B48)&lt;&gt;"Pendiente",TRIM(B48)&lt;&gt;"Por confirmar",TRIM(B48)&lt;&gt;"No consta",TRIM(B48)&lt;&gt;"Desconocido"),SUMPRODUCT(($L$10:$L$69=L48)*1)&gt;1),"ID repetido: actualizamos el mismo movimiento o separamos únicamente la parte realizada y el resto pendiente.",IF(AND(IF(ISNUMBER(F48),AND(F48&gt;=1,F48&lt;=2958465,F48=INT(F48)),FALSE),IF(ISNUMBER('CAJA'!$C$19),AND('CAJA'!$C$19&gt;=1,'CAJA'!$C$19&lt;=2958465,'CAJA'!$C$19=INT('CAJA'!$C$19)),FALSE),E48="Realizado",F48&gt;'CAJA'!$C$19),"Realizado en fecha posterior al corte: revisamos fecha y estado.",IF(AND(IF(ISNUMBER(F48),AND(F48&gt;=1,F48&lt;=2958465,F48=INT(F48)),FALSE),IF(ISNUMBER('CAJA'!$C$19),AND('CAJA'!$C$19&gt;=1,'CAJA'!$C$19&lt;=2958465,'CAJA'!$C$19=INT('CAJA'!$C$19)),FALSE),E48="Previsto",F48&lt;'CAJA'!$C$19),"Previsión vencida: actualizamos su fecha esperada o registramos el movimiento realizado; no lo damos por cobrado.",IF(AND(IF(ISNUMBER(F48),AND(F48&gt;=1,F48&lt;=2958465,F48=INT(F48)),FALSE),'CAJA'!$L$2=1,F48&lt;'CAJA'!$C$18),"Anterior al horizonte: revisamos si ya está en el saldo inicial para no contarlo dos veces.",IF(OR(AND(LEN(TRIM(G48&amp;""))&gt;0,NOT(IF(ISNUMBER(G48),AND(G48&gt;=0,G48=ROUND(G48,2)),FALSE))),AND(LEN(TRIM(F48&amp;""))&gt;0,NOT(IF(ISNUMBER(F48),AND(F48&gt;=1,F48&lt;=2958465,F48=INT(F48)),FALSE))),AND(LEN(TRIM(D48&amp;""))&gt;0,NOT(OR(D48="Cobro",D48="Pago"))),AND(LEN(TRIM(E48&amp;""))&gt;0,NOT(OR(E48="Previsto",E48="Realizado"))),AND(AND(LEN(TRIM(B48&amp;""))&gt;0,TRIM(B48)&lt;&gt;"Pendiente",TRIM(B48)&lt;&gt;"Por confirmar",TRIM(B48)&lt;&gt;"No consta",TRIM(B48)&lt;&gt;"Desconocido"),SUMPRODUCT(($L$10:$L$69=L48)*1)&gt;1),AND(IF(ISNUMBER(F48),AND(F48&gt;=1,F48&lt;=2958465,F48=INT(F48)),FALSE),IF(ISNUMBER('CAJA'!$C$19),AND('CAJA'!$C$19&gt;=1,'CAJA'!$C$19&lt;=2958465,'CAJA'!$C$19=INT('CAJA'!$C$19)),FALSE),OR(AND(E48="Realizado",F48&gt;'CAJA'!$C$19),AND(E48="Previsto",F48&lt;'CAJA'!$C$19))),AND(IF(ISNUMBER(F48),AND(F48&gt;=1,F48&lt;=2958465,F48=INT(F48)),FALSE),'CAJA'!$L$2=1,F48&lt;'CAJA'!$C$18)),"Revisamos fecha, importe positivo/cero explícito y opciones de sentido/estado. Fechas sin hora e importes a céntimos.",IF(NOT(AND(LEN(TRIM(B48&amp;""))&gt;0,TRIM(B48)&lt;&gt;"Pendiente",TRIM(B48)&lt;&gt;"Por confirmar",TRIM(B48)&lt;&gt;"No consta",TRIM(B48)&lt;&gt;"Desconocido")),"Asignamos un identificador único.",IF(NOT(AND(LEN(TRIM(C48&amp;""))&gt;0,TRIM(C48)&lt;&gt;"Pendiente",TRIM(C48)&lt;&gt;"Por confirmar",TRIM(C48)&lt;&gt;"No consta",TRIM(C48)&lt;&gt;"Desconocido")),"Identificamos el concepto.",IF(NOT(OR(D48="Cobro",D48="Pago")),"Elegimos Cobro o Pago.",IF(NOT(OR(E48="Previsto",E48="Realizado")),"Elegimos Previsto o Realizado según lo acreditado.",IF(NOT(IF(ISNUMBER(F48),AND(F48&gt;=1,F48&lt;=2958465,F48=INT(F48)),FALSE)),"Falta fecha/semana: un plazo relativo o la fecha de una oferta no bastan.",IF(NOT(IF(ISNUMBER(G48),AND(G48&gt;=0,G48=ROUND(G48,2)),FALSE)),"Falta importe efectivo; el total de presupuesto no acredita este movimiento.",IF(NOT(AND(LEN(TRIM(H48&amp;""))&gt;0,TRIM(H48)&lt;&gt;"Pendiente",TRIM(H48)&lt;&gt;"Por confirmar",TRIM(H48)&lt;&gt;"No consta",TRIM(H48)&lt;&gt;"Desconocido")),"Identificamos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CAJA.",IF(AND(IF(ISNUMBER(F48),AND(F48&gt;=1,F48&lt;=2958465,F48=INT(F48)),FALSE),'CAJA'!$L$2=1,F48&gt;='CAJA'!$L$9),"Fuera del horizonte: ampliamos semanas (hasta 26) o revisamos la ventana. Aquí no se suma.","Dato registrado para la previsión; el estado Realizado requiere su evidencia de cobro/pago."))))))))))))))))))</f>
      </c>
      <c r="K48" t="n" s="27">
        <f>IF(COUNTA(B48:H48)&gt;0,1,0)</f>
        <v>0</v>
      </c>
      <c r="L48" t="str" s="27">
        <f>IF(COUNTA(B48:H48)&gt;0,IFERROR("ID:"&amp;UPPER(TRIM(B48&amp;"")),""),"")</f>
      </c>
      <c r="M48" t="str" s="27">
        <f>IF(NOT(COUNTA(B48:H48)&gt;0),"",IF(OR(ISERROR(B48),ISERROR(C48),ISERROR(D48),ISERROR(E48),ISERROR(F48),ISERROR(G48),ISERROR(H48)),2,IF(OR(ISERROR('CAJA'!$C$17),ISERROR('CAJA'!$C$18),ISERROR('CAJA'!$C$19),ISERROR('CAJA'!$C$20),ISERROR('CAJA'!$C$21),ISERROR('CAJA'!$C$22),ISERROR('CAJA'!$C$23)),1,IF(OR(AND(LEN(TRIM(G48&amp;""))&gt;0,NOT(IF(ISNUMBER(G48),AND(G48&gt;=0,G48=ROUND(G48,2)),FALSE))),AND(LEN(TRIM(F48&amp;""))&gt;0,NOT(IF(ISNUMBER(F48),AND(F48&gt;=1,F48&lt;=2958465,F48=INT(F48)),FALSE))),AND(LEN(TRIM(D48&amp;""))&gt;0,NOT(OR(D48="Cobro",D48="Pago"))),AND(LEN(TRIM(E48&amp;""))&gt;0,NOT(OR(E48="Previsto",E48="Realizado"))),AND(AND(LEN(TRIM(B48&amp;""))&gt;0,TRIM(B48)&lt;&gt;"Pendiente",TRIM(B48)&lt;&gt;"Por confirmar",TRIM(B48)&lt;&gt;"No consta",TRIM(B48)&lt;&gt;"Desconocido"),SUMPRODUCT(($L$10:$L$69=L48)*1)&gt;1),AND(IF(ISNUMBER(F48),AND(F48&gt;=1,F48&lt;=2958465,F48=INT(F48)),FALSE),IF(ISNUMBER('CAJA'!$C$19),AND('CAJA'!$C$19&gt;=1,'CAJA'!$C$19&lt;=2958465,'CAJA'!$C$19=INT('CAJA'!$C$19)),FALSE),OR(AND(E48="Realizado",F48&gt;'CAJA'!$C$19),AND(E48="Previsto",F48&lt;'CAJA'!$C$19))),AND(IF(ISNUMBER(F48),AND(F48&gt;=1,F48&lt;=2958465,F48=INT(F48)),FALSE),'CAJA'!$L$2=1,F48&lt;'CAJA'!$C$18)),2,IF(AND(AND(LEN(TRIM(B48&amp;""))&gt;0,TRIM(B48)&lt;&gt;"Pendiente",TRIM(B48)&lt;&gt;"Por confirmar",TRIM(B48)&lt;&gt;"No consta",TRIM(B48)&lt;&gt;"Desconocido"),AND(LEN(TRIM(C48&amp;""))&gt;0,TRIM(C48)&lt;&gt;"Pendiente",TRIM(C48)&lt;&gt;"Por confirmar",TRIM(C48)&lt;&gt;"No consta",TRIM(C48)&lt;&gt;"Desconocido"),OR(D48="Cobro",D48="Pago"),OR(E48="Previsto",E48="Realizado"),IF(ISNUMBER(F48),AND(F48&gt;=1,F48&lt;=2958465,F48=INT(F48)),FALSE),IF(ISNUMBER(G48),AND(G48&gt;=0,G48=ROUND(G48,2)),FALSE),AND(LEN(TRIM(H48&amp;""))&gt;0,TRIM(H48)&lt;&gt;"Pendiente",TRIM(H48)&lt;&gt;"Por confirmar",TRIM(H48)&lt;&gt;"No consta",TRIM(H48)&lt;&gt;"Desconocido"),'CAJA'!$L$2=1,IF(ISNUMBER('CAJA'!$C$19),AND('CAJA'!$C$19&gt;=1,'CAJA'!$C$19&lt;=2958465,'CAJA'!$C$19=INT('CAJA'!$C$19)),FALSE),F48&gt;='CAJA'!$C$18,F48&lt;'CAJA'!$L$9,NOT(OR(AND(LEN(TRIM(G48&amp;""))&gt;0,NOT(IF(ISNUMBER(G48),AND(G48&gt;=0,G48=ROUND(G48,2)),FALSE))),AND(LEN(TRIM(F48&amp;""))&gt;0,NOT(IF(ISNUMBER(F48),AND(F48&gt;=1,F48&lt;=2958465,F48=INT(F48)),FALSE))),AND(LEN(TRIM(D48&amp;""))&gt;0,NOT(OR(D48="Cobro",D48="Pago"))),AND(LEN(TRIM(E48&amp;""))&gt;0,NOT(OR(E48="Previsto",E48="Realizado"))),AND(AND(LEN(TRIM(B48&amp;""))&gt;0,TRIM(B48)&lt;&gt;"Pendiente",TRIM(B48)&lt;&gt;"Por confirmar",TRIM(B48)&lt;&gt;"No consta",TRIM(B48)&lt;&gt;"Desconocido"),SUMPRODUCT(($L$10:$L$69=L48)*1)&gt;1),AND(IF(ISNUMBER(F48),AND(F48&gt;=1,F48&lt;=2958465,F48=INT(F48)),FALSE),IF(ISNUMBER('CAJA'!$C$19),AND('CAJA'!$C$19&gt;=1,'CAJA'!$C$19&lt;=2958465,'CAJA'!$C$19=INT('CAJA'!$C$19)),FALSE),OR(AND(E48="Realizado",F48&gt;'CAJA'!$C$19),AND(E48="Previsto",F48&lt;'CAJA'!$C$19))),AND(IF(ISNUMBER(F48),AND(F48&gt;=1,F48&lt;=2958465,F48=INT(F48)),FALSE),'CAJA'!$L$2=1,F48&lt;'CAJA'!$C$18)))),0,1)))))</f>
      </c>
      <c r="N48" t="n" s="27">
        <f>IF(AND(K48=1,ISNUMBER(M48),M48=0),1,0)</f>
        <v>0</v>
      </c>
      <c r="O48" t="str" s="27">
        <f>IF(IF(ISNUMBER(F48),AND(F48&gt;=1,F48&lt;=2958465,F48=INT(F48)),FALSE),F48-WEEKDAY(F48,2)+1,"")</f>
      </c>
      <c r="P48" t="n" s="27">
        <f>IF(AND(K48=1,ISNUMBER(M48),M48&gt;0),IF(NOT(IF(ISNUMBER(F48),AND(F48&gt;=1,F48&lt;=2958465,F48=INT(F48)),FALSE)),1,IF('CAJA'!$L$2&lt;&gt;1,1,IF(OR(F48&lt;'CAJA'!$C$18,F48&gt;='CAJA'!$L$9),1,0))),0)</f>
        <v>0</v>
      </c>
    </row>
    <row r="49" ht="69" customHeight="1">
      <c r="B49" s="34"/>
      <c r="C49" s="34"/>
      <c r="D49" s="34"/>
      <c r="E49" s="34"/>
      <c r="F49" s="35"/>
      <c r="G49" s="36"/>
      <c r="H49" s="34"/>
      <c r="I49" s="33" t="str">
        <f>IF(K49=0,"",IF(M49=2,"ROJO",IF(M49=1,"ÁMBAR","VERDE")))</f>
      </c>
      <c r="J49" s="33" t="str">
        <f>IF(K49=0,"",IF(OR(ISERROR(B49),ISERROR(C49),ISERROR(D49),ISERROR(E49),ISERROR(F49),ISERROR(G49),ISERROR(H49)),"Hay una entrada con error de fórmula. Corregimos el dato; no lo convertimos en cero.",IF(OR(ISERROR('CAJA'!$C$17),ISERROR('CAJA'!$C$18),ISERROR('CAJA'!$C$19),ISERROR('CAJA'!$C$20),ISERROR('CAJA'!$C$21),ISERROR('CAJA'!$C$22),ISERROR('CAJA'!$C$23)),"Corregimos la entrada con error en CAJA antes de validar el movimiento.",IF(AND(AND(LEN(TRIM(B49&amp;""))&gt;0,TRIM(B49)&lt;&gt;"Pendiente",TRIM(B49)&lt;&gt;"Por confirmar",TRIM(B49)&lt;&gt;"No consta",TRIM(B49)&lt;&gt;"Desconocido"),SUMPRODUCT(($L$10:$L$69=L49)*1)&gt;1),"ID repetido: actualizamos el mismo movimiento o separamos únicamente la parte realizada y el resto pendiente.",IF(AND(IF(ISNUMBER(F49),AND(F49&gt;=1,F49&lt;=2958465,F49=INT(F49)),FALSE),IF(ISNUMBER('CAJA'!$C$19),AND('CAJA'!$C$19&gt;=1,'CAJA'!$C$19&lt;=2958465,'CAJA'!$C$19=INT('CAJA'!$C$19)),FALSE),E49="Realizado",F49&gt;'CAJA'!$C$19),"Realizado en fecha posterior al corte: revisamos fecha y estado.",IF(AND(IF(ISNUMBER(F49),AND(F49&gt;=1,F49&lt;=2958465,F49=INT(F49)),FALSE),IF(ISNUMBER('CAJA'!$C$19),AND('CAJA'!$C$19&gt;=1,'CAJA'!$C$19&lt;=2958465,'CAJA'!$C$19=INT('CAJA'!$C$19)),FALSE),E49="Previsto",F49&lt;'CAJA'!$C$19),"Previsión vencida: actualizamos su fecha esperada o registramos el movimiento realizado; no lo damos por cobrado.",IF(AND(IF(ISNUMBER(F49),AND(F49&gt;=1,F49&lt;=2958465,F49=INT(F49)),FALSE),'CAJA'!$L$2=1,F49&lt;'CAJA'!$C$18),"Anterior al horizonte: revisamos si ya está en el saldo inicial para no contarlo dos veces.",IF(OR(AND(LEN(TRIM(G49&amp;""))&gt;0,NOT(IF(ISNUMBER(G49),AND(G49&gt;=0,G49=ROUND(G49,2)),FALSE))),AND(LEN(TRIM(F49&amp;""))&gt;0,NOT(IF(ISNUMBER(F49),AND(F49&gt;=1,F49&lt;=2958465,F49=INT(F49)),FALSE))),AND(LEN(TRIM(D49&amp;""))&gt;0,NOT(OR(D49="Cobro",D49="Pago"))),AND(LEN(TRIM(E49&amp;""))&gt;0,NOT(OR(E49="Previsto",E49="Realizado"))),AND(AND(LEN(TRIM(B49&amp;""))&gt;0,TRIM(B49)&lt;&gt;"Pendiente",TRIM(B49)&lt;&gt;"Por confirmar",TRIM(B49)&lt;&gt;"No consta",TRIM(B49)&lt;&gt;"Desconocido"),SUMPRODUCT(($L$10:$L$69=L49)*1)&gt;1),AND(IF(ISNUMBER(F49),AND(F49&gt;=1,F49&lt;=2958465,F49=INT(F49)),FALSE),IF(ISNUMBER('CAJA'!$C$19),AND('CAJA'!$C$19&gt;=1,'CAJA'!$C$19&lt;=2958465,'CAJA'!$C$19=INT('CAJA'!$C$19)),FALSE),OR(AND(E49="Realizado",F49&gt;'CAJA'!$C$19),AND(E49="Previsto",F49&lt;'CAJA'!$C$19))),AND(IF(ISNUMBER(F49),AND(F49&gt;=1,F49&lt;=2958465,F49=INT(F49)),FALSE),'CAJA'!$L$2=1,F49&lt;'CAJA'!$C$18)),"Revisamos fecha, importe positivo/cero explícito y opciones de sentido/estado. Fechas sin hora e importes a céntimos.",IF(NOT(AND(LEN(TRIM(B49&amp;""))&gt;0,TRIM(B49)&lt;&gt;"Pendiente",TRIM(B49)&lt;&gt;"Por confirmar",TRIM(B49)&lt;&gt;"No consta",TRIM(B49)&lt;&gt;"Desconocido")),"Asignamos un identificador único.",IF(NOT(AND(LEN(TRIM(C49&amp;""))&gt;0,TRIM(C49)&lt;&gt;"Pendiente",TRIM(C49)&lt;&gt;"Por confirmar",TRIM(C49)&lt;&gt;"No consta",TRIM(C49)&lt;&gt;"Desconocido")),"Identificamos el concepto.",IF(NOT(OR(D49="Cobro",D49="Pago")),"Elegimos Cobro o Pago.",IF(NOT(OR(E49="Previsto",E49="Realizado")),"Elegimos Previsto o Realizado según lo acreditado.",IF(NOT(IF(ISNUMBER(F49),AND(F49&gt;=1,F49&lt;=2958465,F49=INT(F49)),FALSE)),"Falta fecha/semana: un plazo relativo o la fecha de una oferta no bastan.",IF(NOT(IF(ISNUMBER(G49),AND(G49&gt;=0,G49=ROUND(G49,2)),FALSE)),"Falta importe efectivo; el total de presupuesto no acredita este movimiento.",IF(NOT(AND(LEN(TRIM(H49&amp;""))&gt;0,TRIM(H49)&lt;&gt;"Pendiente",TRIM(H49)&lt;&gt;"Por confirmar",TRIM(H49)&lt;&gt;"No consta",TRIM(H49)&lt;&gt;"Desconocido")),"Identificamos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CAJA.",IF(AND(IF(ISNUMBER(F49),AND(F49&gt;=1,F49&lt;=2958465,F49=INT(F49)),FALSE),'CAJA'!$L$2=1,F49&gt;='CAJA'!$L$9),"Fuera del horizonte: ampliamos semanas (hasta 26) o revisamos la ventana. Aquí no se suma.","Dato registrado para la previsión; el estado Realizado requiere su evidencia de cobro/pago."))))))))))))))))))</f>
      </c>
      <c r="K49" t="n" s="27">
        <f>IF(COUNTA(B49:H49)&gt;0,1,0)</f>
        <v>0</v>
      </c>
      <c r="L49" t="str" s="27">
        <f>IF(COUNTA(B49:H49)&gt;0,IFERROR("ID:"&amp;UPPER(TRIM(B49&amp;"")),""),"")</f>
      </c>
      <c r="M49" t="str" s="27">
        <f>IF(NOT(COUNTA(B49:H49)&gt;0),"",IF(OR(ISERROR(B49),ISERROR(C49),ISERROR(D49),ISERROR(E49),ISERROR(F49),ISERROR(G49),ISERROR(H49)),2,IF(OR(ISERROR('CAJA'!$C$17),ISERROR('CAJA'!$C$18),ISERROR('CAJA'!$C$19),ISERROR('CAJA'!$C$20),ISERROR('CAJA'!$C$21),ISERROR('CAJA'!$C$22),ISERROR('CAJA'!$C$23)),1,IF(OR(AND(LEN(TRIM(G49&amp;""))&gt;0,NOT(IF(ISNUMBER(G49),AND(G49&gt;=0,G49=ROUND(G49,2)),FALSE))),AND(LEN(TRIM(F49&amp;""))&gt;0,NOT(IF(ISNUMBER(F49),AND(F49&gt;=1,F49&lt;=2958465,F49=INT(F49)),FALSE))),AND(LEN(TRIM(D49&amp;""))&gt;0,NOT(OR(D49="Cobro",D49="Pago"))),AND(LEN(TRIM(E49&amp;""))&gt;0,NOT(OR(E49="Previsto",E49="Realizado"))),AND(AND(LEN(TRIM(B49&amp;""))&gt;0,TRIM(B49)&lt;&gt;"Pendiente",TRIM(B49)&lt;&gt;"Por confirmar",TRIM(B49)&lt;&gt;"No consta",TRIM(B49)&lt;&gt;"Desconocido"),SUMPRODUCT(($L$10:$L$69=L49)*1)&gt;1),AND(IF(ISNUMBER(F49),AND(F49&gt;=1,F49&lt;=2958465,F49=INT(F49)),FALSE),IF(ISNUMBER('CAJA'!$C$19),AND('CAJA'!$C$19&gt;=1,'CAJA'!$C$19&lt;=2958465,'CAJA'!$C$19=INT('CAJA'!$C$19)),FALSE),OR(AND(E49="Realizado",F49&gt;'CAJA'!$C$19),AND(E49="Previsto",F49&lt;'CAJA'!$C$19))),AND(IF(ISNUMBER(F49),AND(F49&gt;=1,F49&lt;=2958465,F49=INT(F49)),FALSE),'CAJA'!$L$2=1,F49&lt;'CAJA'!$C$18)),2,IF(AND(AND(LEN(TRIM(B49&amp;""))&gt;0,TRIM(B49)&lt;&gt;"Pendiente",TRIM(B49)&lt;&gt;"Por confirmar",TRIM(B49)&lt;&gt;"No consta",TRIM(B49)&lt;&gt;"Desconocido"),AND(LEN(TRIM(C49&amp;""))&gt;0,TRIM(C49)&lt;&gt;"Pendiente",TRIM(C49)&lt;&gt;"Por confirmar",TRIM(C49)&lt;&gt;"No consta",TRIM(C49)&lt;&gt;"Desconocido"),OR(D49="Cobro",D49="Pago"),OR(E49="Previsto",E49="Realizado"),IF(ISNUMBER(F49),AND(F49&gt;=1,F49&lt;=2958465,F49=INT(F49)),FALSE),IF(ISNUMBER(G49),AND(G49&gt;=0,G49=ROUND(G49,2)),FALSE),AND(LEN(TRIM(H49&amp;""))&gt;0,TRIM(H49)&lt;&gt;"Pendiente",TRIM(H49)&lt;&gt;"Por confirmar",TRIM(H49)&lt;&gt;"No consta",TRIM(H49)&lt;&gt;"Desconocido"),'CAJA'!$L$2=1,IF(ISNUMBER('CAJA'!$C$19),AND('CAJA'!$C$19&gt;=1,'CAJA'!$C$19&lt;=2958465,'CAJA'!$C$19=INT('CAJA'!$C$19)),FALSE),F49&gt;='CAJA'!$C$18,F49&lt;'CAJA'!$L$9,NOT(OR(AND(LEN(TRIM(G49&amp;""))&gt;0,NOT(IF(ISNUMBER(G49),AND(G49&gt;=0,G49=ROUND(G49,2)),FALSE))),AND(LEN(TRIM(F49&amp;""))&gt;0,NOT(IF(ISNUMBER(F49),AND(F49&gt;=1,F49&lt;=2958465,F49=INT(F49)),FALSE))),AND(LEN(TRIM(D49&amp;""))&gt;0,NOT(OR(D49="Cobro",D49="Pago"))),AND(LEN(TRIM(E49&amp;""))&gt;0,NOT(OR(E49="Previsto",E49="Realizado"))),AND(AND(LEN(TRIM(B49&amp;""))&gt;0,TRIM(B49)&lt;&gt;"Pendiente",TRIM(B49)&lt;&gt;"Por confirmar",TRIM(B49)&lt;&gt;"No consta",TRIM(B49)&lt;&gt;"Desconocido"),SUMPRODUCT(($L$10:$L$69=L49)*1)&gt;1),AND(IF(ISNUMBER(F49),AND(F49&gt;=1,F49&lt;=2958465,F49=INT(F49)),FALSE),IF(ISNUMBER('CAJA'!$C$19),AND('CAJA'!$C$19&gt;=1,'CAJA'!$C$19&lt;=2958465,'CAJA'!$C$19=INT('CAJA'!$C$19)),FALSE),OR(AND(E49="Realizado",F49&gt;'CAJA'!$C$19),AND(E49="Previsto",F49&lt;'CAJA'!$C$19))),AND(IF(ISNUMBER(F49),AND(F49&gt;=1,F49&lt;=2958465,F49=INT(F49)),FALSE),'CAJA'!$L$2=1,F49&lt;'CAJA'!$C$18)))),0,1)))))</f>
      </c>
      <c r="N49" t="n" s="27">
        <f>IF(AND(K49=1,ISNUMBER(M49),M49=0),1,0)</f>
        <v>0</v>
      </c>
      <c r="O49" t="str" s="27">
        <f>IF(IF(ISNUMBER(F49),AND(F49&gt;=1,F49&lt;=2958465,F49=INT(F49)),FALSE),F49-WEEKDAY(F49,2)+1,"")</f>
      </c>
      <c r="P49" t="n" s="27">
        <f>IF(AND(K49=1,ISNUMBER(M49),M49&gt;0),IF(NOT(IF(ISNUMBER(F49),AND(F49&gt;=1,F49&lt;=2958465,F49=INT(F49)),FALSE)),1,IF('CAJA'!$L$2&lt;&gt;1,1,IF(OR(F49&lt;'CAJA'!$C$18,F49&gt;='CAJA'!$L$9),1,0))),0)</f>
        <v>0</v>
      </c>
    </row>
    <row r="50" ht="69" customHeight="1">
      <c r="B50" s="34"/>
      <c r="C50" s="34"/>
      <c r="D50" s="34"/>
      <c r="E50" s="34"/>
      <c r="F50" s="35"/>
      <c r="G50" s="36"/>
      <c r="H50" s="34"/>
      <c r="I50" s="33" t="str">
        <f>IF(K50=0,"",IF(M50=2,"ROJO",IF(M50=1,"ÁMBAR","VERDE")))</f>
      </c>
      <c r="J50" s="33" t="str">
        <f>IF(K50=0,"",IF(OR(ISERROR(B50),ISERROR(C50),ISERROR(D50),ISERROR(E50),ISERROR(F50),ISERROR(G50),ISERROR(H50)),"Hay una entrada con error de fórmula. Corregimos el dato; no lo convertimos en cero.",IF(OR(ISERROR('CAJA'!$C$17),ISERROR('CAJA'!$C$18),ISERROR('CAJA'!$C$19),ISERROR('CAJA'!$C$20),ISERROR('CAJA'!$C$21),ISERROR('CAJA'!$C$22),ISERROR('CAJA'!$C$23)),"Corregimos la entrada con error en CAJA antes de validar el movimiento.",IF(AND(AND(LEN(TRIM(B50&amp;""))&gt;0,TRIM(B50)&lt;&gt;"Pendiente",TRIM(B50)&lt;&gt;"Por confirmar",TRIM(B50)&lt;&gt;"No consta",TRIM(B50)&lt;&gt;"Desconocido"),SUMPRODUCT(($L$10:$L$69=L50)*1)&gt;1),"ID repetido: actualizamos el mismo movimiento o separamos únicamente la parte realizada y el resto pendiente.",IF(AND(IF(ISNUMBER(F50),AND(F50&gt;=1,F50&lt;=2958465,F50=INT(F50)),FALSE),IF(ISNUMBER('CAJA'!$C$19),AND('CAJA'!$C$19&gt;=1,'CAJA'!$C$19&lt;=2958465,'CAJA'!$C$19=INT('CAJA'!$C$19)),FALSE),E50="Realizado",F50&gt;'CAJA'!$C$19),"Realizado en fecha posterior al corte: revisamos fecha y estado.",IF(AND(IF(ISNUMBER(F50),AND(F50&gt;=1,F50&lt;=2958465,F50=INT(F50)),FALSE),IF(ISNUMBER('CAJA'!$C$19),AND('CAJA'!$C$19&gt;=1,'CAJA'!$C$19&lt;=2958465,'CAJA'!$C$19=INT('CAJA'!$C$19)),FALSE),E50="Previsto",F50&lt;'CAJA'!$C$19),"Previsión vencida: actualizamos su fecha esperada o registramos el movimiento realizado; no lo damos por cobrado.",IF(AND(IF(ISNUMBER(F50),AND(F50&gt;=1,F50&lt;=2958465,F50=INT(F50)),FALSE),'CAJA'!$L$2=1,F50&lt;'CAJA'!$C$18),"Anterior al horizonte: revisamos si ya está en el saldo inicial para no contarlo dos veces.",IF(OR(AND(LEN(TRIM(G50&amp;""))&gt;0,NOT(IF(ISNUMBER(G50),AND(G50&gt;=0,G50=ROUND(G50,2)),FALSE))),AND(LEN(TRIM(F50&amp;""))&gt;0,NOT(IF(ISNUMBER(F50),AND(F50&gt;=1,F50&lt;=2958465,F50=INT(F50)),FALSE))),AND(LEN(TRIM(D50&amp;""))&gt;0,NOT(OR(D50="Cobro",D50="Pago"))),AND(LEN(TRIM(E50&amp;""))&gt;0,NOT(OR(E50="Previsto",E50="Realizado"))),AND(AND(LEN(TRIM(B50&amp;""))&gt;0,TRIM(B50)&lt;&gt;"Pendiente",TRIM(B50)&lt;&gt;"Por confirmar",TRIM(B50)&lt;&gt;"No consta",TRIM(B50)&lt;&gt;"Desconocido"),SUMPRODUCT(($L$10:$L$69=L50)*1)&gt;1),AND(IF(ISNUMBER(F50),AND(F50&gt;=1,F50&lt;=2958465,F50=INT(F50)),FALSE),IF(ISNUMBER('CAJA'!$C$19),AND('CAJA'!$C$19&gt;=1,'CAJA'!$C$19&lt;=2958465,'CAJA'!$C$19=INT('CAJA'!$C$19)),FALSE),OR(AND(E50="Realizado",F50&gt;'CAJA'!$C$19),AND(E50="Previsto",F50&lt;'CAJA'!$C$19))),AND(IF(ISNUMBER(F50),AND(F50&gt;=1,F50&lt;=2958465,F50=INT(F50)),FALSE),'CAJA'!$L$2=1,F50&lt;'CAJA'!$C$18)),"Revisamos fecha, importe positivo/cero explícito y opciones de sentido/estado. Fechas sin hora e importes a céntimos.",IF(NOT(AND(LEN(TRIM(B50&amp;""))&gt;0,TRIM(B50)&lt;&gt;"Pendiente",TRIM(B50)&lt;&gt;"Por confirmar",TRIM(B50)&lt;&gt;"No consta",TRIM(B50)&lt;&gt;"Desconocido")),"Asignamos un identificador único.",IF(NOT(AND(LEN(TRIM(C50&amp;""))&gt;0,TRIM(C50)&lt;&gt;"Pendiente",TRIM(C50)&lt;&gt;"Por confirmar",TRIM(C50)&lt;&gt;"No consta",TRIM(C50)&lt;&gt;"Desconocido")),"Identificamos el concepto.",IF(NOT(OR(D50="Cobro",D50="Pago")),"Elegimos Cobro o Pago.",IF(NOT(OR(E50="Previsto",E50="Realizado")),"Elegimos Previsto o Realizado según lo acreditado.",IF(NOT(IF(ISNUMBER(F50),AND(F50&gt;=1,F50&lt;=2958465,F50=INT(F50)),FALSE)),"Falta fecha/semana: un plazo relativo o la fecha de una oferta no bastan.",IF(NOT(IF(ISNUMBER(G50),AND(G50&gt;=0,G50=ROUND(G50,2)),FALSE)),"Falta importe efectivo; el total de presupuesto no acredita este movimiento.",IF(NOT(AND(LEN(TRIM(H50&amp;""))&gt;0,TRIM(H50)&lt;&gt;"Pendiente",TRIM(H50)&lt;&gt;"Por confirmar",TRIM(H50)&lt;&gt;"No consta",TRIM(H50)&lt;&gt;"Desconocido")),"Identificamos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CAJA.",IF(AND(IF(ISNUMBER(F50),AND(F50&gt;=1,F50&lt;=2958465,F50=INT(F50)),FALSE),'CAJA'!$L$2=1,F50&gt;='CAJA'!$L$9),"Fuera del horizonte: ampliamos semanas (hasta 26) o revisamos la ventana. Aquí no se suma.","Dato registrado para la previsión; el estado Realizado requiere su evidencia de cobro/pago."))))))))))))))))))</f>
      </c>
      <c r="K50" t="n" s="27">
        <f>IF(COUNTA(B50:H50)&gt;0,1,0)</f>
        <v>0</v>
      </c>
      <c r="L50" t="str" s="27">
        <f>IF(COUNTA(B50:H50)&gt;0,IFERROR("ID:"&amp;UPPER(TRIM(B50&amp;"")),""),"")</f>
      </c>
      <c r="M50" t="str" s="27">
        <f>IF(NOT(COUNTA(B50:H50)&gt;0),"",IF(OR(ISERROR(B50),ISERROR(C50),ISERROR(D50),ISERROR(E50),ISERROR(F50),ISERROR(G50),ISERROR(H50)),2,IF(OR(ISERROR('CAJA'!$C$17),ISERROR('CAJA'!$C$18),ISERROR('CAJA'!$C$19),ISERROR('CAJA'!$C$20),ISERROR('CAJA'!$C$21),ISERROR('CAJA'!$C$22),ISERROR('CAJA'!$C$23)),1,IF(OR(AND(LEN(TRIM(G50&amp;""))&gt;0,NOT(IF(ISNUMBER(G50),AND(G50&gt;=0,G50=ROUND(G50,2)),FALSE))),AND(LEN(TRIM(F50&amp;""))&gt;0,NOT(IF(ISNUMBER(F50),AND(F50&gt;=1,F50&lt;=2958465,F50=INT(F50)),FALSE))),AND(LEN(TRIM(D50&amp;""))&gt;0,NOT(OR(D50="Cobro",D50="Pago"))),AND(LEN(TRIM(E50&amp;""))&gt;0,NOT(OR(E50="Previsto",E50="Realizado"))),AND(AND(LEN(TRIM(B50&amp;""))&gt;0,TRIM(B50)&lt;&gt;"Pendiente",TRIM(B50)&lt;&gt;"Por confirmar",TRIM(B50)&lt;&gt;"No consta",TRIM(B50)&lt;&gt;"Desconocido"),SUMPRODUCT(($L$10:$L$69=L50)*1)&gt;1),AND(IF(ISNUMBER(F50),AND(F50&gt;=1,F50&lt;=2958465,F50=INT(F50)),FALSE),IF(ISNUMBER('CAJA'!$C$19),AND('CAJA'!$C$19&gt;=1,'CAJA'!$C$19&lt;=2958465,'CAJA'!$C$19=INT('CAJA'!$C$19)),FALSE),OR(AND(E50="Realizado",F50&gt;'CAJA'!$C$19),AND(E50="Previsto",F50&lt;'CAJA'!$C$19))),AND(IF(ISNUMBER(F50),AND(F50&gt;=1,F50&lt;=2958465,F50=INT(F50)),FALSE),'CAJA'!$L$2=1,F50&lt;'CAJA'!$C$18)),2,IF(AND(AND(LEN(TRIM(B50&amp;""))&gt;0,TRIM(B50)&lt;&gt;"Pendiente",TRIM(B50)&lt;&gt;"Por confirmar",TRIM(B50)&lt;&gt;"No consta",TRIM(B50)&lt;&gt;"Desconocido"),AND(LEN(TRIM(C50&amp;""))&gt;0,TRIM(C50)&lt;&gt;"Pendiente",TRIM(C50)&lt;&gt;"Por confirmar",TRIM(C50)&lt;&gt;"No consta",TRIM(C50)&lt;&gt;"Desconocido"),OR(D50="Cobro",D50="Pago"),OR(E50="Previsto",E50="Realizado"),IF(ISNUMBER(F50),AND(F50&gt;=1,F50&lt;=2958465,F50=INT(F50)),FALSE),IF(ISNUMBER(G50),AND(G50&gt;=0,G50=ROUND(G50,2)),FALSE),AND(LEN(TRIM(H50&amp;""))&gt;0,TRIM(H50)&lt;&gt;"Pendiente",TRIM(H50)&lt;&gt;"Por confirmar",TRIM(H50)&lt;&gt;"No consta",TRIM(H50)&lt;&gt;"Desconocido"),'CAJA'!$L$2=1,IF(ISNUMBER('CAJA'!$C$19),AND('CAJA'!$C$19&gt;=1,'CAJA'!$C$19&lt;=2958465,'CAJA'!$C$19=INT('CAJA'!$C$19)),FALSE),F50&gt;='CAJA'!$C$18,F50&lt;'CAJA'!$L$9,NOT(OR(AND(LEN(TRIM(G50&amp;""))&gt;0,NOT(IF(ISNUMBER(G50),AND(G50&gt;=0,G50=ROUND(G50,2)),FALSE))),AND(LEN(TRIM(F50&amp;""))&gt;0,NOT(IF(ISNUMBER(F50),AND(F50&gt;=1,F50&lt;=2958465,F50=INT(F50)),FALSE))),AND(LEN(TRIM(D50&amp;""))&gt;0,NOT(OR(D50="Cobro",D50="Pago"))),AND(LEN(TRIM(E50&amp;""))&gt;0,NOT(OR(E50="Previsto",E50="Realizado"))),AND(AND(LEN(TRIM(B50&amp;""))&gt;0,TRIM(B50)&lt;&gt;"Pendiente",TRIM(B50)&lt;&gt;"Por confirmar",TRIM(B50)&lt;&gt;"No consta",TRIM(B50)&lt;&gt;"Desconocido"),SUMPRODUCT(($L$10:$L$69=L50)*1)&gt;1),AND(IF(ISNUMBER(F50),AND(F50&gt;=1,F50&lt;=2958465,F50=INT(F50)),FALSE),IF(ISNUMBER('CAJA'!$C$19),AND('CAJA'!$C$19&gt;=1,'CAJA'!$C$19&lt;=2958465,'CAJA'!$C$19=INT('CAJA'!$C$19)),FALSE),OR(AND(E50="Realizado",F50&gt;'CAJA'!$C$19),AND(E50="Previsto",F50&lt;'CAJA'!$C$19))),AND(IF(ISNUMBER(F50),AND(F50&gt;=1,F50&lt;=2958465,F50=INT(F50)),FALSE),'CAJA'!$L$2=1,F50&lt;'CAJA'!$C$18)))),0,1)))))</f>
      </c>
      <c r="N50" t="n" s="27">
        <f>IF(AND(K50=1,ISNUMBER(M50),M50=0),1,0)</f>
        <v>0</v>
      </c>
      <c r="O50" t="str" s="27">
        <f>IF(IF(ISNUMBER(F50),AND(F50&gt;=1,F50&lt;=2958465,F50=INT(F50)),FALSE),F50-WEEKDAY(F50,2)+1,"")</f>
      </c>
      <c r="P50" t="n" s="27">
        <f>IF(AND(K50=1,ISNUMBER(M50),M50&gt;0),IF(NOT(IF(ISNUMBER(F50),AND(F50&gt;=1,F50&lt;=2958465,F50=INT(F50)),FALSE)),1,IF('CAJA'!$L$2&lt;&gt;1,1,IF(OR(F50&lt;'CAJA'!$C$18,F50&gt;='CAJA'!$L$9),1,0))),0)</f>
        <v>0</v>
      </c>
    </row>
    <row r="51" ht="69" customHeight="1">
      <c r="B51" s="34"/>
      <c r="C51" s="34"/>
      <c r="D51" s="34"/>
      <c r="E51" s="34"/>
      <c r="F51" s="35"/>
      <c r="G51" s="36"/>
      <c r="H51" s="34"/>
      <c r="I51" s="33" t="str">
        <f>IF(K51=0,"",IF(M51=2,"ROJO",IF(M51=1,"ÁMBAR","VERDE")))</f>
      </c>
      <c r="J51" s="33" t="str">
        <f>IF(K51=0,"",IF(OR(ISERROR(B51),ISERROR(C51),ISERROR(D51),ISERROR(E51),ISERROR(F51),ISERROR(G51),ISERROR(H51)),"Hay una entrada con error de fórmula. Corregimos el dato; no lo convertimos en cero.",IF(OR(ISERROR('CAJA'!$C$17),ISERROR('CAJA'!$C$18),ISERROR('CAJA'!$C$19),ISERROR('CAJA'!$C$20),ISERROR('CAJA'!$C$21),ISERROR('CAJA'!$C$22),ISERROR('CAJA'!$C$23)),"Corregimos la entrada con error en CAJA antes de validar el movimiento.",IF(AND(AND(LEN(TRIM(B51&amp;""))&gt;0,TRIM(B51)&lt;&gt;"Pendiente",TRIM(B51)&lt;&gt;"Por confirmar",TRIM(B51)&lt;&gt;"No consta",TRIM(B51)&lt;&gt;"Desconocido"),SUMPRODUCT(($L$10:$L$69=L51)*1)&gt;1),"ID repetido: actualizamos el mismo movimiento o separamos únicamente la parte realizada y el resto pendiente.",IF(AND(IF(ISNUMBER(F51),AND(F51&gt;=1,F51&lt;=2958465,F51=INT(F51)),FALSE),IF(ISNUMBER('CAJA'!$C$19),AND('CAJA'!$C$19&gt;=1,'CAJA'!$C$19&lt;=2958465,'CAJA'!$C$19=INT('CAJA'!$C$19)),FALSE),E51="Realizado",F51&gt;'CAJA'!$C$19),"Realizado en fecha posterior al corte: revisamos fecha y estado.",IF(AND(IF(ISNUMBER(F51),AND(F51&gt;=1,F51&lt;=2958465,F51=INT(F51)),FALSE),IF(ISNUMBER('CAJA'!$C$19),AND('CAJA'!$C$19&gt;=1,'CAJA'!$C$19&lt;=2958465,'CAJA'!$C$19=INT('CAJA'!$C$19)),FALSE),E51="Previsto",F51&lt;'CAJA'!$C$19),"Previsión vencida: actualizamos su fecha esperada o registramos el movimiento realizado; no lo damos por cobrado.",IF(AND(IF(ISNUMBER(F51),AND(F51&gt;=1,F51&lt;=2958465,F51=INT(F51)),FALSE),'CAJA'!$L$2=1,F51&lt;'CAJA'!$C$18),"Anterior al horizonte: revisamos si ya está en el saldo inicial para no contarlo dos veces.",IF(OR(AND(LEN(TRIM(G51&amp;""))&gt;0,NOT(IF(ISNUMBER(G51),AND(G51&gt;=0,G51=ROUND(G51,2)),FALSE))),AND(LEN(TRIM(F51&amp;""))&gt;0,NOT(IF(ISNUMBER(F51),AND(F51&gt;=1,F51&lt;=2958465,F51=INT(F51)),FALSE))),AND(LEN(TRIM(D51&amp;""))&gt;0,NOT(OR(D51="Cobro",D51="Pago"))),AND(LEN(TRIM(E51&amp;""))&gt;0,NOT(OR(E51="Previsto",E51="Realizado"))),AND(AND(LEN(TRIM(B51&amp;""))&gt;0,TRIM(B51)&lt;&gt;"Pendiente",TRIM(B51)&lt;&gt;"Por confirmar",TRIM(B51)&lt;&gt;"No consta",TRIM(B51)&lt;&gt;"Desconocido"),SUMPRODUCT(($L$10:$L$69=L51)*1)&gt;1),AND(IF(ISNUMBER(F51),AND(F51&gt;=1,F51&lt;=2958465,F51=INT(F51)),FALSE),IF(ISNUMBER('CAJA'!$C$19),AND('CAJA'!$C$19&gt;=1,'CAJA'!$C$19&lt;=2958465,'CAJA'!$C$19=INT('CAJA'!$C$19)),FALSE),OR(AND(E51="Realizado",F51&gt;'CAJA'!$C$19),AND(E51="Previsto",F51&lt;'CAJA'!$C$19))),AND(IF(ISNUMBER(F51),AND(F51&gt;=1,F51&lt;=2958465,F51=INT(F51)),FALSE),'CAJA'!$L$2=1,F51&lt;'CAJA'!$C$18)),"Revisamos fecha, importe positivo/cero explícito y opciones de sentido/estado. Fechas sin hora e importes a céntimos.",IF(NOT(AND(LEN(TRIM(B51&amp;""))&gt;0,TRIM(B51)&lt;&gt;"Pendiente",TRIM(B51)&lt;&gt;"Por confirmar",TRIM(B51)&lt;&gt;"No consta",TRIM(B51)&lt;&gt;"Desconocido")),"Asignamos un identificador único.",IF(NOT(AND(LEN(TRIM(C51&amp;""))&gt;0,TRIM(C51)&lt;&gt;"Pendiente",TRIM(C51)&lt;&gt;"Por confirmar",TRIM(C51)&lt;&gt;"No consta",TRIM(C51)&lt;&gt;"Desconocido")),"Identificamos el concepto.",IF(NOT(OR(D51="Cobro",D51="Pago")),"Elegimos Cobro o Pago.",IF(NOT(OR(E51="Previsto",E51="Realizado")),"Elegimos Previsto o Realizado según lo acreditado.",IF(NOT(IF(ISNUMBER(F51),AND(F51&gt;=1,F51&lt;=2958465,F51=INT(F51)),FALSE)),"Falta fecha/semana: un plazo relativo o la fecha de una oferta no bastan.",IF(NOT(IF(ISNUMBER(G51),AND(G51&gt;=0,G51=ROUND(G51,2)),FALSE)),"Falta importe efectivo; el total de presupuesto no acredita este movimiento.",IF(NOT(AND(LEN(TRIM(H51&amp;""))&gt;0,TRIM(H51)&lt;&gt;"Pendiente",TRIM(H51)&lt;&gt;"Por confirmar",TRIM(H51)&lt;&gt;"No consta",TRIM(H51)&lt;&gt;"Desconocido")),"Identificamos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CAJA.",IF(AND(IF(ISNUMBER(F51),AND(F51&gt;=1,F51&lt;=2958465,F51=INT(F51)),FALSE),'CAJA'!$L$2=1,F51&gt;='CAJA'!$L$9),"Fuera del horizonte: ampliamos semanas (hasta 26) o revisamos la ventana. Aquí no se suma.","Dato registrado para la previsión; el estado Realizado requiere su evidencia de cobro/pago."))))))))))))))))))</f>
      </c>
      <c r="K51" t="n" s="27">
        <f>IF(COUNTA(B51:H51)&gt;0,1,0)</f>
        <v>0</v>
      </c>
      <c r="L51" t="str" s="27">
        <f>IF(COUNTA(B51:H51)&gt;0,IFERROR("ID:"&amp;UPPER(TRIM(B51&amp;"")),""),"")</f>
      </c>
      <c r="M51" t="str" s="27">
        <f>IF(NOT(COUNTA(B51:H51)&gt;0),"",IF(OR(ISERROR(B51),ISERROR(C51),ISERROR(D51),ISERROR(E51),ISERROR(F51),ISERROR(G51),ISERROR(H51)),2,IF(OR(ISERROR('CAJA'!$C$17),ISERROR('CAJA'!$C$18),ISERROR('CAJA'!$C$19),ISERROR('CAJA'!$C$20),ISERROR('CAJA'!$C$21),ISERROR('CAJA'!$C$22),ISERROR('CAJA'!$C$23)),1,IF(OR(AND(LEN(TRIM(G51&amp;""))&gt;0,NOT(IF(ISNUMBER(G51),AND(G51&gt;=0,G51=ROUND(G51,2)),FALSE))),AND(LEN(TRIM(F51&amp;""))&gt;0,NOT(IF(ISNUMBER(F51),AND(F51&gt;=1,F51&lt;=2958465,F51=INT(F51)),FALSE))),AND(LEN(TRIM(D51&amp;""))&gt;0,NOT(OR(D51="Cobro",D51="Pago"))),AND(LEN(TRIM(E51&amp;""))&gt;0,NOT(OR(E51="Previsto",E51="Realizado"))),AND(AND(LEN(TRIM(B51&amp;""))&gt;0,TRIM(B51)&lt;&gt;"Pendiente",TRIM(B51)&lt;&gt;"Por confirmar",TRIM(B51)&lt;&gt;"No consta",TRIM(B51)&lt;&gt;"Desconocido"),SUMPRODUCT(($L$10:$L$69=L51)*1)&gt;1),AND(IF(ISNUMBER(F51),AND(F51&gt;=1,F51&lt;=2958465,F51=INT(F51)),FALSE),IF(ISNUMBER('CAJA'!$C$19),AND('CAJA'!$C$19&gt;=1,'CAJA'!$C$19&lt;=2958465,'CAJA'!$C$19=INT('CAJA'!$C$19)),FALSE),OR(AND(E51="Realizado",F51&gt;'CAJA'!$C$19),AND(E51="Previsto",F51&lt;'CAJA'!$C$19))),AND(IF(ISNUMBER(F51),AND(F51&gt;=1,F51&lt;=2958465,F51=INT(F51)),FALSE),'CAJA'!$L$2=1,F51&lt;'CAJA'!$C$18)),2,IF(AND(AND(LEN(TRIM(B51&amp;""))&gt;0,TRIM(B51)&lt;&gt;"Pendiente",TRIM(B51)&lt;&gt;"Por confirmar",TRIM(B51)&lt;&gt;"No consta",TRIM(B51)&lt;&gt;"Desconocido"),AND(LEN(TRIM(C51&amp;""))&gt;0,TRIM(C51)&lt;&gt;"Pendiente",TRIM(C51)&lt;&gt;"Por confirmar",TRIM(C51)&lt;&gt;"No consta",TRIM(C51)&lt;&gt;"Desconocido"),OR(D51="Cobro",D51="Pago"),OR(E51="Previsto",E51="Realizado"),IF(ISNUMBER(F51),AND(F51&gt;=1,F51&lt;=2958465,F51=INT(F51)),FALSE),IF(ISNUMBER(G51),AND(G51&gt;=0,G51=ROUND(G51,2)),FALSE),AND(LEN(TRIM(H51&amp;""))&gt;0,TRIM(H51)&lt;&gt;"Pendiente",TRIM(H51)&lt;&gt;"Por confirmar",TRIM(H51)&lt;&gt;"No consta",TRIM(H51)&lt;&gt;"Desconocido"),'CAJA'!$L$2=1,IF(ISNUMBER('CAJA'!$C$19),AND('CAJA'!$C$19&gt;=1,'CAJA'!$C$19&lt;=2958465,'CAJA'!$C$19=INT('CAJA'!$C$19)),FALSE),F51&gt;='CAJA'!$C$18,F51&lt;'CAJA'!$L$9,NOT(OR(AND(LEN(TRIM(G51&amp;""))&gt;0,NOT(IF(ISNUMBER(G51),AND(G51&gt;=0,G51=ROUND(G51,2)),FALSE))),AND(LEN(TRIM(F51&amp;""))&gt;0,NOT(IF(ISNUMBER(F51),AND(F51&gt;=1,F51&lt;=2958465,F51=INT(F51)),FALSE))),AND(LEN(TRIM(D51&amp;""))&gt;0,NOT(OR(D51="Cobro",D51="Pago"))),AND(LEN(TRIM(E51&amp;""))&gt;0,NOT(OR(E51="Previsto",E51="Realizado"))),AND(AND(LEN(TRIM(B51&amp;""))&gt;0,TRIM(B51)&lt;&gt;"Pendiente",TRIM(B51)&lt;&gt;"Por confirmar",TRIM(B51)&lt;&gt;"No consta",TRIM(B51)&lt;&gt;"Desconocido"),SUMPRODUCT(($L$10:$L$69=L51)*1)&gt;1),AND(IF(ISNUMBER(F51),AND(F51&gt;=1,F51&lt;=2958465,F51=INT(F51)),FALSE),IF(ISNUMBER('CAJA'!$C$19),AND('CAJA'!$C$19&gt;=1,'CAJA'!$C$19&lt;=2958465,'CAJA'!$C$19=INT('CAJA'!$C$19)),FALSE),OR(AND(E51="Realizado",F51&gt;'CAJA'!$C$19),AND(E51="Previsto",F51&lt;'CAJA'!$C$19))),AND(IF(ISNUMBER(F51),AND(F51&gt;=1,F51&lt;=2958465,F51=INT(F51)),FALSE),'CAJA'!$L$2=1,F51&lt;'CAJA'!$C$18)))),0,1)))))</f>
      </c>
      <c r="N51" t="n" s="27">
        <f>IF(AND(K51=1,ISNUMBER(M51),M51=0),1,0)</f>
        <v>0</v>
      </c>
      <c r="O51" t="str" s="27">
        <f>IF(IF(ISNUMBER(F51),AND(F51&gt;=1,F51&lt;=2958465,F51=INT(F51)),FALSE),F51-WEEKDAY(F51,2)+1,"")</f>
      </c>
      <c r="P51" t="n" s="27">
        <f>IF(AND(K51=1,ISNUMBER(M51),M51&gt;0),IF(NOT(IF(ISNUMBER(F51),AND(F51&gt;=1,F51&lt;=2958465,F51=INT(F51)),FALSE)),1,IF('CAJA'!$L$2&lt;&gt;1,1,IF(OR(F51&lt;'CAJA'!$C$18,F51&gt;='CAJA'!$L$9),1,0))),0)</f>
        <v>0</v>
      </c>
    </row>
    <row r="52" ht="69" customHeight="1">
      <c r="B52" s="34"/>
      <c r="C52" s="34"/>
      <c r="D52" s="34"/>
      <c r="E52" s="34"/>
      <c r="F52" s="35"/>
      <c r="G52" s="36"/>
      <c r="H52" s="34"/>
      <c r="I52" s="33" t="str">
        <f>IF(K52=0,"",IF(M52=2,"ROJO",IF(M52=1,"ÁMBAR","VERDE")))</f>
      </c>
      <c r="J52" s="33" t="str">
        <f>IF(K52=0,"",IF(OR(ISERROR(B52),ISERROR(C52),ISERROR(D52),ISERROR(E52),ISERROR(F52),ISERROR(G52),ISERROR(H52)),"Hay una entrada con error de fórmula. Corregimos el dato; no lo convertimos en cero.",IF(OR(ISERROR('CAJA'!$C$17),ISERROR('CAJA'!$C$18),ISERROR('CAJA'!$C$19),ISERROR('CAJA'!$C$20),ISERROR('CAJA'!$C$21),ISERROR('CAJA'!$C$22),ISERROR('CAJA'!$C$23)),"Corregimos la entrada con error en CAJA antes de validar el movimiento.",IF(AND(AND(LEN(TRIM(B52&amp;""))&gt;0,TRIM(B52)&lt;&gt;"Pendiente",TRIM(B52)&lt;&gt;"Por confirmar",TRIM(B52)&lt;&gt;"No consta",TRIM(B52)&lt;&gt;"Desconocido"),SUMPRODUCT(($L$10:$L$69=L52)*1)&gt;1),"ID repetido: actualizamos el mismo movimiento o separamos únicamente la parte realizada y el resto pendiente.",IF(AND(IF(ISNUMBER(F52),AND(F52&gt;=1,F52&lt;=2958465,F52=INT(F52)),FALSE),IF(ISNUMBER('CAJA'!$C$19),AND('CAJA'!$C$19&gt;=1,'CAJA'!$C$19&lt;=2958465,'CAJA'!$C$19=INT('CAJA'!$C$19)),FALSE),E52="Realizado",F52&gt;'CAJA'!$C$19),"Realizado en fecha posterior al corte: revisamos fecha y estado.",IF(AND(IF(ISNUMBER(F52),AND(F52&gt;=1,F52&lt;=2958465,F52=INT(F52)),FALSE),IF(ISNUMBER('CAJA'!$C$19),AND('CAJA'!$C$19&gt;=1,'CAJA'!$C$19&lt;=2958465,'CAJA'!$C$19=INT('CAJA'!$C$19)),FALSE),E52="Previsto",F52&lt;'CAJA'!$C$19),"Previsión vencida: actualizamos su fecha esperada o registramos el movimiento realizado; no lo damos por cobrado.",IF(AND(IF(ISNUMBER(F52),AND(F52&gt;=1,F52&lt;=2958465,F52=INT(F52)),FALSE),'CAJA'!$L$2=1,F52&lt;'CAJA'!$C$18),"Anterior al horizonte: revisamos si ya está en el saldo inicial para no contarlo dos veces.",IF(OR(AND(LEN(TRIM(G52&amp;""))&gt;0,NOT(IF(ISNUMBER(G52),AND(G52&gt;=0,G52=ROUND(G52,2)),FALSE))),AND(LEN(TRIM(F52&amp;""))&gt;0,NOT(IF(ISNUMBER(F52),AND(F52&gt;=1,F52&lt;=2958465,F52=INT(F52)),FALSE))),AND(LEN(TRIM(D52&amp;""))&gt;0,NOT(OR(D52="Cobro",D52="Pago"))),AND(LEN(TRIM(E52&amp;""))&gt;0,NOT(OR(E52="Previsto",E52="Realizado"))),AND(AND(LEN(TRIM(B52&amp;""))&gt;0,TRIM(B52)&lt;&gt;"Pendiente",TRIM(B52)&lt;&gt;"Por confirmar",TRIM(B52)&lt;&gt;"No consta",TRIM(B52)&lt;&gt;"Desconocido"),SUMPRODUCT(($L$10:$L$69=L52)*1)&gt;1),AND(IF(ISNUMBER(F52),AND(F52&gt;=1,F52&lt;=2958465,F52=INT(F52)),FALSE),IF(ISNUMBER('CAJA'!$C$19),AND('CAJA'!$C$19&gt;=1,'CAJA'!$C$19&lt;=2958465,'CAJA'!$C$19=INT('CAJA'!$C$19)),FALSE),OR(AND(E52="Realizado",F52&gt;'CAJA'!$C$19),AND(E52="Previsto",F52&lt;'CAJA'!$C$19))),AND(IF(ISNUMBER(F52),AND(F52&gt;=1,F52&lt;=2958465,F52=INT(F52)),FALSE),'CAJA'!$L$2=1,F52&lt;'CAJA'!$C$18)),"Revisamos fecha, importe positivo/cero explícito y opciones de sentido/estado. Fechas sin hora e importes a céntimos.",IF(NOT(AND(LEN(TRIM(B52&amp;""))&gt;0,TRIM(B52)&lt;&gt;"Pendiente",TRIM(B52)&lt;&gt;"Por confirmar",TRIM(B52)&lt;&gt;"No consta",TRIM(B52)&lt;&gt;"Desconocido")),"Asignamos un identificador único.",IF(NOT(AND(LEN(TRIM(C52&amp;""))&gt;0,TRIM(C52)&lt;&gt;"Pendiente",TRIM(C52)&lt;&gt;"Por confirmar",TRIM(C52)&lt;&gt;"No consta",TRIM(C52)&lt;&gt;"Desconocido")),"Identificamos el concepto.",IF(NOT(OR(D52="Cobro",D52="Pago")),"Elegimos Cobro o Pago.",IF(NOT(OR(E52="Previsto",E52="Realizado")),"Elegimos Previsto o Realizado según lo acreditado.",IF(NOT(IF(ISNUMBER(F52),AND(F52&gt;=1,F52&lt;=2958465,F52=INT(F52)),FALSE)),"Falta fecha/semana: un plazo relativo o la fecha de una oferta no bastan.",IF(NOT(IF(ISNUMBER(G52),AND(G52&gt;=0,G52=ROUND(G52,2)),FALSE)),"Falta importe efectivo; el total de presupuesto no acredita este movimiento.",IF(NOT(AND(LEN(TRIM(H52&amp;""))&gt;0,TRIM(H52)&lt;&gt;"Pendiente",TRIM(H52)&lt;&gt;"Por confirmar",TRIM(H52)&lt;&gt;"No consta",TRIM(H52)&lt;&gt;"Desconocido")),"Identificamos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CAJA.",IF(AND(IF(ISNUMBER(F52),AND(F52&gt;=1,F52&lt;=2958465,F52=INT(F52)),FALSE),'CAJA'!$L$2=1,F52&gt;='CAJA'!$L$9),"Fuera del horizonte: ampliamos semanas (hasta 26) o revisamos la ventana. Aquí no se suma.","Dato registrado para la previsión; el estado Realizado requiere su evidencia de cobro/pago."))))))))))))))))))</f>
      </c>
      <c r="K52" t="n" s="27">
        <f>IF(COUNTA(B52:H52)&gt;0,1,0)</f>
        <v>0</v>
      </c>
      <c r="L52" t="str" s="27">
        <f>IF(COUNTA(B52:H52)&gt;0,IFERROR("ID:"&amp;UPPER(TRIM(B52&amp;"")),""),"")</f>
      </c>
      <c r="M52" t="str" s="27">
        <f>IF(NOT(COUNTA(B52:H52)&gt;0),"",IF(OR(ISERROR(B52),ISERROR(C52),ISERROR(D52),ISERROR(E52),ISERROR(F52),ISERROR(G52),ISERROR(H52)),2,IF(OR(ISERROR('CAJA'!$C$17),ISERROR('CAJA'!$C$18),ISERROR('CAJA'!$C$19),ISERROR('CAJA'!$C$20),ISERROR('CAJA'!$C$21),ISERROR('CAJA'!$C$22),ISERROR('CAJA'!$C$23)),1,IF(OR(AND(LEN(TRIM(G52&amp;""))&gt;0,NOT(IF(ISNUMBER(G52),AND(G52&gt;=0,G52=ROUND(G52,2)),FALSE))),AND(LEN(TRIM(F52&amp;""))&gt;0,NOT(IF(ISNUMBER(F52),AND(F52&gt;=1,F52&lt;=2958465,F52=INT(F52)),FALSE))),AND(LEN(TRIM(D52&amp;""))&gt;0,NOT(OR(D52="Cobro",D52="Pago"))),AND(LEN(TRIM(E52&amp;""))&gt;0,NOT(OR(E52="Previsto",E52="Realizado"))),AND(AND(LEN(TRIM(B52&amp;""))&gt;0,TRIM(B52)&lt;&gt;"Pendiente",TRIM(B52)&lt;&gt;"Por confirmar",TRIM(B52)&lt;&gt;"No consta",TRIM(B52)&lt;&gt;"Desconocido"),SUMPRODUCT(($L$10:$L$69=L52)*1)&gt;1),AND(IF(ISNUMBER(F52),AND(F52&gt;=1,F52&lt;=2958465,F52=INT(F52)),FALSE),IF(ISNUMBER('CAJA'!$C$19),AND('CAJA'!$C$19&gt;=1,'CAJA'!$C$19&lt;=2958465,'CAJA'!$C$19=INT('CAJA'!$C$19)),FALSE),OR(AND(E52="Realizado",F52&gt;'CAJA'!$C$19),AND(E52="Previsto",F52&lt;'CAJA'!$C$19))),AND(IF(ISNUMBER(F52),AND(F52&gt;=1,F52&lt;=2958465,F52=INT(F52)),FALSE),'CAJA'!$L$2=1,F52&lt;'CAJA'!$C$18)),2,IF(AND(AND(LEN(TRIM(B52&amp;""))&gt;0,TRIM(B52)&lt;&gt;"Pendiente",TRIM(B52)&lt;&gt;"Por confirmar",TRIM(B52)&lt;&gt;"No consta",TRIM(B52)&lt;&gt;"Desconocido"),AND(LEN(TRIM(C52&amp;""))&gt;0,TRIM(C52)&lt;&gt;"Pendiente",TRIM(C52)&lt;&gt;"Por confirmar",TRIM(C52)&lt;&gt;"No consta",TRIM(C52)&lt;&gt;"Desconocido"),OR(D52="Cobro",D52="Pago"),OR(E52="Previsto",E52="Realizado"),IF(ISNUMBER(F52),AND(F52&gt;=1,F52&lt;=2958465,F52=INT(F52)),FALSE),IF(ISNUMBER(G52),AND(G52&gt;=0,G52=ROUND(G52,2)),FALSE),AND(LEN(TRIM(H52&amp;""))&gt;0,TRIM(H52)&lt;&gt;"Pendiente",TRIM(H52)&lt;&gt;"Por confirmar",TRIM(H52)&lt;&gt;"No consta",TRIM(H52)&lt;&gt;"Desconocido"),'CAJA'!$L$2=1,IF(ISNUMBER('CAJA'!$C$19),AND('CAJA'!$C$19&gt;=1,'CAJA'!$C$19&lt;=2958465,'CAJA'!$C$19=INT('CAJA'!$C$19)),FALSE),F52&gt;='CAJA'!$C$18,F52&lt;'CAJA'!$L$9,NOT(OR(AND(LEN(TRIM(G52&amp;""))&gt;0,NOT(IF(ISNUMBER(G52),AND(G52&gt;=0,G52=ROUND(G52,2)),FALSE))),AND(LEN(TRIM(F52&amp;""))&gt;0,NOT(IF(ISNUMBER(F52),AND(F52&gt;=1,F52&lt;=2958465,F52=INT(F52)),FALSE))),AND(LEN(TRIM(D52&amp;""))&gt;0,NOT(OR(D52="Cobro",D52="Pago"))),AND(LEN(TRIM(E52&amp;""))&gt;0,NOT(OR(E52="Previsto",E52="Realizado"))),AND(AND(LEN(TRIM(B52&amp;""))&gt;0,TRIM(B52)&lt;&gt;"Pendiente",TRIM(B52)&lt;&gt;"Por confirmar",TRIM(B52)&lt;&gt;"No consta",TRIM(B52)&lt;&gt;"Desconocido"),SUMPRODUCT(($L$10:$L$69=L52)*1)&gt;1),AND(IF(ISNUMBER(F52),AND(F52&gt;=1,F52&lt;=2958465,F52=INT(F52)),FALSE),IF(ISNUMBER('CAJA'!$C$19),AND('CAJA'!$C$19&gt;=1,'CAJA'!$C$19&lt;=2958465,'CAJA'!$C$19=INT('CAJA'!$C$19)),FALSE),OR(AND(E52="Realizado",F52&gt;'CAJA'!$C$19),AND(E52="Previsto",F52&lt;'CAJA'!$C$19))),AND(IF(ISNUMBER(F52),AND(F52&gt;=1,F52&lt;=2958465,F52=INT(F52)),FALSE),'CAJA'!$L$2=1,F52&lt;'CAJA'!$C$18)))),0,1)))))</f>
      </c>
      <c r="N52" t="n" s="27">
        <f>IF(AND(K52=1,ISNUMBER(M52),M52=0),1,0)</f>
        <v>0</v>
      </c>
      <c r="O52" t="str" s="27">
        <f>IF(IF(ISNUMBER(F52),AND(F52&gt;=1,F52&lt;=2958465,F52=INT(F52)),FALSE),F52-WEEKDAY(F52,2)+1,"")</f>
      </c>
      <c r="P52" t="n" s="27">
        <f>IF(AND(K52=1,ISNUMBER(M52),M52&gt;0),IF(NOT(IF(ISNUMBER(F52),AND(F52&gt;=1,F52&lt;=2958465,F52=INT(F52)),FALSE)),1,IF('CAJA'!$L$2&lt;&gt;1,1,IF(OR(F52&lt;'CAJA'!$C$18,F52&gt;='CAJA'!$L$9),1,0))),0)</f>
        <v>0</v>
      </c>
    </row>
    <row r="53" ht="69" customHeight="1">
      <c r="B53" s="34"/>
      <c r="C53" s="34"/>
      <c r="D53" s="34"/>
      <c r="E53" s="34"/>
      <c r="F53" s="35"/>
      <c r="G53" s="36"/>
      <c r="H53" s="34"/>
      <c r="I53" s="33" t="str">
        <f>IF(K53=0,"",IF(M53=2,"ROJO",IF(M53=1,"ÁMBAR","VERDE")))</f>
      </c>
      <c r="J53" s="33" t="str">
        <f>IF(K53=0,"",IF(OR(ISERROR(B53),ISERROR(C53),ISERROR(D53),ISERROR(E53),ISERROR(F53),ISERROR(G53),ISERROR(H53)),"Hay una entrada con error de fórmula. Corregimos el dato; no lo convertimos en cero.",IF(OR(ISERROR('CAJA'!$C$17),ISERROR('CAJA'!$C$18),ISERROR('CAJA'!$C$19),ISERROR('CAJA'!$C$20),ISERROR('CAJA'!$C$21),ISERROR('CAJA'!$C$22),ISERROR('CAJA'!$C$23)),"Corregimos la entrada con error en CAJA antes de validar el movimiento.",IF(AND(AND(LEN(TRIM(B53&amp;""))&gt;0,TRIM(B53)&lt;&gt;"Pendiente",TRIM(B53)&lt;&gt;"Por confirmar",TRIM(B53)&lt;&gt;"No consta",TRIM(B53)&lt;&gt;"Desconocido"),SUMPRODUCT(($L$10:$L$69=L53)*1)&gt;1),"ID repetido: actualizamos el mismo movimiento o separamos únicamente la parte realizada y el resto pendiente.",IF(AND(IF(ISNUMBER(F53),AND(F53&gt;=1,F53&lt;=2958465,F53=INT(F53)),FALSE),IF(ISNUMBER('CAJA'!$C$19),AND('CAJA'!$C$19&gt;=1,'CAJA'!$C$19&lt;=2958465,'CAJA'!$C$19=INT('CAJA'!$C$19)),FALSE),E53="Realizado",F53&gt;'CAJA'!$C$19),"Realizado en fecha posterior al corte: revisamos fecha y estado.",IF(AND(IF(ISNUMBER(F53),AND(F53&gt;=1,F53&lt;=2958465,F53=INT(F53)),FALSE),IF(ISNUMBER('CAJA'!$C$19),AND('CAJA'!$C$19&gt;=1,'CAJA'!$C$19&lt;=2958465,'CAJA'!$C$19=INT('CAJA'!$C$19)),FALSE),E53="Previsto",F53&lt;'CAJA'!$C$19),"Previsión vencida: actualizamos su fecha esperada o registramos el movimiento realizado; no lo damos por cobrado.",IF(AND(IF(ISNUMBER(F53),AND(F53&gt;=1,F53&lt;=2958465,F53=INT(F53)),FALSE),'CAJA'!$L$2=1,F53&lt;'CAJA'!$C$18),"Anterior al horizonte: revisamos si ya está en el saldo inicial para no contarlo dos veces.",IF(OR(AND(LEN(TRIM(G53&amp;""))&gt;0,NOT(IF(ISNUMBER(G53),AND(G53&gt;=0,G53=ROUND(G53,2)),FALSE))),AND(LEN(TRIM(F53&amp;""))&gt;0,NOT(IF(ISNUMBER(F53),AND(F53&gt;=1,F53&lt;=2958465,F53=INT(F53)),FALSE))),AND(LEN(TRIM(D53&amp;""))&gt;0,NOT(OR(D53="Cobro",D53="Pago"))),AND(LEN(TRIM(E53&amp;""))&gt;0,NOT(OR(E53="Previsto",E53="Realizado"))),AND(AND(LEN(TRIM(B53&amp;""))&gt;0,TRIM(B53)&lt;&gt;"Pendiente",TRIM(B53)&lt;&gt;"Por confirmar",TRIM(B53)&lt;&gt;"No consta",TRIM(B53)&lt;&gt;"Desconocido"),SUMPRODUCT(($L$10:$L$69=L53)*1)&gt;1),AND(IF(ISNUMBER(F53),AND(F53&gt;=1,F53&lt;=2958465,F53=INT(F53)),FALSE),IF(ISNUMBER('CAJA'!$C$19),AND('CAJA'!$C$19&gt;=1,'CAJA'!$C$19&lt;=2958465,'CAJA'!$C$19=INT('CAJA'!$C$19)),FALSE),OR(AND(E53="Realizado",F53&gt;'CAJA'!$C$19),AND(E53="Previsto",F53&lt;'CAJA'!$C$19))),AND(IF(ISNUMBER(F53),AND(F53&gt;=1,F53&lt;=2958465,F53=INT(F53)),FALSE),'CAJA'!$L$2=1,F53&lt;'CAJA'!$C$18)),"Revisamos fecha, importe positivo/cero explícito y opciones de sentido/estado. Fechas sin hora e importes a céntimos.",IF(NOT(AND(LEN(TRIM(B53&amp;""))&gt;0,TRIM(B53)&lt;&gt;"Pendiente",TRIM(B53)&lt;&gt;"Por confirmar",TRIM(B53)&lt;&gt;"No consta",TRIM(B53)&lt;&gt;"Desconocido")),"Asignamos un identificador único.",IF(NOT(AND(LEN(TRIM(C53&amp;""))&gt;0,TRIM(C53)&lt;&gt;"Pendiente",TRIM(C53)&lt;&gt;"Por confirmar",TRIM(C53)&lt;&gt;"No consta",TRIM(C53)&lt;&gt;"Desconocido")),"Identificamos el concepto.",IF(NOT(OR(D53="Cobro",D53="Pago")),"Elegimos Cobro o Pago.",IF(NOT(OR(E53="Previsto",E53="Realizado")),"Elegimos Previsto o Realizado según lo acreditado.",IF(NOT(IF(ISNUMBER(F53),AND(F53&gt;=1,F53&lt;=2958465,F53=INT(F53)),FALSE)),"Falta fecha/semana: un plazo relativo o la fecha de una oferta no bastan.",IF(NOT(IF(ISNUMBER(G53),AND(G53&gt;=0,G53=ROUND(G53,2)),FALSE)),"Falta importe efectivo; el total de presupuesto no acredita este movimiento.",IF(NOT(AND(LEN(TRIM(H53&amp;""))&gt;0,TRIM(H53)&lt;&gt;"Pendiente",TRIM(H53)&lt;&gt;"Por confirmar",TRIM(H53)&lt;&gt;"No consta",TRIM(H53)&lt;&gt;"Desconocido")),"Identificamos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CAJA.",IF(AND(IF(ISNUMBER(F53),AND(F53&gt;=1,F53&lt;=2958465,F53=INT(F53)),FALSE),'CAJA'!$L$2=1,F53&gt;='CAJA'!$L$9),"Fuera del horizonte: ampliamos semanas (hasta 26) o revisamos la ventana. Aquí no se suma.","Dato registrado para la previsión; el estado Realizado requiere su evidencia de cobro/pago."))))))))))))))))))</f>
      </c>
      <c r="K53" t="n" s="27">
        <f>IF(COUNTA(B53:H53)&gt;0,1,0)</f>
        <v>0</v>
      </c>
      <c r="L53" t="str" s="27">
        <f>IF(COUNTA(B53:H53)&gt;0,IFERROR("ID:"&amp;UPPER(TRIM(B53&amp;"")),""),"")</f>
      </c>
      <c r="M53" t="str" s="27">
        <f>IF(NOT(COUNTA(B53:H53)&gt;0),"",IF(OR(ISERROR(B53),ISERROR(C53),ISERROR(D53),ISERROR(E53),ISERROR(F53),ISERROR(G53),ISERROR(H53)),2,IF(OR(ISERROR('CAJA'!$C$17),ISERROR('CAJA'!$C$18),ISERROR('CAJA'!$C$19),ISERROR('CAJA'!$C$20),ISERROR('CAJA'!$C$21),ISERROR('CAJA'!$C$22),ISERROR('CAJA'!$C$23)),1,IF(OR(AND(LEN(TRIM(G53&amp;""))&gt;0,NOT(IF(ISNUMBER(G53),AND(G53&gt;=0,G53=ROUND(G53,2)),FALSE))),AND(LEN(TRIM(F53&amp;""))&gt;0,NOT(IF(ISNUMBER(F53),AND(F53&gt;=1,F53&lt;=2958465,F53=INT(F53)),FALSE))),AND(LEN(TRIM(D53&amp;""))&gt;0,NOT(OR(D53="Cobro",D53="Pago"))),AND(LEN(TRIM(E53&amp;""))&gt;0,NOT(OR(E53="Previsto",E53="Realizado"))),AND(AND(LEN(TRIM(B53&amp;""))&gt;0,TRIM(B53)&lt;&gt;"Pendiente",TRIM(B53)&lt;&gt;"Por confirmar",TRIM(B53)&lt;&gt;"No consta",TRIM(B53)&lt;&gt;"Desconocido"),SUMPRODUCT(($L$10:$L$69=L53)*1)&gt;1),AND(IF(ISNUMBER(F53),AND(F53&gt;=1,F53&lt;=2958465,F53=INT(F53)),FALSE),IF(ISNUMBER('CAJA'!$C$19),AND('CAJA'!$C$19&gt;=1,'CAJA'!$C$19&lt;=2958465,'CAJA'!$C$19=INT('CAJA'!$C$19)),FALSE),OR(AND(E53="Realizado",F53&gt;'CAJA'!$C$19),AND(E53="Previsto",F53&lt;'CAJA'!$C$19))),AND(IF(ISNUMBER(F53),AND(F53&gt;=1,F53&lt;=2958465,F53=INT(F53)),FALSE),'CAJA'!$L$2=1,F53&lt;'CAJA'!$C$18)),2,IF(AND(AND(LEN(TRIM(B53&amp;""))&gt;0,TRIM(B53)&lt;&gt;"Pendiente",TRIM(B53)&lt;&gt;"Por confirmar",TRIM(B53)&lt;&gt;"No consta",TRIM(B53)&lt;&gt;"Desconocido"),AND(LEN(TRIM(C53&amp;""))&gt;0,TRIM(C53)&lt;&gt;"Pendiente",TRIM(C53)&lt;&gt;"Por confirmar",TRIM(C53)&lt;&gt;"No consta",TRIM(C53)&lt;&gt;"Desconocido"),OR(D53="Cobro",D53="Pago"),OR(E53="Previsto",E53="Realizado"),IF(ISNUMBER(F53),AND(F53&gt;=1,F53&lt;=2958465,F53=INT(F53)),FALSE),IF(ISNUMBER(G53),AND(G53&gt;=0,G53=ROUND(G53,2)),FALSE),AND(LEN(TRIM(H53&amp;""))&gt;0,TRIM(H53)&lt;&gt;"Pendiente",TRIM(H53)&lt;&gt;"Por confirmar",TRIM(H53)&lt;&gt;"No consta",TRIM(H53)&lt;&gt;"Desconocido"),'CAJA'!$L$2=1,IF(ISNUMBER('CAJA'!$C$19),AND('CAJA'!$C$19&gt;=1,'CAJA'!$C$19&lt;=2958465,'CAJA'!$C$19=INT('CAJA'!$C$19)),FALSE),F53&gt;='CAJA'!$C$18,F53&lt;'CAJA'!$L$9,NOT(OR(AND(LEN(TRIM(G53&amp;""))&gt;0,NOT(IF(ISNUMBER(G53),AND(G53&gt;=0,G53=ROUND(G53,2)),FALSE))),AND(LEN(TRIM(F53&amp;""))&gt;0,NOT(IF(ISNUMBER(F53),AND(F53&gt;=1,F53&lt;=2958465,F53=INT(F53)),FALSE))),AND(LEN(TRIM(D53&amp;""))&gt;0,NOT(OR(D53="Cobro",D53="Pago"))),AND(LEN(TRIM(E53&amp;""))&gt;0,NOT(OR(E53="Previsto",E53="Realizado"))),AND(AND(LEN(TRIM(B53&amp;""))&gt;0,TRIM(B53)&lt;&gt;"Pendiente",TRIM(B53)&lt;&gt;"Por confirmar",TRIM(B53)&lt;&gt;"No consta",TRIM(B53)&lt;&gt;"Desconocido"),SUMPRODUCT(($L$10:$L$69=L53)*1)&gt;1),AND(IF(ISNUMBER(F53),AND(F53&gt;=1,F53&lt;=2958465,F53=INT(F53)),FALSE),IF(ISNUMBER('CAJA'!$C$19),AND('CAJA'!$C$19&gt;=1,'CAJA'!$C$19&lt;=2958465,'CAJA'!$C$19=INT('CAJA'!$C$19)),FALSE),OR(AND(E53="Realizado",F53&gt;'CAJA'!$C$19),AND(E53="Previsto",F53&lt;'CAJA'!$C$19))),AND(IF(ISNUMBER(F53),AND(F53&gt;=1,F53&lt;=2958465,F53=INT(F53)),FALSE),'CAJA'!$L$2=1,F53&lt;'CAJA'!$C$18)))),0,1)))))</f>
      </c>
      <c r="N53" t="n" s="27">
        <f>IF(AND(K53=1,ISNUMBER(M53),M53=0),1,0)</f>
        <v>0</v>
      </c>
      <c r="O53" t="str" s="27">
        <f>IF(IF(ISNUMBER(F53),AND(F53&gt;=1,F53&lt;=2958465,F53=INT(F53)),FALSE),F53-WEEKDAY(F53,2)+1,"")</f>
      </c>
      <c r="P53" t="n" s="27">
        <f>IF(AND(K53=1,ISNUMBER(M53),M53&gt;0),IF(NOT(IF(ISNUMBER(F53),AND(F53&gt;=1,F53&lt;=2958465,F53=INT(F53)),FALSE)),1,IF('CAJA'!$L$2&lt;&gt;1,1,IF(OR(F53&lt;'CAJA'!$C$18,F53&gt;='CAJA'!$L$9),1,0))),0)</f>
        <v>0</v>
      </c>
    </row>
    <row r="54" ht="69" customHeight="1">
      <c r="B54" s="34"/>
      <c r="C54" s="34"/>
      <c r="D54" s="34"/>
      <c r="E54" s="34"/>
      <c r="F54" s="35"/>
      <c r="G54" s="36"/>
      <c r="H54" s="34"/>
      <c r="I54" s="33" t="str">
        <f>IF(K54=0,"",IF(M54=2,"ROJO",IF(M54=1,"ÁMBAR","VERDE")))</f>
      </c>
      <c r="J54" s="33" t="str">
        <f>IF(K54=0,"",IF(OR(ISERROR(B54),ISERROR(C54),ISERROR(D54),ISERROR(E54),ISERROR(F54),ISERROR(G54),ISERROR(H54)),"Hay una entrada con error de fórmula. Corregimos el dato; no lo convertimos en cero.",IF(OR(ISERROR('CAJA'!$C$17),ISERROR('CAJA'!$C$18),ISERROR('CAJA'!$C$19),ISERROR('CAJA'!$C$20),ISERROR('CAJA'!$C$21),ISERROR('CAJA'!$C$22),ISERROR('CAJA'!$C$23)),"Corregimos la entrada con error en CAJA antes de validar el movimiento.",IF(AND(AND(LEN(TRIM(B54&amp;""))&gt;0,TRIM(B54)&lt;&gt;"Pendiente",TRIM(B54)&lt;&gt;"Por confirmar",TRIM(B54)&lt;&gt;"No consta",TRIM(B54)&lt;&gt;"Desconocido"),SUMPRODUCT(($L$10:$L$69=L54)*1)&gt;1),"ID repetido: actualizamos el mismo movimiento o separamos únicamente la parte realizada y el resto pendiente.",IF(AND(IF(ISNUMBER(F54),AND(F54&gt;=1,F54&lt;=2958465,F54=INT(F54)),FALSE),IF(ISNUMBER('CAJA'!$C$19),AND('CAJA'!$C$19&gt;=1,'CAJA'!$C$19&lt;=2958465,'CAJA'!$C$19=INT('CAJA'!$C$19)),FALSE),E54="Realizado",F54&gt;'CAJA'!$C$19),"Realizado en fecha posterior al corte: revisamos fecha y estado.",IF(AND(IF(ISNUMBER(F54),AND(F54&gt;=1,F54&lt;=2958465,F54=INT(F54)),FALSE),IF(ISNUMBER('CAJA'!$C$19),AND('CAJA'!$C$19&gt;=1,'CAJA'!$C$19&lt;=2958465,'CAJA'!$C$19=INT('CAJA'!$C$19)),FALSE),E54="Previsto",F54&lt;'CAJA'!$C$19),"Previsión vencida: actualizamos su fecha esperada o registramos el movimiento realizado; no lo damos por cobrado.",IF(AND(IF(ISNUMBER(F54),AND(F54&gt;=1,F54&lt;=2958465,F54=INT(F54)),FALSE),'CAJA'!$L$2=1,F54&lt;'CAJA'!$C$18),"Anterior al horizonte: revisamos si ya está en el saldo inicial para no contarlo dos veces.",IF(OR(AND(LEN(TRIM(G54&amp;""))&gt;0,NOT(IF(ISNUMBER(G54),AND(G54&gt;=0,G54=ROUND(G54,2)),FALSE))),AND(LEN(TRIM(F54&amp;""))&gt;0,NOT(IF(ISNUMBER(F54),AND(F54&gt;=1,F54&lt;=2958465,F54=INT(F54)),FALSE))),AND(LEN(TRIM(D54&amp;""))&gt;0,NOT(OR(D54="Cobro",D54="Pago"))),AND(LEN(TRIM(E54&amp;""))&gt;0,NOT(OR(E54="Previsto",E54="Realizado"))),AND(AND(LEN(TRIM(B54&amp;""))&gt;0,TRIM(B54)&lt;&gt;"Pendiente",TRIM(B54)&lt;&gt;"Por confirmar",TRIM(B54)&lt;&gt;"No consta",TRIM(B54)&lt;&gt;"Desconocido"),SUMPRODUCT(($L$10:$L$69=L54)*1)&gt;1),AND(IF(ISNUMBER(F54),AND(F54&gt;=1,F54&lt;=2958465,F54=INT(F54)),FALSE),IF(ISNUMBER('CAJA'!$C$19),AND('CAJA'!$C$19&gt;=1,'CAJA'!$C$19&lt;=2958465,'CAJA'!$C$19=INT('CAJA'!$C$19)),FALSE),OR(AND(E54="Realizado",F54&gt;'CAJA'!$C$19),AND(E54="Previsto",F54&lt;'CAJA'!$C$19))),AND(IF(ISNUMBER(F54),AND(F54&gt;=1,F54&lt;=2958465,F54=INT(F54)),FALSE),'CAJA'!$L$2=1,F54&lt;'CAJA'!$C$18)),"Revisamos fecha, importe positivo/cero explícito y opciones de sentido/estado. Fechas sin hora e importes a céntimos.",IF(NOT(AND(LEN(TRIM(B54&amp;""))&gt;0,TRIM(B54)&lt;&gt;"Pendiente",TRIM(B54)&lt;&gt;"Por confirmar",TRIM(B54)&lt;&gt;"No consta",TRIM(B54)&lt;&gt;"Desconocido")),"Asignamos un identificador único.",IF(NOT(AND(LEN(TRIM(C54&amp;""))&gt;0,TRIM(C54)&lt;&gt;"Pendiente",TRIM(C54)&lt;&gt;"Por confirmar",TRIM(C54)&lt;&gt;"No consta",TRIM(C54)&lt;&gt;"Desconocido")),"Identificamos el concepto.",IF(NOT(OR(D54="Cobro",D54="Pago")),"Elegimos Cobro o Pago.",IF(NOT(OR(E54="Previsto",E54="Realizado")),"Elegimos Previsto o Realizado según lo acreditado.",IF(NOT(IF(ISNUMBER(F54),AND(F54&gt;=1,F54&lt;=2958465,F54=INT(F54)),FALSE)),"Falta fecha/semana: un plazo relativo o la fecha de una oferta no bastan.",IF(NOT(IF(ISNUMBER(G54),AND(G54&gt;=0,G54=ROUND(G54,2)),FALSE)),"Falta importe efectivo; el total de presupuesto no acredita este movimiento.",IF(NOT(AND(LEN(TRIM(H54&amp;""))&gt;0,TRIM(H54)&lt;&gt;"Pendiente",TRIM(H54)&lt;&gt;"Por confirmar",TRIM(H54)&lt;&gt;"No consta",TRIM(H54)&lt;&gt;"Desconocido")),"Identificamos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CAJA.",IF(AND(IF(ISNUMBER(F54),AND(F54&gt;=1,F54&lt;=2958465,F54=INT(F54)),FALSE),'CAJA'!$L$2=1,F54&gt;='CAJA'!$L$9),"Fuera del horizonte: ampliamos semanas (hasta 26) o revisamos la ventana. Aquí no se suma.","Dato registrado para la previsión; el estado Realizado requiere su evidencia de cobro/pago."))))))))))))))))))</f>
      </c>
      <c r="K54" t="n" s="27">
        <f>IF(COUNTA(B54:H54)&gt;0,1,0)</f>
        <v>0</v>
      </c>
      <c r="L54" t="str" s="27">
        <f>IF(COUNTA(B54:H54)&gt;0,IFERROR("ID:"&amp;UPPER(TRIM(B54&amp;"")),""),"")</f>
      </c>
      <c r="M54" t="str" s="27">
        <f>IF(NOT(COUNTA(B54:H54)&gt;0),"",IF(OR(ISERROR(B54),ISERROR(C54),ISERROR(D54),ISERROR(E54),ISERROR(F54),ISERROR(G54),ISERROR(H54)),2,IF(OR(ISERROR('CAJA'!$C$17),ISERROR('CAJA'!$C$18),ISERROR('CAJA'!$C$19),ISERROR('CAJA'!$C$20),ISERROR('CAJA'!$C$21),ISERROR('CAJA'!$C$22),ISERROR('CAJA'!$C$23)),1,IF(OR(AND(LEN(TRIM(G54&amp;""))&gt;0,NOT(IF(ISNUMBER(G54),AND(G54&gt;=0,G54=ROUND(G54,2)),FALSE))),AND(LEN(TRIM(F54&amp;""))&gt;0,NOT(IF(ISNUMBER(F54),AND(F54&gt;=1,F54&lt;=2958465,F54=INT(F54)),FALSE))),AND(LEN(TRIM(D54&amp;""))&gt;0,NOT(OR(D54="Cobro",D54="Pago"))),AND(LEN(TRIM(E54&amp;""))&gt;0,NOT(OR(E54="Previsto",E54="Realizado"))),AND(AND(LEN(TRIM(B54&amp;""))&gt;0,TRIM(B54)&lt;&gt;"Pendiente",TRIM(B54)&lt;&gt;"Por confirmar",TRIM(B54)&lt;&gt;"No consta",TRIM(B54)&lt;&gt;"Desconocido"),SUMPRODUCT(($L$10:$L$69=L54)*1)&gt;1),AND(IF(ISNUMBER(F54),AND(F54&gt;=1,F54&lt;=2958465,F54=INT(F54)),FALSE),IF(ISNUMBER('CAJA'!$C$19),AND('CAJA'!$C$19&gt;=1,'CAJA'!$C$19&lt;=2958465,'CAJA'!$C$19=INT('CAJA'!$C$19)),FALSE),OR(AND(E54="Realizado",F54&gt;'CAJA'!$C$19),AND(E54="Previsto",F54&lt;'CAJA'!$C$19))),AND(IF(ISNUMBER(F54),AND(F54&gt;=1,F54&lt;=2958465,F54=INT(F54)),FALSE),'CAJA'!$L$2=1,F54&lt;'CAJA'!$C$18)),2,IF(AND(AND(LEN(TRIM(B54&amp;""))&gt;0,TRIM(B54)&lt;&gt;"Pendiente",TRIM(B54)&lt;&gt;"Por confirmar",TRIM(B54)&lt;&gt;"No consta",TRIM(B54)&lt;&gt;"Desconocido"),AND(LEN(TRIM(C54&amp;""))&gt;0,TRIM(C54)&lt;&gt;"Pendiente",TRIM(C54)&lt;&gt;"Por confirmar",TRIM(C54)&lt;&gt;"No consta",TRIM(C54)&lt;&gt;"Desconocido"),OR(D54="Cobro",D54="Pago"),OR(E54="Previsto",E54="Realizado"),IF(ISNUMBER(F54),AND(F54&gt;=1,F54&lt;=2958465,F54=INT(F54)),FALSE),IF(ISNUMBER(G54),AND(G54&gt;=0,G54=ROUND(G54,2)),FALSE),AND(LEN(TRIM(H54&amp;""))&gt;0,TRIM(H54)&lt;&gt;"Pendiente",TRIM(H54)&lt;&gt;"Por confirmar",TRIM(H54)&lt;&gt;"No consta",TRIM(H54)&lt;&gt;"Desconocido"),'CAJA'!$L$2=1,IF(ISNUMBER('CAJA'!$C$19),AND('CAJA'!$C$19&gt;=1,'CAJA'!$C$19&lt;=2958465,'CAJA'!$C$19=INT('CAJA'!$C$19)),FALSE),F54&gt;='CAJA'!$C$18,F54&lt;'CAJA'!$L$9,NOT(OR(AND(LEN(TRIM(G54&amp;""))&gt;0,NOT(IF(ISNUMBER(G54),AND(G54&gt;=0,G54=ROUND(G54,2)),FALSE))),AND(LEN(TRIM(F54&amp;""))&gt;0,NOT(IF(ISNUMBER(F54),AND(F54&gt;=1,F54&lt;=2958465,F54=INT(F54)),FALSE))),AND(LEN(TRIM(D54&amp;""))&gt;0,NOT(OR(D54="Cobro",D54="Pago"))),AND(LEN(TRIM(E54&amp;""))&gt;0,NOT(OR(E54="Previsto",E54="Realizado"))),AND(AND(LEN(TRIM(B54&amp;""))&gt;0,TRIM(B54)&lt;&gt;"Pendiente",TRIM(B54)&lt;&gt;"Por confirmar",TRIM(B54)&lt;&gt;"No consta",TRIM(B54)&lt;&gt;"Desconocido"),SUMPRODUCT(($L$10:$L$69=L54)*1)&gt;1),AND(IF(ISNUMBER(F54),AND(F54&gt;=1,F54&lt;=2958465,F54=INT(F54)),FALSE),IF(ISNUMBER('CAJA'!$C$19),AND('CAJA'!$C$19&gt;=1,'CAJA'!$C$19&lt;=2958465,'CAJA'!$C$19=INT('CAJA'!$C$19)),FALSE),OR(AND(E54="Realizado",F54&gt;'CAJA'!$C$19),AND(E54="Previsto",F54&lt;'CAJA'!$C$19))),AND(IF(ISNUMBER(F54),AND(F54&gt;=1,F54&lt;=2958465,F54=INT(F54)),FALSE),'CAJA'!$L$2=1,F54&lt;'CAJA'!$C$18)))),0,1)))))</f>
      </c>
      <c r="N54" t="n" s="27">
        <f>IF(AND(K54=1,ISNUMBER(M54),M54=0),1,0)</f>
        <v>0</v>
      </c>
      <c r="O54" t="str" s="27">
        <f>IF(IF(ISNUMBER(F54),AND(F54&gt;=1,F54&lt;=2958465,F54=INT(F54)),FALSE),F54-WEEKDAY(F54,2)+1,"")</f>
      </c>
      <c r="P54" t="n" s="27">
        <f>IF(AND(K54=1,ISNUMBER(M54),M54&gt;0),IF(NOT(IF(ISNUMBER(F54),AND(F54&gt;=1,F54&lt;=2958465,F54=INT(F54)),FALSE)),1,IF('CAJA'!$L$2&lt;&gt;1,1,IF(OR(F54&lt;'CAJA'!$C$18,F54&gt;='CAJA'!$L$9),1,0))),0)</f>
        <v>0</v>
      </c>
    </row>
    <row r="55" ht="69" customHeight="1">
      <c r="B55" s="34"/>
      <c r="C55" s="34"/>
      <c r="D55" s="34"/>
      <c r="E55" s="34"/>
      <c r="F55" s="35"/>
      <c r="G55" s="36"/>
      <c r="H55" s="34"/>
      <c r="I55" s="33" t="str">
        <f>IF(K55=0,"",IF(M55=2,"ROJO",IF(M55=1,"ÁMBAR","VERDE")))</f>
      </c>
      <c r="J55" s="33" t="str">
        <f>IF(K55=0,"",IF(OR(ISERROR(B55),ISERROR(C55),ISERROR(D55),ISERROR(E55),ISERROR(F55),ISERROR(G55),ISERROR(H55)),"Hay una entrada con error de fórmula. Corregimos el dato; no lo convertimos en cero.",IF(OR(ISERROR('CAJA'!$C$17),ISERROR('CAJA'!$C$18),ISERROR('CAJA'!$C$19),ISERROR('CAJA'!$C$20),ISERROR('CAJA'!$C$21),ISERROR('CAJA'!$C$22),ISERROR('CAJA'!$C$23)),"Corregimos la entrada con error en CAJA antes de validar el movimiento.",IF(AND(AND(LEN(TRIM(B55&amp;""))&gt;0,TRIM(B55)&lt;&gt;"Pendiente",TRIM(B55)&lt;&gt;"Por confirmar",TRIM(B55)&lt;&gt;"No consta",TRIM(B55)&lt;&gt;"Desconocido"),SUMPRODUCT(($L$10:$L$69=L55)*1)&gt;1),"ID repetido: actualizamos el mismo movimiento o separamos únicamente la parte realizada y el resto pendiente.",IF(AND(IF(ISNUMBER(F55),AND(F55&gt;=1,F55&lt;=2958465,F55=INT(F55)),FALSE),IF(ISNUMBER('CAJA'!$C$19),AND('CAJA'!$C$19&gt;=1,'CAJA'!$C$19&lt;=2958465,'CAJA'!$C$19=INT('CAJA'!$C$19)),FALSE),E55="Realizado",F55&gt;'CAJA'!$C$19),"Realizado en fecha posterior al corte: revisamos fecha y estado.",IF(AND(IF(ISNUMBER(F55),AND(F55&gt;=1,F55&lt;=2958465,F55=INT(F55)),FALSE),IF(ISNUMBER('CAJA'!$C$19),AND('CAJA'!$C$19&gt;=1,'CAJA'!$C$19&lt;=2958465,'CAJA'!$C$19=INT('CAJA'!$C$19)),FALSE),E55="Previsto",F55&lt;'CAJA'!$C$19),"Previsión vencida: actualizamos su fecha esperada o registramos el movimiento realizado; no lo damos por cobrado.",IF(AND(IF(ISNUMBER(F55),AND(F55&gt;=1,F55&lt;=2958465,F55=INT(F55)),FALSE),'CAJA'!$L$2=1,F55&lt;'CAJA'!$C$18),"Anterior al horizonte: revisamos si ya está en el saldo inicial para no contarlo dos veces.",IF(OR(AND(LEN(TRIM(G55&amp;""))&gt;0,NOT(IF(ISNUMBER(G55),AND(G55&gt;=0,G55=ROUND(G55,2)),FALSE))),AND(LEN(TRIM(F55&amp;""))&gt;0,NOT(IF(ISNUMBER(F55),AND(F55&gt;=1,F55&lt;=2958465,F55=INT(F55)),FALSE))),AND(LEN(TRIM(D55&amp;""))&gt;0,NOT(OR(D55="Cobro",D55="Pago"))),AND(LEN(TRIM(E55&amp;""))&gt;0,NOT(OR(E55="Previsto",E55="Realizado"))),AND(AND(LEN(TRIM(B55&amp;""))&gt;0,TRIM(B55)&lt;&gt;"Pendiente",TRIM(B55)&lt;&gt;"Por confirmar",TRIM(B55)&lt;&gt;"No consta",TRIM(B55)&lt;&gt;"Desconocido"),SUMPRODUCT(($L$10:$L$69=L55)*1)&gt;1),AND(IF(ISNUMBER(F55),AND(F55&gt;=1,F55&lt;=2958465,F55=INT(F55)),FALSE),IF(ISNUMBER('CAJA'!$C$19),AND('CAJA'!$C$19&gt;=1,'CAJA'!$C$19&lt;=2958465,'CAJA'!$C$19=INT('CAJA'!$C$19)),FALSE),OR(AND(E55="Realizado",F55&gt;'CAJA'!$C$19),AND(E55="Previsto",F55&lt;'CAJA'!$C$19))),AND(IF(ISNUMBER(F55),AND(F55&gt;=1,F55&lt;=2958465,F55=INT(F55)),FALSE),'CAJA'!$L$2=1,F55&lt;'CAJA'!$C$18)),"Revisamos fecha, importe positivo/cero explícito y opciones de sentido/estado. Fechas sin hora e importes a céntimos.",IF(NOT(AND(LEN(TRIM(B55&amp;""))&gt;0,TRIM(B55)&lt;&gt;"Pendiente",TRIM(B55)&lt;&gt;"Por confirmar",TRIM(B55)&lt;&gt;"No consta",TRIM(B55)&lt;&gt;"Desconocido")),"Asignamos un identificador único.",IF(NOT(AND(LEN(TRIM(C55&amp;""))&gt;0,TRIM(C55)&lt;&gt;"Pendiente",TRIM(C55)&lt;&gt;"Por confirmar",TRIM(C55)&lt;&gt;"No consta",TRIM(C55)&lt;&gt;"Desconocido")),"Identificamos el concepto.",IF(NOT(OR(D55="Cobro",D55="Pago")),"Elegimos Cobro o Pago.",IF(NOT(OR(E55="Previsto",E55="Realizado")),"Elegimos Previsto o Realizado según lo acreditado.",IF(NOT(IF(ISNUMBER(F55),AND(F55&gt;=1,F55&lt;=2958465,F55=INT(F55)),FALSE)),"Falta fecha/semana: un plazo relativo o la fecha de una oferta no bastan.",IF(NOT(IF(ISNUMBER(G55),AND(G55&gt;=0,G55=ROUND(G55,2)),FALSE)),"Falta importe efectivo; el total de presupuesto no acredita este movimiento.",IF(NOT(AND(LEN(TRIM(H55&amp;""))&gt;0,TRIM(H55)&lt;&gt;"Pendiente",TRIM(H55)&lt;&gt;"Por confirmar",TRIM(H55)&lt;&gt;"No consta",TRIM(H55)&lt;&gt;"Desconocido")),"Identificamos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CAJA.",IF(AND(IF(ISNUMBER(F55),AND(F55&gt;=1,F55&lt;=2958465,F55=INT(F55)),FALSE),'CAJA'!$L$2=1,F55&gt;='CAJA'!$L$9),"Fuera del horizonte: ampliamos semanas (hasta 26) o revisamos la ventana. Aquí no se suma.","Dato registrado para la previsión; el estado Realizado requiere su evidencia de cobro/pago."))))))))))))))))))</f>
      </c>
      <c r="K55" t="n" s="27">
        <f>IF(COUNTA(B55:H55)&gt;0,1,0)</f>
        <v>0</v>
      </c>
      <c r="L55" t="str" s="27">
        <f>IF(COUNTA(B55:H55)&gt;0,IFERROR("ID:"&amp;UPPER(TRIM(B55&amp;"")),""),"")</f>
      </c>
      <c r="M55" t="str" s="27">
        <f>IF(NOT(COUNTA(B55:H55)&gt;0),"",IF(OR(ISERROR(B55),ISERROR(C55),ISERROR(D55),ISERROR(E55),ISERROR(F55),ISERROR(G55),ISERROR(H55)),2,IF(OR(ISERROR('CAJA'!$C$17),ISERROR('CAJA'!$C$18),ISERROR('CAJA'!$C$19),ISERROR('CAJA'!$C$20),ISERROR('CAJA'!$C$21),ISERROR('CAJA'!$C$22),ISERROR('CAJA'!$C$23)),1,IF(OR(AND(LEN(TRIM(G55&amp;""))&gt;0,NOT(IF(ISNUMBER(G55),AND(G55&gt;=0,G55=ROUND(G55,2)),FALSE))),AND(LEN(TRIM(F55&amp;""))&gt;0,NOT(IF(ISNUMBER(F55),AND(F55&gt;=1,F55&lt;=2958465,F55=INT(F55)),FALSE))),AND(LEN(TRIM(D55&amp;""))&gt;0,NOT(OR(D55="Cobro",D55="Pago"))),AND(LEN(TRIM(E55&amp;""))&gt;0,NOT(OR(E55="Previsto",E55="Realizado"))),AND(AND(LEN(TRIM(B55&amp;""))&gt;0,TRIM(B55)&lt;&gt;"Pendiente",TRIM(B55)&lt;&gt;"Por confirmar",TRIM(B55)&lt;&gt;"No consta",TRIM(B55)&lt;&gt;"Desconocido"),SUMPRODUCT(($L$10:$L$69=L55)*1)&gt;1),AND(IF(ISNUMBER(F55),AND(F55&gt;=1,F55&lt;=2958465,F55=INT(F55)),FALSE),IF(ISNUMBER('CAJA'!$C$19),AND('CAJA'!$C$19&gt;=1,'CAJA'!$C$19&lt;=2958465,'CAJA'!$C$19=INT('CAJA'!$C$19)),FALSE),OR(AND(E55="Realizado",F55&gt;'CAJA'!$C$19),AND(E55="Previsto",F55&lt;'CAJA'!$C$19))),AND(IF(ISNUMBER(F55),AND(F55&gt;=1,F55&lt;=2958465,F55=INT(F55)),FALSE),'CAJA'!$L$2=1,F55&lt;'CAJA'!$C$18)),2,IF(AND(AND(LEN(TRIM(B55&amp;""))&gt;0,TRIM(B55)&lt;&gt;"Pendiente",TRIM(B55)&lt;&gt;"Por confirmar",TRIM(B55)&lt;&gt;"No consta",TRIM(B55)&lt;&gt;"Desconocido"),AND(LEN(TRIM(C55&amp;""))&gt;0,TRIM(C55)&lt;&gt;"Pendiente",TRIM(C55)&lt;&gt;"Por confirmar",TRIM(C55)&lt;&gt;"No consta",TRIM(C55)&lt;&gt;"Desconocido"),OR(D55="Cobro",D55="Pago"),OR(E55="Previsto",E55="Realizado"),IF(ISNUMBER(F55),AND(F55&gt;=1,F55&lt;=2958465,F55=INT(F55)),FALSE),IF(ISNUMBER(G55),AND(G55&gt;=0,G55=ROUND(G55,2)),FALSE),AND(LEN(TRIM(H55&amp;""))&gt;0,TRIM(H55)&lt;&gt;"Pendiente",TRIM(H55)&lt;&gt;"Por confirmar",TRIM(H55)&lt;&gt;"No consta",TRIM(H55)&lt;&gt;"Desconocido"),'CAJA'!$L$2=1,IF(ISNUMBER('CAJA'!$C$19),AND('CAJA'!$C$19&gt;=1,'CAJA'!$C$19&lt;=2958465,'CAJA'!$C$19=INT('CAJA'!$C$19)),FALSE),F55&gt;='CAJA'!$C$18,F55&lt;'CAJA'!$L$9,NOT(OR(AND(LEN(TRIM(G55&amp;""))&gt;0,NOT(IF(ISNUMBER(G55),AND(G55&gt;=0,G55=ROUND(G55,2)),FALSE))),AND(LEN(TRIM(F55&amp;""))&gt;0,NOT(IF(ISNUMBER(F55),AND(F55&gt;=1,F55&lt;=2958465,F55=INT(F55)),FALSE))),AND(LEN(TRIM(D55&amp;""))&gt;0,NOT(OR(D55="Cobro",D55="Pago"))),AND(LEN(TRIM(E55&amp;""))&gt;0,NOT(OR(E55="Previsto",E55="Realizado"))),AND(AND(LEN(TRIM(B55&amp;""))&gt;0,TRIM(B55)&lt;&gt;"Pendiente",TRIM(B55)&lt;&gt;"Por confirmar",TRIM(B55)&lt;&gt;"No consta",TRIM(B55)&lt;&gt;"Desconocido"),SUMPRODUCT(($L$10:$L$69=L55)*1)&gt;1),AND(IF(ISNUMBER(F55),AND(F55&gt;=1,F55&lt;=2958465,F55=INT(F55)),FALSE),IF(ISNUMBER('CAJA'!$C$19),AND('CAJA'!$C$19&gt;=1,'CAJA'!$C$19&lt;=2958465,'CAJA'!$C$19=INT('CAJA'!$C$19)),FALSE),OR(AND(E55="Realizado",F55&gt;'CAJA'!$C$19),AND(E55="Previsto",F55&lt;'CAJA'!$C$19))),AND(IF(ISNUMBER(F55),AND(F55&gt;=1,F55&lt;=2958465,F55=INT(F55)),FALSE),'CAJA'!$L$2=1,F55&lt;'CAJA'!$C$18)))),0,1)))))</f>
      </c>
      <c r="N55" t="n" s="27">
        <f>IF(AND(K55=1,ISNUMBER(M55),M55=0),1,0)</f>
        <v>0</v>
      </c>
      <c r="O55" t="str" s="27">
        <f>IF(IF(ISNUMBER(F55),AND(F55&gt;=1,F55&lt;=2958465,F55=INT(F55)),FALSE),F55-WEEKDAY(F55,2)+1,"")</f>
      </c>
      <c r="P55" t="n" s="27">
        <f>IF(AND(K55=1,ISNUMBER(M55),M55&gt;0),IF(NOT(IF(ISNUMBER(F55),AND(F55&gt;=1,F55&lt;=2958465,F55=INT(F55)),FALSE)),1,IF('CAJA'!$L$2&lt;&gt;1,1,IF(OR(F55&lt;'CAJA'!$C$18,F55&gt;='CAJA'!$L$9),1,0))),0)</f>
        <v>0</v>
      </c>
    </row>
    <row r="56" ht="69" customHeight="1">
      <c r="B56" s="34"/>
      <c r="C56" s="34"/>
      <c r="D56" s="34"/>
      <c r="E56" s="34"/>
      <c r="F56" s="35"/>
      <c r="G56" s="36"/>
      <c r="H56" s="34"/>
      <c r="I56" s="33" t="str">
        <f>IF(K56=0,"",IF(M56=2,"ROJO",IF(M56=1,"ÁMBAR","VERDE")))</f>
      </c>
      <c r="J56" s="33" t="str">
        <f>IF(K56=0,"",IF(OR(ISERROR(B56),ISERROR(C56),ISERROR(D56),ISERROR(E56),ISERROR(F56),ISERROR(G56),ISERROR(H56)),"Hay una entrada con error de fórmula. Corregimos el dato; no lo convertimos en cero.",IF(OR(ISERROR('CAJA'!$C$17),ISERROR('CAJA'!$C$18),ISERROR('CAJA'!$C$19),ISERROR('CAJA'!$C$20),ISERROR('CAJA'!$C$21),ISERROR('CAJA'!$C$22),ISERROR('CAJA'!$C$23)),"Corregimos la entrada con error en CAJA antes de validar el movimiento.",IF(AND(AND(LEN(TRIM(B56&amp;""))&gt;0,TRIM(B56)&lt;&gt;"Pendiente",TRIM(B56)&lt;&gt;"Por confirmar",TRIM(B56)&lt;&gt;"No consta",TRIM(B56)&lt;&gt;"Desconocido"),SUMPRODUCT(($L$10:$L$69=L56)*1)&gt;1),"ID repetido: actualizamos el mismo movimiento o separamos únicamente la parte realizada y el resto pendiente.",IF(AND(IF(ISNUMBER(F56),AND(F56&gt;=1,F56&lt;=2958465,F56=INT(F56)),FALSE),IF(ISNUMBER('CAJA'!$C$19),AND('CAJA'!$C$19&gt;=1,'CAJA'!$C$19&lt;=2958465,'CAJA'!$C$19=INT('CAJA'!$C$19)),FALSE),E56="Realizado",F56&gt;'CAJA'!$C$19),"Realizado en fecha posterior al corte: revisamos fecha y estado.",IF(AND(IF(ISNUMBER(F56),AND(F56&gt;=1,F56&lt;=2958465,F56=INT(F56)),FALSE),IF(ISNUMBER('CAJA'!$C$19),AND('CAJA'!$C$19&gt;=1,'CAJA'!$C$19&lt;=2958465,'CAJA'!$C$19=INT('CAJA'!$C$19)),FALSE),E56="Previsto",F56&lt;'CAJA'!$C$19),"Previsión vencida: actualizamos su fecha esperada o registramos el movimiento realizado; no lo damos por cobrado.",IF(AND(IF(ISNUMBER(F56),AND(F56&gt;=1,F56&lt;=2958465,F56=INT(F56)),FALSE),'CAJA'!$L$2=1,F56&lt;'CAJA'!$C$18),"Anterior al horizonte: revisamos si ya está en el saldo inicial para no contarlo dos veces.",IF(OR(AND(LEN(TRIM(G56&amp;""))&gt;0,NOT(IF(ISNUMBER(G56),AND(G56&gt;=0,G56=ROUND(G56,2)),FALSE))),AND(LEN(TRIM(F56&amp;""))&gt;0,NOT(IF(ISNUMBER(F56),AND(F56&gt;=1,F56&lt;=2958465,F56=INT(F56)),FALSE))),AND(LEN(TRIM(D56&amp;""))&gt;0,NOT(OR(D56="Cobro",D56="Pago"))),AND(LEN(TRIM(E56&amp;""))&gt;0,NOT(OR(E56="Previsto",E56="Realizado"))),AND(AND(LEN(TRIM(B56&amp;""))&gt;0,TRIM(B56)&lt;&gt;"Pendiente",TRIM(B56)&lt;&gt;"Por confirmar",TRIM(B56)&lt;&gt;"No consta",TRIM(B56)&lt;&gt;"Desconocido"),SUMPRODUCT(($L$10:$L$69=L56)*1)&gt;1),AND(IF(ISNUMBER(F56),AND(F56&gt;=1,F56&lt;=2958465,F56=INT(F56)),FALSE),IF(ISNUMBER('CAJA'!$C$19),AND('CAJA'!$C$19&gt;=1,'CAJA'!$C$19&lt;=2958465,'CAJA'!$C$19=INT('CAJA'!$C$19)),FALSE),OR(AND(E56="Realizado",F56&gt;'CAJA'!$C$19),AND(E56="Previsto",F56&lt;'CAJA'!$C$19))),AND(IF(ISNUMBER(F56),AND(F56&gt;=1,F56&lt;=2958465,F56=INT(F56)),FALSE),'CAJA'!$L$2=1,F56&lt;'CAJA'!$C$18)),"Revisamos fecha, importe positivo/cero explícito y opciones de sentido/estado. Fechas sin hora e importes a céntimos.",IF(NOT(AND(LEN(TRIM(B56&amp;""))&gt;0,TRIM(B56)&lt;&gt;"Pendiente",TRIM(B56)&lt;&gt;"Por confirmar",TRIM(B56)&lt;&gt;"No consta",TRIM(B56)&lt;&gt;"Desconocido")),"Asignamos un identificador único.",IF(NOT(AND(LEN(TRIM(C56&amp;""))&gt;0,TRIM(C56)&lt;&gt;"Pendiente",TRIM(C56)&lt;&gt;"Por confirmar",TRIM(C56)&lt;&gt;"No consta",TRIM(C56)&lt;&gt;"Desconocido")),"Identificamos el concepto.",IF(NOT(OR(D56="Cobro",D56="Pago")),"Elegimos Cobro o Pago.",IF(NOT(OR(E56="Previsto",E56="Realizado")),"Elegimos Previsto o Realizado según lo acreditado.",IF(NOT(IF(ISNUMBER(F56),AND(F56&gt;=1,F56&lt;=2958465,F56=INT(F56)),FALSE)),"Falta fecha/semana: un plazo relativo o la fecha de una oferta no bastan.",IF(NOT(IF(ISNUMBER(G56),AND(G56&gt;=0,G56=ROUND(G56,2)),FALSE)),"Falta importe efectivo; el total de presupuesto no acredita este movimiento.",IF(NOT(AND(LEN(TRIM(H56&amp;""))&gt;0,TRIM(H56)&lt;&gt;"Pendiente",TRIM(H56)&lt;&gt;"Por confirmar",TRIM(H56)&lt;&gt;"No consta",TRIM(H56)&lt;&gt;"Desconocido")),"Identificamos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CAJA.",IF(AND(IF(ISNUMBER(F56),AND(F56&gt;=1,F56&lt;=2958465,F56=INT(F56)),FALSE),'CAJA'!$L$2=1,F56&gt;='CAJA'!$L$9),"Fuera del horizonte: ampliamos semanas (hasta 26) o revisamos la ventana. Aquí no se suma.","Dato registrado para la previsión; el estado Realizado requiere su evidencia de cobro/pago."))))))))))))))))))</f>
      </c>
      <c r="K56" t="n" s="27">
        <f>IF(COUNTA(B56:H56)&gt;0,1,0)</f>
        <v>0</v>
      </c>
      <c r="L56" t="str" s="27">
        <f>IF(COUNTA(B56:H56)&gt;0,IFERROR("ID:"&amp;UPPER(TRIM(B56&amp;"")),""),"")</f>
      </c>
      <c r="M56" t="str" s="27">
        <f>IF(NOT(COUNTA(B56:H56)&gt;0),"",IF(OR(ISERROR(B56),ISERROR(C56),ISERROR(D56),ISERROR(E56),ISERROR(F56),ISERROR(G56),ISERROR(H56)),2,IF(OR(ISERROR('CAJA'!$C$17),ISERROR('CAJA'!$C$18),ISERROR('CAJA'!$C$19),ISERROR('CAJA'!$C$20),ISERROR('CAJA'!$C$21),ISERROR('CAJA'!$C$22),ISERROR('CAJA'!$C$23)),1,IF(OR(AND(LEN(TRIM(G56&amp;""))&gt;0,NOT(IF(ISNUMBER(G56),AND(G56&gt;=0,G56=ROUND(G56,2)),FALSE))),AND(LEN(TRIM(F56&amp;""))&gt;0,NOT(IF(ISNUMBER(F56),AND(F56&gt;=1,F56&lt;=2958465,F56=INT(F56)),FALSE))),AND(LEN(TRIM(D56&amp;""))&gt;0,NOT(OR(D56="Cobro",D56="Pago"))),AND(LEN(TRIM(E56&amp;""))&gt;0,NOT(OR(E56="Previsto",E56="Realizado"))),AND(AND(LEN(TRIM(B56&amp;""))&gt;0,TRIM(B56)&lt;&gt;"Pendiente",TRIM(B56)&lt;&gt;"Por confirmar",TRIM(B56)&lt;&gt;"No consta",TRIM(B56)&lt;&gt;"Desconocido"),SUMPRODUCT(($L$10:$L$69=L56)*1)&gt;1),AND(IF(ISNUMBER(F56),AND(F56&gt;=1,F56&lt;=2958465,F56=INT(F56)),FALSE),IF(ISNUMBER('CAJA'!$C$19),AND('CAJA'!$C$19&gt;=1,'CAJA'!$C$19&lt;=2958465,'CAJA'!$C$19=INT('CAJA'!$C$19)),FALSE),OR(AND(E56="Realizado",F56&gt;'CAJA'!$C$19),AND(E56="Previsto",F56&lt;'CAJA'!$C$19))),AND(IF(ISNUMBER(F56),AND(F56&gt;=1,F56&lt;=2958465,F56=INT(F56)),FALSE),'CAJA'!$L$2=1,F56&lt;'CAJA'!$C$18)),2,IF(AND(AND(LEN(TRIM(B56&amp;""))&gt;0,TRIM(B56)&lt;&gt;"Pendiente",TRIM(B56)&lt;&gt;"Por confirmar",TRIM(B56)&lt;&gt;"No consta",TRIM(B56)&lt;&gt;"Desconocido"),AND(LEN(TRIM(C56&amp;""))&gt;0,TRIM(C56)&lt;&gt;"Pendiente",TRIM(C56)&lt;&gt;"Por confirmar",TRIM(C56)&lt;&gt;"No consta",TRIM(C56)&lt;&gt;"Desconocido"),OR(D56="Cobro",D56="Pago"),OR(E56="Previsto",E56="Realizado"),IF(ISNUMBER(F56),AND(F56&gt;=1,F56&lt;=2958465,F56=INT(F56)),FALSE),IF(ISNUMBER(G56),AND(G56&gt;=0,G56=ROUND(G56,2)),FALSE),AND(LEN(TRIM(H56&amp;""))&gt;0,TRIM(H56)&lt;&gt;"Pendiente",TRIM(H56)&lt;&gt;"Por confirmar",TRIM(H56)&lt;&gt;"No consta",TRIM(H56)&lt;&gt;"Desconocido"),'CAJA'!$L$2=1,IF(ISNUMBER('CAJA'!$C$19),AND('CAJA'!$C$19&gt;=1,'CAJA'!$C$19&lt;=2958465,'CAJA'!$C$19=INT('CAJA'!$C$19)),FALSE),F56&gt;='CAJA'!$C$18,F56&lt;'CAJA'!$L$9,NOT(OR(AND(LEN(TRIM(G56&amp;""))&gt;0,NOT(IF(ISNUMBER(G56),AND(G56&gt;=0,G56=ROUND(G56,2)),FALSE))),AND(LEN(TRIM(F56&amp;""))&gt;0,NOT(IF(ISNUMBER(F56),AND(F56&gt;=1,F56&lt;=2958465,F56=INT(F56)),FALSE))),AND(LEN(TRIM(D56&amp;""))&gt;0,NOT(OR(D56="Cobro",D56="Pago"))),AND(LEN(TRIM(E56&amp;""))&gt;0,NOT(OR(E56="Previsto",E56="Realizado"))),AND(AND(LEN(TRIM(B56&amp;""))&gt;0,TRIM(B56)&lt;&gt;"Pendiente",TRIM(B56)&lt;&gt;"Por confirmar",TRIM(B56)&lt;&gt;"No consta",TRIM(B56)&lt;&gt;"Desconocido"),SUMPRODUCT(($L$10:$L$69=L56)*1)&gt;1),AND(IF(ISNUMBER(F56),AND(F56&gt;=1,F56&lt;=2958465,F56=INT(F56)),FALSE),IF(ISNUMBER('CAJA'!$C$19),AND('CAJA'!$C$19&gt;=1,'CAJA'!$C$19&lt;=2958465,'CAJA'!$C$19=INT('CAJA'!$C$19)),FALSE),OR(AND(E56="Realizado",F56&gt;'CAJA'!$C$19),AND(E56="Previsto",F56&lt;'CAJA'!$C$19))),AND(IF(ISNUMBER(F56),AND(F56&gt;=1,F56&lt;=2958465,F56=INT(F56)),FALSE),'CAJA'!$L$2=1,F56&lt;'CAJA'!$C$18)))),0,1)))))</f>
      </c>
      <c r="N56" t="n" s="27">
        <f>IF(AND(K56=1,ISNUMBER(M56),M56=0),1,0)</f>
        <v>0</v>
      </c>
      <c r="O56" t="str" s="27">
        <f>IF(IF(ISNUMBER(F56),AND(F56&gt;=1,F56&lt;=2958465,F56=INT(F56)),FALSE),F56-WEEKDAY(F56,2)+1,"")</f>
      </c>
      <c r="P56" t="n" s="27">
        <f>IF(AND(K56=1,ISNUMBER(M56),M56&gt;0),IF(NOT(IF(ISNUMBER(F56),AND(F56&gt;=1,F56&lt;=2958465,F56=INT(F56)),FALSE)),1,IF('CAJA'!$L$2&lt;&gt;1,1,IF(OR(F56&lt;'CAJA'!$C$18,F56&gt;='CAJA'!$L$9),1,0))),0)</f>
        <v>0</v>
      </c>
    </row>
    <row r="57" ht="69" customHeight="1">
      <c r="B57" s="34"/>
      <c r="C57" s="34"/>
      <c r="D57" s="34"/>
      <c r="E57" s="34"/>
      <c r="F57" s="35"/>
      <c r="G57" s="36"/>
      <c r="H57" s="34"/>
      <c r="I57" s="33" t="str">
        <f>IF(K57=0,"",IF(M57=2,"ROJO",IF(M57=1,"ÁMBAR","VERDE")))</f>
      </c>
      <c r="J57" s="33" t="str">
        <f>IF(K57=0,"",IF(OR(ISERROR(B57),ISERROR(C57),ISERROR(D57),ISERROR(E57),ISERROR(F57),ISERROR(G57),ISERROR(H57)),"Hay una entrada con error de fórmula. Corregimos el dato; no lo convertimos en cero.",IF(OR(ISERROR('CAJA'!$C$17),ISERROR('CAJA'!$C$18),ISERROR('CAJA'!$C$19),ISERROR('CAJA'!$C$20),ISERROR('CAJA'!$C$21),ISERROR('CAJA'!$C$22),ISERROR('CAJA'!$C$23)),"Corregimos la entrada con error en CAJA antes de validar el movimiento.",IF(AND(AND(LEN(TRIM(B57&amp;""))&gt;0,TRIM(B57)&lt;&gt;"Pendiente",TRIM(B57)&lt;&gt;"Por confirmar",TRIM(B57)&lt;&gt;"No consta",TRIM(B57)&lt;&gt;"Desconocido"),SUMPRODUCT(($L$10:$L$69=L57)*1)&gt;1),"ID repetido: actualizamos el mismo movimiento o separamos únicamente la parte realizada y el resto pendiente.",IF(AND(IF(ISNUMBER(F57),AND(F57&gt;=1,F57&lt;=2958465,F57=INT(F57)),FALSE),IF(ISNUMBER('CAJA'!$C$19),AND('CAJA'!$C$19&gt;=1,'CAJA'!$C$19&lt;=2958465,'CAJA'!$C$19=INT('CAJA'!$C$19)),FALSE),E57="Realizado",F57&gt;'CAJA'!$C$19),"Realizado en fecha posterior al corte: revisamos fecha y estado.",IF(AND(IF(ISNUMBER(F57),AND(F57&gt;=1,F57&lt;=2958465,F57=INT(F57)),FALSE),IF(ISNUMBER('CAJA'!$C$19),AND('CAJA'!$C$19&gt;=1,'CAJA'!$C$19&lt;=2958465,'CAJA'!$C$19=INT('CAJA'!$C$19)),FALSE),E57="Previsto",F57&lt;'CAJA'!$C$19),"Previsión vencida: actualizamos su fecha esperada o registramos el movimiento realizado; no lo damos por cobrado.",IF(AND(IF(ISNUMBER(F57),AND(F57&gt;=1,F57&lt;=2958465,F57=INT(F57)),FALSE),'CAJA'!$L$2=1,F57&lt;'CAJA'!$C$18),"Anterior al horizonte: revisamos si ya está en el saldo inicial para no contarlo dos veces.",IF(OR(AND(LEN(TRIM(G57&amp;""))&gt;0,NOT(IF(ISNUMBER(G57),AND(G57&gt;=0,G57=ROUND(G57,2)),FALSE))),AND(LEN(TRIM(F57&amp;""))&gt;0,NOT(IF(ISNUMBER(F57),AND(F57&gt;=1,F57&lt;=2958465,F57=INT(F57)),FALSE))),AND(LEN(TRIM(D57&amp;""))&gt;0,NOT(OR(D57="Cobro",D57="Pago"))),AND(LEN(TRIM(E57&amp;""))&gt;0,NOT(OR(E57="Previsto",E57="Realizado"))),AND(AND(LEN(TRIM(B57&amp;""))&gt;0,TRIM(B57)&lt;&gt;"Pendiente",TRIM(B57)&lt;&gt;"Por confirmar",TRIM(B57)&lt;&gt;"No consta",TRIM(B57)&lt;&gt;"Desconocido"),SUMPRODUCT(($L$10:$L$69=L57)*1)&gt;1),AND(IF(ISNUMBER(F57),AND(F57&gt;=1,F57&lt;=2958465,F57=INT(F57)),FALSE),IF(ISNUMBER('CAJA'!$C$19),AND('CAJA'!$C$19&gt;=1,'CAJA'!$C$19&lt;=2958465,'CAJA'!$C$19=INT('CAJA'!$C$19)),FALSE),OR(AND(E57="Realizado",F57&gt;'CAJA'!$C$19),AND(E57="Previsto",F57&lt;'CAJA'!$C$19))),AND(IF(ISNUMBER(F57),AND(F57&gt;=1,F57&lt;=2958465,F57=INT(F57)),FALSE),'CAJA'!$L$2=1,F57&lt;'CAJA'!$C$18)),"Revisamos fecha, importe positivo/cero explícito y opciones de sentido/estado. Fechas sin hora e importes a céntimos.",IF(NOT(AND(LEN(TRIM(B57&amp;""))&gt;0,TRIM(B57)&lt;&gt;"Pendiente",TRIM(B57)&lt;&gt;"Por confirmar",TRIM(B57)&lt;&gt;"No consta",TRIM(B57)&lt;&gt;"Desconocido")),"Asignamos un identificador único.",IF(NOT(AND(LEN(TRIM(C57&amp;""))&gt;0,TRIM(C57)&lt;&gt;"Pendiente",TRIM(C57)&lt;&gt;"Por confirmar",TRIM(C57)&lt;&gt;"No consta",TRIM(C57)&lt;&gt;"Desconocido")),"Identificamos el concepto.",IF(NOT(OR(D57="Cobro",D57="Pago")),"Elegimos Cobro o Pago.",IF(NOT(OR(E57="Previsto",E57="Realizado")),"Elegimos Previsto o Realizado según lo acreditado.",IF(NOT(IF(ISNUMBER(F57),AND(F57&gt;=1,F57&lt;=2958465,F57=INT(F57)),FALSE)),"Falta fecha/semana: un plazo relativo o la fecha de una oferta no bastan.",IF(NOT(IF(ISNUMBER(G57),AND(G57&gt;=0,G57=ROUND(G57,2)),FALSE)),"Falta importe efectivo; el total de presupuesto no acredita este movimiento.",IF(NOT(AND(LEN(TRIM(H57&amp;""))&gt;0,TRIM(H57)&lt;&gt;"Pendiente",TRIM(H57)&lt;&gt;"Por confirmar",TRIM(H57)&lt;&gt;"No consta",TRIM(H57)&lt;&gt;"Desconocido")),"Identificamos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CAJA.",IF(AND(IF(ISNUMBER(F57),AND(F57&gt;=1,F57&lt;=2958465,F57=INT(F57)),FALSE),'CAJA'!$L$2=1,F57&gt;='CAJA'!$L$9),"Fuera del horizonte: ampliamos semanas (hasta 26) o revisamos la ventana. Aquí no se suma.","Dato registrado para la previsión; el estado Realizado requiere su evidencia de cobro/pago."))))))))))))))))))</f>
      </c>
      <c r="K57" t="n" s="27">
        <f>IF(COUNTA(B57:H57)&gt;0,1,0)</f>
        <v>0</v>
      </c>
      <c r="L57" t="str" s="27">
        <f>IF(COUNTA(B57:H57)&gt;0,IFERROR("ID:"&amp;UPPER(TRIM(B57&amp;"")),""),"")</f>
      </c>
      <c r="M57" t="str" s="27">
        <f>IF(NOT(COUNTA(B57:H57)&gt;0),"",IF(OR(ISERROR(B57),ISERROR(C57),ISERROR(D57),ISERROR(E57),ISERROR(F57),ISERROR(G57),ISERROR(H57)),2,IF(OR(ISERROR('CAJA'!$C$17),ISERROR('CAJA'!$C$18),ISERROR('CAJA'!$C$19),ISERROR('CAJA'!$C$20),ISERROR('CAJA'!$C$21),ISERROR('CAJA'!$C$22),ISERROR('CAJA'!$C$23)),1,IF(OR(AND(LEN(TRIM(G57&amp;""))&gt;0,NOT(IF(ISNUMBER(G57),AND(G57&gt;=0,G57=ROUND(G57,2)),FALSE))),AND(LEN(TRIM(F57&amp;""))&gt;0,NOT(IF(ISNUMBER(F57),AND(F57&gt;=1,F57&lt;=2958465,F57=INT(F57)),FALSE))),AND(LEN(TRIM(D57&amp;""))&gt;0,NOT(OR(D57="Cobro",D57="Pago"))),AND(LEN(TRIM(E57&amp;""))&gt;0,NOT(OR(E57="Previsto",E57="Realizado"))),AND(AND(LEN(TRIM(B57&amp;""))&gt;0,TRIM(B57)&lt;&gt;"Pendiente",TRIM(B57)&lt;&gt;"Por confirmar",TRIM(B57)&lt;&gt;"No consta",TRIM(B57)&lt;&gt;"Desconocido"),SUMPRODUCT(($L$10:$L$69=L57)*1)&gt;1),AND(IF(ISNUMBER(F57),AND(F57&gt;=1,F57&lt;=2958465,F57=INT(F57)),FALSE),IF(ISNUMBER('CAJA'!$C$19),AND('CAJA'!$C$19&gt;=1,'CAJA'!$C$19&lt;=2958465,'CAJA'!$C$19=INT('CAJA'!$C$19)),FALSE),OR(AND(E57="Realizado",F57&gt;'CAJA'!$C$19),AND(E57="Previsto",F57&lt;'CAJA'!$C$19))),AND(IF(ISNUMBER(F57),AND(F57&gt;=1,F57&lt;=2958465,F57=INT(F57)),FALSE),'CAJA'!$L$2=1,F57&lt;'CAJA'!$C$18)),2,IF(AND(AND(LEN(TRIM(B57&amp;""))&gt;0,TRIM(B57)&lt;&gt;"Pendiente",TRIM(B57)&lt;&gt;"Por confirmar",TRIM(B57)&lt;&gt;"No consta",TRIM(B57)&lt;&gt;"Desconocido"),AND(LEN(TRIM(C57&amp;""))&gt;0,TRIM(C57)&lt;&gt;"Pendiente",TRIM(C57)&lt;&gt;"Por confirmar",TRIM(C57)&lt;&gt;"No consta",TRIM(C57)&lt;&gt;"Desconocido"),OR(D57="Cobro",D57="Pago"),OR(E57="Previsto",E57="Realizado"),IF(ISNUMBER(F57),AND(F57&gt;=1,F57&lt;=2958465,F57=INT(F57)),FALSE),IF(ISNUMBER(G57),AND(G57&gt;=0,G57=ROUND(G57,2)),FALSE),AND(LEN(TRIM(H57&amp;""))&gt;0,TRIM(H57)&lt;&gt;"Pendiente",TRIM(H57)&lt;&gt;"Por confirmar",TRIM(H57)&lt;&gt;"No consta",TRIM(H57)&lt;&gt;"Desconocido"),'CAJA'!$L$2=1,IF(ISNUMBER('CAJA'!$C$19),AND('CAJA'!$C$19&gt;=1,'CAJA'!$C$19&lt;=2958465,'CAJA'!$C$19=INT('CAJA'!$C$19)),FALSE),F57&gt;='CAJA'!$C$18,F57&lt;'CAJA'!$L$9,NOT(OR(AND(LEN(TRIM(G57&amp;""))&gt;0,NOT(IF(ISNUMBER(G57),AND(G57&gt;=0,G57=ROUND(G57,2)),FALSE))),AND(LEN(TRIM(F57&amp;""))&gt;0,NOT(IF(ISNUMBER(F57),AND(F57&gt;=1,F57&lt;=2958465,F57=INT(F57)),FALSE))),AND(LEN(TRIM(D57&amp;""))&gt;0,NOT(OR(D57="Cobro",D57="Pago"))),AND(LEN(TRIM(E57&amp;""))&gt;0,NOT(OR(E57="Previsto",E57="Realizado"))),AND(AND(LEN(TRIM(B57&amp;""))&gt;0,TRIM(B57)&lt;&gt;"Pendiente",TRIM(B57)&lt;&gt;"Por confirmar",TRIM(B57)&lt;&gt;"No consta",TRIM(B57)&lt;&gt;"Desconocido"),SUMPRODUCT(($L$10:$L$69=L57)*1)&gt;1),AND(IF(ISNUMBER(F57),AND(F57&gt;=1,F57&lt;=2958465,F57=INT(F57)),FALSE),IF(ISNUMBER('CAJA'!$C$19),AND('CAJA'!$C$19&gt;=1,'CAJA'!$C$19&lt;=2958465,'CAJA'!$C$19=INT('CAJA'!$C$19)),FALSE),OR(AND(E57="Realizado",F57&gt;'CAJA'!$C$19),AND(E57="Previsto",F57&lt;'CAJA'!$C$19))),AND(IF(ISNUMBER(F57),AND(F57&gt;=1,F57&lt;=2958465,F57=INT(F57)),FALSE),'CAJA'!$L$2=1,F57&lt;'CAJA'!$C$18)))),0,1)))))</f>
      </c>
      <c r="N57" t="n" s="27">
        <f>IF(AND(K57=1,ISNUMBER(M57),M57=0),1,0)</f>
        <v>0</v>
      </c>
      <c r="O57" t="str" s="27">
        <f>IF(IF(ISNUMBER(F57),AND(F57&gt;=1,F57&lt;=2958465,F57=INT(F57)),FALSE),F57-WEEKDAY(F57,2)+1,"")</f>
      </c>
      <c r="P57" t="n" s="27">
        <f>IF(AND(K57=1,ISNUMBER(M57),M57&gt;0),IF(NOT(IF(ISNUMBER(F57),AND(F57&gt;=1,F57&lt;=2958465,F57=INT(F57)),FALSE)),1,IF('CAJA'!$L$2&lt;&gt;1,1,IF(OR(F57&lt;'CAJA'!$C$18,F57&gt;='CAJA'!$L$9),1,0))),0)</f>
        <v>0</v>
      </c>
    </row>
    <row r="58" ht="69" customHeight="1">
      <c r="B58" s="34"/>
      <c r="C58" s="34"/>
      <c r="D58" s="34"/>
      <c r="E58" s="34"/>
      <c r="F58" s="35"/>
      <c r="G58" s="36"/>
      <c r="H58" s="34"/>
      <c r="I58" s="33" t="str">
        <f>IF(K58=0,"",IF(M58=2,"ROJO",IF(M58=1,"ÁMBAR","VERDE")))</f>
      </c>
      <c r="J58" s="33" t="str">
        <f>IF(K58=0,"",IF(OR(ISERROR(B58),ISERROR(C58),ISERROR(D58),ISERROR(E58),ISERROR(F58),ISERROR(G58),ISERROR(H58)),"Hay una entrada con error de fórmula. Corregimos el dato; no lo convertimos en cero.",IF(OR(ISERROR('CAJA'!$C$17),ISERROR('CAJA'!$C$18),ISERROR('CAJA'!$C$19),ISERROR('CAJA'!$C$20),ISERROR('CAJA'!$C$21),ISERROR('CAJA'!$C$22),ISERROR('CAJA'!$C$23)),"Corregimos la entrada con error en CAJA antes de validar el movimiento.",IF(AND(AND(LEN(TRIM(B58&amp;""))&gt;0,TRIM(B58)&lt;&gt;"Pendiente",TRIM(B58)&lt;&gt;"Por confirmar",TRIM(B58)&lt;&gt;"No consta",TRIM(B58)&lt;&gt;"Desconocido"),SUMPRODUCT(($L$10:$L$69=L58)*1)&gt;1),"ID repetido: actualizamos el mismo movimiento o separamos únicamente la parte realizada y el resto pendiente.",IF(AND(IF(ISNUMBER(F58),AND(F58&gt;=1,F58&lt;=2958465,F58=INT(F58)),FALSE),IF(ISNUMBER('CAJA'!$C$19),AND('CAJA'!$C$19&gt;=1,'CAJA'!$C$19&lt;=2958465,'CAJA'!$C$19=INT('CAJA'!$C$19)),FALSE),E58="Realizado",F58&gt;'CAJA'!$C$19),"Realizado en fecha posterior al corte: revisamos fecha y estado.",IF(AND(IF(ISNUMBER(F58),AND(F58&gt;=1,F58&lt;=2958465,F58=INT(F58)),FALSE),IF(ISNUMBER('CAJA'!$C$19),AND('CAJA'!$C$19&gt;=1,'CAJA'!$C$19&lt;=2958465,'CAJA'!$C$19=INT('CAJA'!$C$19)),FALSE),E58="Previsto",F58&lt;'CAJA'!$C$19),"Previsión vencida: actualizamos su fecha esperada o registramos el movimiento realizado; no lo damos por cobrado.",IF(AND(IF(ISNUMBER(F58),AND(F58&gt;=1,F58&lt;=2958465,F58=INT(F58)),FALSE),'CAJA'!$L$2=1,F58&lt;'CAJA'!$C$18),"Anterior al horizonte: revisamos si ya está en el saldo inicial para no contarlo dos veces.",IF(OR(AND(LEN(TRIM(G58&amp;""))&gt;0,NOT(IF(ISNUMBER(G58),AND(G58&gt;=0,G58=ROUND(G58,2)),FALSE))),AND(LEN(TRIM(F58&amp;""))&gt;0,NOT(IF(ISNUMBER(F58),AND(F58&gt;=1,F58&lt;=2958465,F58=INT(F58)),FALSE))),AND(LEN(TRIM(D58&amp;""))&gt;0,NOT(OR(D58="Cobro",D58="Pago"))),AND(LEN(TRIM(E58&amp;""))&gt;0,NOT(OR(E58="Previsto",E58="Realizado"))),AND(AND(LEN(TRIM(B58&amp;""))&gt;0,TRIM(B58)&lt;&gt;"Pendiente",TRIM(B58)&lt;&gt;"Por confirmar",TRIM(B58)&lt;&gt;"No consta",TRIM(B58)&lt;&gt;"Desconocido"),SUMPRODUCT(($L$10:$L$69=L58)*1)&gt;1),AND(IF(ISNUMBER(F58),AND(F58&gt;=1,F58&lt;=2958465,F58=INT(F58)),FALSE),IF(ISNUMBER('CAJA'!$C$19),AND('CAJA'!$C$19&gt;=1,'CAJA'!$C$19&lt;=2958465,'CAJA'!$C$19=INT('CAJA'!$C$19)),FALSE),OR(AND(E58="Realizado",F58&gt;'CAJA'!$C$19),AND(E58="Previsto",F58&lt;'CAJA'!$C$19))),AND(IF(ISNUMBER(F58),AND(F58&gt;=1,F58&lt;=2958465,F58=INT(F58)),FALSE),'CAJA'!$L$2=1,F58&lt;'CAJA'!$C$18)),"Revisamos fecha, importe positivo/cero explícito y opciones de sentido/estado. Fechas sin hora e importes a céntimos.",IF(NOT(AND(LEN(TRIM(B58&amp;""))&gt;0,TRIM(B58)&lt;&gt;"Pendiente",TRIM(B58)&lt;&gt;"Por confirmar",TRIM(B58)&lt;&gt;"No consta",TRIM(B58)&lt;&gt;"Desconocido")),"Asignamos un identificador único.",IF(NOT(AND(LEN(TRIM(C58&amp;""))&gt;0,TRIM(C58)&lt;&gt;"Pendiente",TRIM(C58)&lt;&gt;"Por confirmar",TRIM(C58)&lt;&gt;"No consta",TRIM(C58)&lt;&gt;"Desconocido")),"Identificamos el concepto.",IF(NOT(OR(D58="Cobro",D58="Pago")),"Elegimos Cobro o Pago.",IF(NOT(OR(E58="Previsto",E58="Realizado")),"Elegimos Previsto o Realizado según lo acreditado.",IF(NOT(IF(ISNUMBER(F58),AND(F58&gt;=1,F58&lt;=2958465,F58=INT(F58)),FALSE)),"Falta fecha/semana: un plazo relativo o la fecha de una oferta no bastan.",IF(NOT(IF(ISNUMBER(G58),AND(G58&gt;=0,G58=ROUND(G58,2)),FALSE)),"Falta importe efectivo; el total de presupuesto no acredita este movimiento.",IF(NOT(AND(LEN(TRIM(H58&amp;""))&gt;0,TRIM(H58)&lt;&gt;"Pendiente",TRIM(H58)&lt;&gt;"Por confirmar",TRIM(H58)&lt;&gt;"No consta",TRIM(H58)&lt;&gt;"Desconocido")),"Identificamos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CAJA.",IF(AND(IF(ISNUMBER(F58),AND(F58&gt;=1,F58&lt;=2958465,F58=INT(F58)),FALSE),'CAJA'!$L$2=1,F58&gt;='CAJA'!$L$9),"Fuera del horizonte: ampliamos semanas (hasta 26) o revisamos la ventana. Aquí no se suma.","Dato registrado para la previsión; el estado Realizado requiere su evidencia de cobro/pago."))))))))))))))))))</f>
      </c>
      <c r="K58" t="n" s="27">
        <f>IF(COUNTA(B58:H58)&gt;0,1,0)</f>
        <v>0</v>
      </c>
      <c r="L58" t="str" s="27">
        <f>IF(COUNTA(B58:H58)&gt;0,IFERROR("ID:"&amp;UPPER(TRIM(B58&amp;"")),""),"")</f>
      </c>
      <c r="M58" t="str" s="27">
        <f>IF(NOT(COUNTA(B58:H58)&gt;0),"",IF(OR(ISERROR(B58),ISERROR(C58),ISERROR(D58),ISERROR(E58),ISERROR(F58),ISERROR(G58),ISERROR(H58)),2,IF(OR(ISERROR('CAJA'!$C$17),ISERROR('CAJA'!$C$18),ISERROR('CAJA'!$C$19),ISERROR('CAJA'!$C$20),ISERROR('CAJA'!$C$21),ISERROR('CAJA'!$C$22),ISERROR('CAJA'!$C$23)),1,IF(OR(AND(LEN(TRIM(G58&amp;""))&gt;0,NOT(IF(ISNUMBER(G58),AND(G58&gt;=0,G58=ROUND(G58,2)),FALSE))),AND(LEN(TRIM(F58&amp;""))&gt;0,NOT(IF(ISNUMBER(F58),AND(F58&gt;=1,F58&lt;=2958465,F58=INT(F58)),FALSE))),AND(LEN(TRIM(D58&amp;""))&gt;0,NOT(OR(D58="Cobro",D58="Pago"))),AND(LEN(TRIM(E58&amp;""))&gt;0,NOT(OR(E58="Previsto",E58="Realizado"))),AND(AND(LEN(TRIM(B58&amp;""))&gt;0,TRIM(B58)&lt;&gt;"Pendiente",TRIM(B58)&lt;&gt;"Por confirmar",TRIM(B58)&lt;&gt;"No consta",TRIM(B58)&lt;&gt;"Desconocido"),SUMPRODUCT(($L$10:$L$69=L58)*1)&gt;1),AND(IF(ISNUMBER(F58),AND(F58&gt;=1,F58&lt;=2958465,F58=INT(F58)),FALSE),IF(ISNUMBER('CAJA'!$C$19),AND('CAJA'!$C$19&gt;=1,'CAJA'!$C$19&lt;=2958465,'CAJA'!$C$19=INT('CAJA'!$C$19)),FALSE),OR(AND(E58="Realizado",F58&gt;'CAJA'!$C$19),AND(E58="Previsto",F58&lt;'CAJA'!$C$19))),AND(IF(ISNUMBER(F58),AND(F58&gt;=1,F58&lt;=2958465,F58=INT(F58)),FALSE),'CAJA'!$L$2=1,F58&lt;'CAJA'!$C$18)),2,IF(AND(AND(LEN(TRIM(B58&amp;""))&gt;0,TRIM(B58)&lt;&gt;"Pendiente",TRIM(B58)&lt;&gt;"Por confirmar",TRIM(B58)&lt;&gt;"No consta",TRIM(B58)&lt;&gt;"Desconocido"),AND(LEN(TRIM(C58&amp;""))&gt;0,TRIM(C58)&lt;&gt;"Pendiente",TRIM(C58)&lt;&gt;"Por confirmar",TRIM(C58)&lt;&gt;"No consta",TRIM(C58)&lt;&gt;"Desconocido"),OR(D58="Cobro",D58="Pago"),OR(E58="Previsto",E58="Realizado"),IF(ISNUMBER(F58),AND(F58&gt;=1,F58&lt;=2958465,F58=INT(F58)),FALSE),IF(ISNUMBER(G58),AND(G58&gt;=0,G58=ROUND(G58,2)),FALSE),AND(LEN(TRIM(H58&amp;""))&gt;0,TRIM(H58)&lt;&gt;"Pendiente",TRIM(H58)&lt;&gt;"Por confirmar",TRIM(H58)&lt;&gt;"No consta",TRIM(H58)&lt;&gt;"Desconocido"),'CAJA'!$L$2=1,IF(ISNUMBER('CAJA'!$C$19),AND('CAJA'!$C$19&gt;=1,'CAJA'!$C$19&lt;=2958465,'CAJA'!$C$19=INT('CAJA'!$C$19)),FALSE),F58&gt;='CAJA'!$C$18,F58&lt;'CAJA'!$L$9,NOT(OR(AND(LEN(TRIM(G58&amp;""))&gt;0,NOT(IF(ISNUMBER(G58),AND(G58&gt;=0,G58=ROUND(G58,2)),FALSE))),AND(LEN(TRIM(F58&amp;""))&gt;0,NOT(IF(ISNUMBER(F58),AND(F58&gt;=1,F58&lt;=2958465,F58=INT(F58)),FALSE))),AND(LEN(TRIM(D58&amp;""))&gt;0,NOT(OR(D58="Cobro",D58="Pago"))),AND(LEN(TRIM(E58&amp;""))&gt;0,NOT(OR(E58="Previsto",E58="Realizado"))),AND(AND(LEN(TRIM(B58&amp;""))&gt;0,TRIM(B58)&lt;&gt;"Pendiente",TRIM(B58)&lt;&gt;"Por confirmar",TRIM(B58)&lt;&gt;"No consta",TRIM(B58)&lt;&gt;"Desconocido"),SUMPRODUCT(($L$10:$L$69=L58)*1)&gt;1),AND(IF(ISNUMBER(F58),AND(F58&gt;=1,F58&lt;=2958465,F58=INT(F58)),FALSE),IF(ISNUMBER('CAJA'!$C$19),AND('CAJA'!$C$19&gt;=1,'CAJA'!$C$19&lt;=2958465,'CAJA'!$C$19=INT('CAJA'!$C$19)),FALSE),OR(AND(E58="Realizado",F58&gt;'CAJA'!$C$19),AND(E58="Previsto",F58&lt;'CAJA'!$C$19))),AND(IF(ISNUMBER(F58),AND(F58&gt;=1,F58&lt;=2958465,F58=INT(F58)),FALSE),'CAJA'!$L$2=1,F58&lt;'CAJA'!$C$18)))),0,1)))))</f>
      </c>
      <c r="N58" t="n" s="27">
        <f>IF(AND(K58=1,ISNUMBER(M58),M58=0),1,0)</f>
        <v>0</v>
      </c>
      <c r="O58" t="str" s="27">
        <f>IF(IF(ISNUMBER(F58),AND(F58&gt;=1,F58&lt;=2958465,F58=INT(F58)),FALSE),F58-WEEKDAY(F58,2)+1,"")</f>
      </c>
      <c r="P58" t="n" s="27">
        <f>IF(AND(K58=1,ISNUMBER(M58),M58&gt;0),IF(NOT(IF(ISNUMBER(F58),AND(F58&gt;=1,F58&lt;=2958465,F58=INT(F58)),FALSE)),1,IF('CAJA'!$L$2&lt;&gt;1,1,IF(OR(F58&lt;'CAJA'!$C$18,F58&gt;='CAJA'!$L$9),1,0))),0)</f>
        <v>0</v>
      </c>
    </row>
    <row r="59" ht="69" customHeight="1">
      <c r="B59" s="34"/>
      <c r="C59" s="34"/>
      <c r="D59" s="34"/>
      <c r="E59" s="34"/>
      <c r="F59" s="35"/>
      <c r="G59" s="36"/>
      <c r="H59" s="34"/>
      <c r="I59" s="33" t="str">
        <f>IF(K59=0,"",IF(M59=2,"ROJO",IF(M59=1,"ÁMBAR","VERDE")))</f>
      </c>
      <c r="J59" s="33" t="str">
        <f>IF(K59=0,"",IF(OR(ISERROR(B59),ISERROR(C59),ISERROR(D59),ISERROR(E59),ISERROR(F59),ISERROR(G59),ISERROR(H59)),"Hay una entrada con error de fórmula. Corregimos el dato; no lo convertimos en cero.",IF(OR(ISERROR('CAJA'!$C$17),ISERROR('CAJA'!$C$18),ISERROR('CAJA'!$C$19),ISERROR('CAJA'!$C$20),ISERROR('CAJA'!$C$21),ISERROR('CAJA'!$C$22),ISERROR('CAJA'!$C$23)),"Corregimos la entrada con error en CAJA antes de validar el movimiento.",IF(AND(AND(LEN(TRIM(B59&amp;""))&gt;0,TRIM(B59)&lt;&gt;"Pendiente",TRIM(B59)&lt;&gt;"Por confirmar",TRIM(B59)&lt;&gt;"No consta",TRIM(B59)&lt;&gt;"Desconocido"),SUMPRODUCT(($L$10:$L$69=L59)*1)&gt;1),"ID repetido: actualizamos el mismo movimiento o separamos únicamente la parte realizada y el resto pendiente.",IF(AND(IF(ISNUMBER(F59),AND(F59&gt;=1,F59&lt;=2958465,F59=INT(F59)),FALSE),IF(ISNUMBER('CAJA'!$C$19),AND('CAJA'!$C$19&gt;=1,'CAJA'!$C$19&lt;=2958465,'CAJA'!$C$19=INT('CAJA'!$C$19)),FALSE),E59="Realizado",F59&gt;'CAJA'!$C$19),"Realizado en fecha posterior al corte: revisamos fecha y estado.",IF(AND(IF(ISNUMBER(F59),AND(F59&gt;=1,F59&lt;=2958465,F59=INT(F59)),FALSE),IF(ISNUMBER('CAJA'!$C$19),AND('CAJA'!$C$19&gt;=1,'CAJA'!$C$19&lt;=2958465,'CAJA'!$C$19=INT('CAJA'!$C$19)),FALSE),E59="Previsto",F59&lt;'CAJA'!$C$19),"Previsión vencida: actualizamos su fecha esperada o registramos el movimiento realizado; no lo damos por cobrado.",IF(AND(IF(ISNUMBER(F59),AND(F59&gt;=1,F59&lt;=2958465,F59=INT(F59)),FALSE),'CAJA'!$L$2=1,F59&lt;'CAJA'!$C$18),"Anterior al horizonte: revisamos si ya está en el saldo inicial para no contarlo dos veces.",IF(OR(AND(LEN(TRIM(G59&amp;""))&gt;0,NOT(IF(ISNUMBER(G59),AND(G59&gt;=0,G59=ROUND(G59,2)),FALSE))),AND(LEN(TRIM(F59&amp;""))&gt;0,NOT(IF(ISNUMBER(F59),AND(F59&gt;=1,F59&lt;=2958465,F59=INT(F59)),FALSE))),AND(LEN(TRIM(D59&amp;""))&gt;0,NOT(OR(D59="Cobro",D59="Pago"))),AND(LEN(TRIM(E59&amp;""))&gt;0,NOT(OR(E59="Previsto",E59="Realizado"))),AND(AND(LEN(TRIM(B59&amp;""))&gt;0,TRIM(B59)&lt;&gt;"Pendiente",TRIM(B59)&lt;&gt;"Por confirmar",TRIM(B59)&lt;&gt;"No consta",TRIM(B59)&lt;&gt;"Desconocido"),SUMPRODUCT(($L$10:$L$69=L59)*1)&gt;1),AND(IF(ISNUMBER(F59),AND(F59&gt;=1,F59&lt;=2958465,F59=INT(F59)),FALSE),IF(ISNUMBER('CAJA'!$C$19),AND('CAJA'!$C$19&gt;=1,'CAJA'!$C$19&lt;=2958465,'CAJA'!$C$19=INT('CAJA'!$C$19)),FALSE),OR(AND(E59="Realizado",F59&gt;'CAJA'!$C$19),AND(E59="Previsto",F59&lt;'CAJA'!$C$19))),AND(IF(ISNUMBER(F59),AND(F59&gt;=1,F59&lt;=2958465,F59=INT(F59)),FALSE),'CAJA'!$L$2=1,F59&lt;'CAJA'!$C$18)),"Revisamos fecha, importe positivo/cero explícito y opciones de sentido/estado. Fechas sin hora e importes a céntimos.",IF(NOT(AND(LEN(TRIM(B59&amp;""))&gt;0,TRIM(B59)&lt;&gt;"Pendiente",TRIM(B59)&lt;&gt;"Por confirmar",TRIM(B59)&lt;&gt;"No consta",TRIM(B59)&lt;&gt;"Desconocido")),"Asignamos un identificador único.",IF(NOT(AND(LEN(TRIM(C59&amp;""))&gt;0,TRIM(C59)&lt;&gt;"Pendiente",TRIM(C59)&lt;&gt;"Por confirmar",TRIM(C59)&lt;&gt;"No consta",TRIM(C59)&lt;&gt;"Desconocido")),"Identificamos el concepto.",IF(NOT(OR(D59="Cobro",D59="Pago")),"Elegimos Cobro o Pago.",IF(NOT(OR(E59="Previsto",E59="Realizado")),"Elegimos Previsto o Realizado según lo acreditado.",IF(NOT(IF(ISNUMBER(F59),AND(F59&gt;=1,F59&lt;=2958465,F59=INT(F59)),FALSE)),"Falta fecha/semana: un plazo relativo o la fecha de una oferta no bastan.",IF(NOT(IF(ISNUMBER(G59),AND(G59&gt;=0,G59=ROUND(G59,2)),FALSE)),"Falta importe efectivo; el total de presupuesto no acredita este movimiento.",IF(NOT(AND(LEN(TRIM(H59&amp;""))&gt;0,TRIM(H59)&lt;&gt;"Pendiente",TRIM(H59)&lt;&gt;"Por confirmar",TRIM(H59)&lt;&gt;"No consta",TRIM(H59)&lt;&gt;"Desconocido")),"Identificamos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CAJA.",IF(AND(IF(ISNUMBER(F59),AND(F59&gt;=1,F59&lt;=2958465,F59=INT(F59)),FALSE),'CAJA'!$L$2=1,F59&gt;='CAJA'!$L$9),"Fuera del horizonte: ampliamos semanas (hasta 26) o revisamos la ventana. Aquí no se suma.","Dato registrado para la previsión; el estado Realizado requiere su evidencia de cobro/pago."))))))))))))))))))</f>
      </c>
      <c r="K59" t="n" s="27">
        <f>IF(COUNTA(B59:H59)&gt;0,1,0)</f>
        <v>0</v>
      </c>
      <c r="L59" t="str" s="27">
        <f>IF(COUNTA(B59:H59)&gt;0,IFERROR("ID:"&amp;UPPER(TRIM(B59&amp;"")),""),"")</f>
      </c>
      <c r="M59" t="str" s="27">
        <f>IF(NOT(COUNTA(B59:H59)&gt;0),"",IF(OR(ISERROR(B59),ISERROR(C59),ISERROR(D59),ISERROR(E59),ISERROR(F59),ISERROR(G59),ISERROR(H59)),2,IF(OR(ISERROR('CAJA'!$C$17),ISERROR('CAJA'!$C$18),ISERROR('CAJA'!$C$19),ISERROR('CAJA'!$C$20),ISERROR('CAJA'!$C$21),ISERROR('CAJA'!$C$22),ISERROR('CAJA'!$C$23)),1,IF(OR(AND(LEN(TRIM(G59&amp;""))&gt;0,NOT(IF(ISNUMBER(G59),AND(G59&gt;=0,G59=ROUND(G59,2)),FALSE))),AND(LEN(TRIM(F59&amp;""))&gt;0,NOT(IF(ISNUMBER(F59),AND(F59&gt;=1,F59&lt;=2958465,F59=INT(F59)),FALSE))),AND(LEN(TRIM(D59&amp;""))&gt;0,NOT(OR(D59="Cobro",D59="Pago"))),AND(LEN(TRIM(E59&amp;""))&gt;0,NOT(OR(E59="Previsto",E59="Realizado"))),AND(AND(LEN(TRIM(B59&amp;""))&gt;0,TRIM(B59)&lt;&gt;"Pendiente",TRIM(B59)&lt;&gt;"Por confirmar",TRIM(B59)&lt;&gt;"No consta",TRIM(B59)&lt;&gt;"Desconocido"),SUMPRODUCT(($L$10:$L$69=L59)*1)&gt;1),AND(IF(ISNUMBER(F59),AND(F59&gt;=1,F59&lt;=2958465,F59=INT(F59)),FALSE),IF(ISNUMBER('CAJA'!$C$19),AND('CAJA'!$C$19&gt;=1,'CAJA'!$C$19&lt;=2958465,'CAJA'!$C$19=INT('CAJA'!$C$19)),FALSE),OR(AND(E59="Realizado",F59&gt;'CAJA'!$C$19),AND(E59="Previsto",F59&lt;'CAJA'!$C$19))),AND(IF(ISNUMBER(F59),AND(F59&gt;=1,F59&lt;=2958465,F59=INT(F59)),FALSE),'CAJA'!$L$2=1,F59&lt;'CAJA'!$C$18)),2,IF(AND(AND(LEN(TRIM(B59&amp;""))&gt;0,TRIM(B59)&lt;&gt;"Pendiente",TRIM(B59)&lt;&gt;"Por confirmar",TRIM(B59)&lt;&gt;"No consta",TRIM(B59)&lt;&gt;"Desconocido"),AND(LEN(TRIM(C59&amp;""))&gt;0,TRIM(C59)&lt;&gt;"Pendiente",TRIM(C59)&lt;&gt;"Por confirmar",TRIM(C59)&lt;&gt;"No consta",TRIM(C59)&lt;&gt;"Desconocido"),OR(D59="Cobro",D59="Pago"),OR(E59="Previsto",E59="Realizado"),IF(ISNUMBER(F59),AND(F59&gt;=1,F59&lt;=2958465,F59=INT(F59)),FALSE),IF(ISNUMBER(G59),AND(G59&gt;=0,G59=ROUND(G59,2)),FALSE),AND(LEN(TRIM(H59&amp;""))&gt;0,TRIM(H59)&lt;&gt;"Pendiente",TRIM(H59)&lt;&gt;"Por confirmar",TRIM(H59)&lt;&gt;"No consta",TRIM(H59)&lt;&gt;"Desconocido"),'CAJA'!$L$2=1,IF(ISNUMBER('CAJA'!$C$19),AND('CAJA'!$C$19&gt;=1,'CAJA'!$C$19&lt;=2958465,'CAJA'!$C$19=INT('CAJA'!$C$19)),FALSE),F59&gt;='CAJA'!$C$18,F59&lt;'CAJA'!$L$9,NOT(OR(AND(LEN(TRIM(G59&amp;""))&gt;0,NOT(IF(ISNUMBER(G59),AND(G59&gt;=0,G59=ROUND(G59,2)),FALSE))),AND(LEN(TRIM(F59&amp;""))&gt;0,NOT(IF(ISNUMBER(F59),AND(F59&gt;=1,F59&lt;=2958465,F59=INT(F59)),FALSE))),AND(LEN(TRIM(D59&amp;""))&gt;0,NOT(OR(D59="Cobro",D59="Pago"))),AND(LEN(TRIM(E59&amp;""))&gt;0,NOT(OR(E59="Previsto",E59="Realizado"))),AND(AND(LEN(TRIM(B59&amp;""))&gt;0,TRIM(B59)&lt;&gt;"Pendiente",TRIM(B59)&lt;&gt;"Por confirmar",TRIM(B59)&lt;&gt;"No consta",TRIM(B59)&lt;&gt;"Desconocido"),SUMPRODUCT(($L$10:$L$69=L59)*1)&gt;1),AND(IF(ISNUMBER(F59),AND(F59&gt;=1,F59&lt;=2958465,F59=INT(F59)),FALSE),IF(ISNUMBER('CAJA'!$C$19),AND('CAJA'!$C$19&gt;=1,'CAJA'!$C$19&lt;=2958465,'CAJA'!$C$19=INT('CAJA'!$C$19)),FALSE),OR(AND(E59="Realizado",F59&gt;'CAJA'!$C$19),AND(E59="Previsto",F59&lt;'CAJA'!$C$19))),AND(IF(ISNUMBER(F59),AND(F59&gt;=1,F59&lt;=2958465,F59=INT(F59)),FALSE),'CAJA'!$L$2=1,F59&lt;'CAJA'!$C$18)))),0,1)))))</f>
      </c>
      <c r="N59" t="n" s="27">
        <f>IF(AND(K59=1,ISNUMBER(M59),M59=0),1,0)</f>
        <v>0</v>
      </c>
      <c r="O59" t="str" s="27">
        <f>IF(IF(ISNUMBER(F59),AND(F59&gt;=1,F59&lt;=2958465,F59=INT(F59)),FALSE),F59-WEEKDAY(F59,2)+1,"")</f>
      </c>
      <c r="P59" t="n" s="27">
        <f>IF(AND(K59=1,ISNUMBER(M59),M59&gt;0),IF(NOT(IF(ISNUMBER(F59),AND(F59&gt;=1,F59&lt;=2958465,F59=INT(F59)),FALSE)),1,IF('CAJA'!$L$2&lt;&gt;1,1,IF(OR(F59&lt;'CAJA'!$C$18,F59&gt;='CAJA'!$L$9),1,0))),0)</f>
        <v>0</v>
      </c>
    </row>
    <row r="60" ht="69" customHeight="1">
      <c r="B60" s="34"/>
      <c r="C60" s="34"/>
      <c r="D60" s="34"/>
      <c r="E60" s="34"/>
      <c r="F60" s="35"/>
      <c r="G60" s="36"/>
      <c r="H60" s="34"/>
      <c r="I60" s="33" t="str">
        <f>IF(K60=0,"",IF(M60=2,"ROJO",IF(M60=1,"ÁMBAR","VERDE")))</f>
      </c>
      <c r="J60" s="33" t="str">
        <f>IF(K60=0,"",IF(OR(ISERROR(B60),ISERROR(C60),ISERROR(D60),ISERROR(E60),ISERROR(F60),ISERROR(G60),ISERROR(H60)),"Hay una entrada con error de fórmula. Corregimos el dato; no lo convertimos en cero.",IF(OR(ISERROR('CAJA'!$C$17),ISERROR('CAJA'!$C$18),ISERROR('CAJA'!$C$19),ISERROR('CAJA'!$C$20),ISERROR('CAJA'!$C$21),ISERROR('CAJA'!$C$22),ISERROR('CAJA'!$C$23)),"Corregimos la entrada con error en CAJA antes de validar el movimiento.",IF(AND(AND(LEN(TRIM(B60&amp;""))&gt;0,TRIM(B60)&lt;&gt;"Pendiente",TRIM(B60)&lt;&gt;"Por confirmar",TRIM(B60)&lt;&gt;"No consta",TRIM(B60)&lt;&gt;"Desconocido"),SUMPRODUCT(($L$10:$L$69=L60)*1)&gt;1),"ID repetido: actualizamos el mismo movimiento o separamos únicamente la parte realizada y el resto pendiente.",IF(AND(IF(ISNUMBER(F60),AND(F60&gt;=1,F60&lt;=2958465,F60=INT(F60)),FALSE),IF(ISNUMBER('CAJA'!$C$19),AND('CAJA'!$C$19&gt;=1,'CAJA'!$C$19&lt;=2958465,'CAJA'!$C$19=INT('CAJA'!$C$19)),FALSE),E60="Realizado",F60&gt;'CAJA'!$C$19),"Realizado en fecha posterior al corte: revisamos fecha y estado.",IF(AND(IF(ISNUMBER(F60),AND(F60&gt;=1,F60&lt;=2958465,F60=INT(F60)),FALSE),IF(ISNUMBER('CAJA'!$C$19),AND('CAJA'!$C$19&gt;=1,'CAJA'!$C$19&lt;=2958465,'CAJA'!$C$19=INT('CAJA'!$C$19)),FALSE),E60="Previsto",F60&lt;'CAJA'!$C$19),"Previsión vencida: actualizamos su fecha esperada o registramos el movimiento realizado; no lo damos por cobrado.",IF(AND(IF(ISNUMBER(F60),AND(F60&gt;=1,F60&lt;=2958465,F60=INT(F60)),FALSE),'CAJA'!$L$2=1,F60&lt;'CAJA'!$C$18),"Anterior al horizonte: revisamos si ya está en el saldo inicial para no contarlo dos veces.",IF(OR(AND(LEN(TRIM(G60&amp;""))&gt;0,NOT(IF(ISNUMBER(G60),AND(G60&gt;=0,G60=ROUND(G60,2)),FALSE))),AND(LEN(TRIM(F60&amp;""))&gt;0,NOT(IF(ISNUMBER(F60),AND(F60&gt;=1,F60&lt;=2958465,F60=INT(F60)),FALSE))),AND(LEN(TRIM(D60&amp;""))&gt;0,NOT(OR(D60="Cobro",D60="Pago"))),AND(LEN(TRIM(E60&amp;""))&gt;0,NOT(OR(E60="Previsto",E60="Realizado"))),AND(AND(LEN(TRIM(B60&amp;""))&gt;0,TRIM(B60)&lt;&gt;"Pendiente",TRIM(B60)&lt;&gt;"Por confirmar",TRIM(B60)&lt;&gt;"No consta",TRIM(B60)&lt;&gt;"Desconocido"),SUMPRODUCT(($L$10:$L$69=L60)*1)&gt;1),AND(IF(ISNUMBER(F60),AND(F60&gt;=1,F60&lt;=2958465,F60=INT(F60)),FALSE),IF(ISNUMBER('CAJA'!$C$19),AND('CAJA'!$C$19&gt;=1,'CAJA'!$C$19&lt;=2958465,'CAJA'!$C$19=INT('CAJA'!$C$19)),FALSE),OR(AND(E60="Realizado",F60&gt;'CAJA'!$C$19),AND(E60="Previsto",F60&lt;'CAJA'!$C$19))),AND(IF(ISNUMBER(F60),AND(F60&gt;=1,F60&lt;=2958465,F60=INT(F60)),FALSE),'CAJA'!$L$2=1,F60&lt;'CAJA'!$C$18)),"Revisamos fecha, importe positivo/cero explícito y opciones de sentido/estado. Fechas sin hora e importes a céntimos.",IF(NOT(AND(LEN(TRIM(B60&amp;""))&gt;0,TRIM(B60)&lt;&gt;"Pendiente",TRIM(B60)&lt;&gt;"Por confirmar",TRIM(B60)&lt;&gt;"No consta",TRIM(B60)&lt;&gt;"Desconocido")),"Asignamos un identificador único.",IF(NOT(AND(LEN(TRIM(C60&amp;""))&gt;0,TRIM(C60)&lt;&gt;"Pendiente",TRIM(C60)&lt;&gt;"Por confirmar",TRIM(C60)&lt;&gt;"No consta",TRIM(C60)&lt;&gt;"Desconocido")),"Identificamos el concepto.",IF(NOT(OR(D60="Cobro",D60="Pago")),"Elegimos Cobro o Pago.",IF(NOT(OR(E60="Previsto",E60="Realizado")),"Elegimos Previsto o Realizado según lo acreditado.",IF(NOT(IF(ISNUMBER(F60),AND(F60&gt;=1,F60&lt;=2958465,F60=INT(F60)),FALSE)),"Falta fecha/semana: un plazo relativo o la fecha de una oferta no bastan.",IF(NOT(IF(ISNUMBER(G60),AND(G60&gt;=0,G60=ROUND(G60,2)),FALSE)),"Falta importe efectivo; el total de presupuesto no acredita este movimiento.",IF(NOT(AND(LEN(TRIM(H60&amp;""))&gt;0,TRIM(H60)&lt;&gt;"Pendiente",TRIM(H60)&lt;&gt;"Por confirmar",TRIM(H60)&lt;&gt;"No consta",TRIM(H60)&lt;&gt;"Desconocido")),"Identificamos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CAJA.",IF(AND(IF(ISNUMBER(F60),AND(F60&gt;=1,F60&lt;=2958465,F60=INT(F60)),FALSE),'CAJA'!$L$2=1,F60&gt;='CAJA'!$L$9),"Fuera del horizonte: ampliamos semanas (hasta 26) o revisamos la ventana. Aquí no se suma.","Dato registrado para la previsión; el estado Realizado requiere su evidencia de cobro/pago."))))))))))))))))))</f>
      </c>
      <c r="K60" t="n" s="27">
        <f>IF(COUNTA(B60:H60)&gt;0,1,0)</f>
        <v>0</v>
      </c>
      <c r="L60" t="str" s="27">
        <f>IF(COUNTA(B60:H60)&gt;0,IFERROR("ID:"&amp;UPPER(TRIM(B60&amp;"")),""),"")</f>
      </c>
      <c r="M60" t="str" s="27">
        <f>IF(NOT(COUNTA(B60:H60)&gt;0),"",IF(OR(ISERROR(B60),ISERROR(C60),ISERROR(D60),ISERROR(E60),ISERROR(F60),ISERROR(G60),ISERROR(H60)),2,IF(OR(ISERROR('CAJA'!$C$17),ISERROR('CAJA'!$C$18),ISERROR('CAJA'!$C$19),ISERROR('CAJA'!$C$20),ISERROR('CAJA'!$C$21),ISERROR('CAJA'!$C$22),ISERROR('CAJA'!$C$23)),1,IF(OR(AND(LEN(TRIM(G60&amp;""))&gt;0,NOT(IF(ISNUMBER(G60),AND(G60&gt;=0,G60=ROUND(G60,2)),FALSE))),AND(LEN(TRIM(F60&amp;""))&gt;0,NOT(IF(ISNUMBER(F60),AND(F60&gt;=1,F60&lt;=2958465,F60=INT(F60)),FALSE))),AND(LEN(TRIM(D60&amp;""))&gt;0,NOT(OR(D60="Cobro",D60="Pago"))),AND(LEN(TRIM(E60&amp;""))&gt;0,NOT(OR(E60="Previsto",E60="Realizado"))),AND(AND(LEN(TRIM(B60&amp;""))&gt;0,TRIM(B60)&lt;&gt;"Pendiente",TRIM(B60)&lt;&gt;"Por confirmar",TRIM(B60)&lt;&gt;"No consta",TRIM(B60)&lt;&gt;"Desconocido"),SUMPRODUCT(($L$10:$L$69=L60)*1)&gt;1),AND(IF(ISNUMBER(F60),AND(F60&gt;=1,F60&lt;=2958465,F60=INT(F60)),FALSE),IF(ISNUMBER('CAJA'!$C$19),AND('CAJA'!$C$19&gt;=1,'CAJA'!$C$19&lt;=2958465,'CAJA'!$C$19=INT('CAJA'!$C$19)),FALSE),OR(AND(E60="Realizado",F60&gt;'CAJA'!$C$19),AND(E60="Previsto",F60&lt;'CAJA'!$C$19))),AND(IF(ISNUMBER(F60),AND(F60&gt;=1,F60&lt;=2958465,F60=INT(F60)),FALSE),'CAJA'!$L$2=1,F60&lt;'CAJA'!$C$18)),2,IF(AND(AND(LEN(TRIM(B60&amp;""))&gt;0,TRIM(B60)&lt;&gt;"Pendiente",TRIM(B60)&lt;&gt;"Por confirmar",TRIM(B60)&lt;&gt;"No consta",TRIM(B60)&lt;&gt;"Desconocido"),AND(LEN(TRIM(C60&amp;""))&gt;0,TRIM(C60)&lt;&gt;"Pendiente",TRIM(C60)&lt;&gt;"Por confirmar",TRIM(C60)&lt;&gt;"No consta",TRIM(C60)&lt;&gt;"Desconocido"),OR(D60="Cobro",D60="Pago"),OR(E60="Previsto",E60="Realizado"),IF(ISNUMBER(F60),AND(F60&gt;=1,F60&lt;=2958465,F60=INT(F60)),FALSE),IF(ISNUMBER(G60),AND(G60&gt;=0,G60=ROUND(G60,2)),FALSE),AND(LEN(TRIM(H60&amp;""))&gt;0,TRIM(H60)&lt;&gt;"Pendiente",TRIM(H60)&lt;&gt;"Por confirmar",TRIM(H60)&lt;&gt;"No consta",TRIM(H60)&lt;&gt;"Desconocido"),'CAJA'!$L$2=1,IF(ISNUMBER('CAJA'!$C$19),AND('CAJA'!$C$19&gt;=1,'CAJA'!$C$19&lt;=2958465,'CAJA'!$C$19=INT('CAJA'!$C$19)),FALSE),F60&gt;='CAJA'!$C$18,F60&lt;'CAJA'!$L$9,NOT(OR(AND(LEN(TRIM(G60&amp;""))&gt;0,NOT(IF(ISNUMBER(G60),AND(G60&gt;=0,G60=ROUND(G60,2)),FALSE))),AND(LEN(TRIM(F60&amp;""))&gt;0,NOT(IF(ISNUMBER(F60),AND(F60&gt;=1,F60&lt;=2958465,F60=INT(F60)),FALSE))),AND(LEN(TRIM(D60&amp;""))&gt;0,NOT(OR(D60="Cobro",D60="Pago"))),AND(LEN(TRIM(E60&amp;""))&gt;0,NOT(OR(E60="Previsto",E60="Realizado"))),AND(AND(LEN(TRIM(B60&amp;""))&gt;0,TRIM(B60)&lt;&gt;"Pendiente",TRIM(B60)&lt;&gt;"Por confirmar",TRIM(B60)&lt;&gt;"No consta",TRIM(B60)&lt;&gt;"Desconocido"),SUMPRODUCT(($L$10:$L$69=L60)*1)&gt;1),AND(IF(ISNUMBER(F60),AND(F60&gt;=1,F60&lt;=2958465,F60=INT(F60)),FALSE),IF(ISNUMBER('CAJA'!$C$19),AND('CAJA'!$C$19&gt;=1,'CAJA'!$C$19&lt;=2958465,'CAJA'!$C$19=INT('CAJA'!$C$19)),FALSE),OR(AND(E60="Realizado",F60&gt;'CAJA'!$C$19),AND(E60="Previsto",F60&lt;'CAJA'!$C$19))),AND(IF(ISNUMBER(F60),AND(F60&gt;=1,F60&lt;=2958465,F60=INT(F60)),FALSE),'CAJA'!$L$2=1,F60&lt;'CAJA'!$C$18)))),0,1)))))</f>
      </c>
      <c r="N60" t="n" s="27">
        <f>IF(AND(K60=1,ISNUMBER(M60),M60=0),1,0)</f>
        <v>0</v>
      </c>
      <c r="O60" t="str" s="27">
        <f>IF(IF(ISNUMBER(F60),AND(F60&gt;=1,F60&lt;=2958465,F60=INT(F60)),FALSE),F60-WEEKDAY(F60,2)+1,"")</f>
      </c>
      <c r="P60" t="n" s="27">
        <f>IF(AND(K60=1,ISNUMBER(M60),M60&gt;0),IF(NOT(IF(ISNUMBER(F60),AND(F60&gt;=1,F60&lt;=2958465,F60=INT(F60)),FALSE)),1,IF('CAJA'!$L$2&lt;&gt;1,1,IF(OR(F60&lt;'CAJA'!$C$18,F60&gt;='CAJA'!$L$9),1,0))),0)</f>
        <v>0</v>
      </c>
    </row>
    <row r="61" ht="69" customHeight="1">
      <c r="B61" s="34"/>
      <c r="C61" s="34"/>
      <c r="D61" s="34"/>
      <c r="E61" s="34"/>
      <c r="F61" s="35"/>
      <c r="G61" s="36"/>
      <c r="H61" s="34"/>
      <c r="I61" s="33" t="str">
        <f>IF(K61=0,"",IF(M61=2,"ROJO",IF(M61=1,"ÁMBAR","VERDE")))</f>
      </c>
      <c r="J61" s="33" t="str">
        <f>IF(K61=0,"",IF(OR(ISERROR(B61),ISERROR(C61),ISERROR(D61),ISERROR(E61),ISERROR(F61),ISERROR(G61),ISERROR(H61)),"Hay una entrada con error de fórmula. Corregimos el dato; no lo convertimos en cero.",IF(OR(ISERROR('CAJA'!$C$17),ISERROR('CAJA'!$C$18),ISERROR('CAJA'!$C$19),ISERROR('CAJA'!$C$20),ISERROR('CAJA'!$C$21),ISERROR('CAJA'!$C$22),ISERROR('CAJA'!$C$23)),"Corregimos la entrada con error en CAJA antes de validar el movimiento.",IF(AND(AND(LEN(TRIM(B61&amp;""))&gt;0,TRIM(B61)&lt;&gt;"Pendiente",TRIM(B61)&lt;&gt;"Por confirmar",TRIM(B61)&lt;&gt;"No consta",TRIM(B61)&lt;&gt;"Desconocido"),SUMPRODUCT(($L$10:$L$69=L61)*1)&gt;1),"ID repetido: actualizamos el mismo movimiento o separamos únicamente la parte realizada y el resto pendiente.",IF(AND(IF(ISNUMBER(F61),AND(F61&gt;=1,F61&lt;=2958465,F61=INT(F61)),FALSE),IF(ISNUMBER('CAJA'!$C$19),AND('CAJA'!$C$19&gt;=1,'CAJA'!$C$19&lt;=2958465,'CAJA'!$C$19=INT('CAJA'!$C$19)),FALSE),E61="Realizado",F61&gt;'CAJA'!$C$19),"Realizado en fecha posterior al corte: revisamos fecha y estado.",IF(AND(IF(ISNUMBER(F61),AND(F61&gt;=1,F61&lt;=2958465,F61=INT(F61)),FALSE),IF(ISNUMBER('CAJA'!$C$19),AND('CAJA'!$C$19&gt;=1,'CAJA'!$C$19&lt;=2958465,'CAJA'!$C$19=INT('CAJA'!$C$19)),FALSE),E61="Previsto",F61&lt;'CAJA'!$C$19),"Previsión vencida: actualizamos su fecha esperada o registramos el movimiento realizado; no lo damos por cobrado.",IF(AND(IF(ISNUMBER(F61),AND(F61&gt;=1,F61&lt;=2958465,F61=INT(F61)),FALSE),'CAJA'!$L$2=1,F61&lt;'CAJA'!$C$18),"Anterior al horizonte: revisamos si ya está en el saldo inicial para no contarlo dos veces.",IF(OR(AND(LEN(TRIM(G61&amp;""))&gt;0,NOT(IF(ISNUMBER(G61),AND(G61&gt;=0,G61=ROUND(G61,2)),FALSE))),AND(LEN(TRIM(F61&amp;""))&gt;0,NOT(IF(ISNUMBER(F61),AND(F61&gt;=1,F61&lt;=2958465,F61=INT(F61)),FALSE))),AND(LEN(TRIM(D61&amp;""))&gt;0,NOT(OR(D61="Cobro",D61="Pago"))),AND(LEN(TRIM(E61&amp;""))&gt;0,NOT(OR(E61="Previsto",E61="Realizado"))),AND(AND(LEN(TRIM(B61&amp;""))&gt;0,TRIM(B61)&lt;&gt;"Pendiente",TRIM(B61)&lt;&gt;"Por confirmar",TRIM(B61)&lt;&gt;"No consta",TRIM(B61)&lt;&gt;"Desconocido"),SUMPRODUCT(($L$10:$L$69=L61)*1)&gt;1),AND(IF(ISNUMBER(F61),AND(F61&gt;=1,F61&lt;=2958465,F61=INT(F61)),FALSE),IF(ISNUMBER('CAJA'!$C$19),AND('CAJA'!$C$19&gt;=1,'CAJA'!$C$19&lt;=2958465,'CAJA'!$C$19=INT('CAJA'!$C$19)),FALSE),OR(AND(E61="Realizado",F61&gt;'CAJA'!$C$19),AND(E61="Previsto",F61&lt;'CAJA'!$C$19))),AND(IF(ISNUMBER(F61),AND(F61&gt;=1,F61&lt;=2958465,F61=INT(F61)),FALSE),'CAJA'!$L$2=1,F61&lt;'CAJA'!$C$18)),"Revisamos fecha, importe positivo/cero explícito y opciones de sentido/estado. Fechas sin hora e importes a céntimos.",IF(NOT(AND(LEN(TRIM(B61&amp;""))&gt;0,TRIM(B61)&lt;&gt;"Pendiente",TRIM(B61)&lt;&gt;"Por confirmar",TRIM(B61)&lt;&gt;"No consta",TRIM(B61)&lt;&gt;"Desconocido")),"Asignamos un identificador único.",IF(NOT(AND(LEN(TRIM(C61&amp;""))&gt;0,TRIM(C61)&lt;&gt;"Pendiente",TRIM(C61)&lt;&gt;"Por confirmar",TRIM(C61)&lt;&gt;"No consta",TRIM(C61)&lt;&gt;"Desconocido")),"Identificamos el concepto.",IF(NOT(OR(D61="Cobro",D61="Pago")),"Elegimos Cobro o Pago.",IF(NOT(OR(E61="Previsto",E61="Realizado")),"Elegimos Previsto o Realizado según lo acreditado.",IF(NOT(IF(ISNUMBER(F61),AND(F61&gt;=1,F61&lt;=2958465,F61=INT(F61)),FALSE)),"Falta fecha/semana: un plazo relativo o la fecha de una oferta no bastan.",IF(NOT(IF(ISNUMBER(G61),AND(G61&gt;=0,G61=ROUND(G61,2)),FALSE)),"Falta importe efectivo; el total de presupuesto no acredita este movimiento.",IF(NOT(AND(LEN(TRIM(H61&amp;""))&gt;0,TRIM(H61)&lt;&gt;"Pendiente",TRIM(H61)&lt;&gt;"Por confirmar",TRIM(H61)&lt;&gt;"No consta",TRIM(H61)&lt;&gt;"Desconocido")),"Identificamos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CAJA.",IF(AND(IF(ISNUMBER(F61),AND(F61&gt;=1,F61&lt;=2958465,F61=INT(F61)),FALSE),'CAJA'!$L$2=1,F61&gt;='CAJA'!$L$9),"Fuera del horizonte: ampliamos semanas (hasta 26) o revisamos la ventana. Aquí no se suma.","Dato registrado para la previsión; el estado Realizado requiere su evidencia de cobro/pago."))))))))))))))))))</f>
      </c>
      <c r="K61" t="n" s="27">
        <f>IF(COUNTA(B61:H61)&gt;0,1,0)</f>
        <v>0</v>
      </c>
      <c r="L61" t="str" s="27">
        <f>IF(COUNTA(B61:H61)&gt;0,IFERROR("ID:"&amp;UPPER(TRIM(B61&amp;"")),""),"")</f>
      </c>
      <c r="M61" t="str" s="27">
        <f>IF(NOT(COUNTA(B61:H61)&gt;0),"",IF(OR(ISERROR(B61),ISERROR(C61),ISERROR(D61),ISERROR(E61),ISERROR(F61),ISERROR(G61),ISERROR(H61)),2,IF(OR(ISERROR('CAJA'!$C$17),ISERROR('CAJA'!$C$18),ISERROR('CAJA'!$C$19),ISERROR('CAJA'!$C$20),ISERROR('CAJA'!$C$21),ISERROR('CAJA'!$C$22),ISERROR('CAJA'!$C$23)),1,IF(OR(AND(LEN(TRIM(G61&amp;""))&gt;0,NOT(IF(ISNUMBER(G61),AND(G61&gt;=0,G61=ROUND(G61,2)),FALSE))),AND(LEN(TRIM(F61&amp;""))&gt;0,NOT(IF(ISNUMBER(F61),AND(F61&gt;=1,F61&lt;=2958465,F61=INT(F61)),FALSE))),AND(LEN(TRIM(D61&amp;""))&gt;0,NOT(OR(D61="Cobro",D61="Pago"))),AND(LEN(TRIM(E61&amp;""))&gt;0,NOT(OR(E61="Previsto",E61="Realizado"))),AND(AND(LEN(TRIM(B61&amp;""))&gt;0,TRIM(B61)&lt;&gt;"Pendiente",TRIM(B61)&lt;&gt;"Por confirmar",TRIM(B61)&lt;&gt;"No consta",TRIM(B61)&lt;&gt;"Desconocido"),SUMPRODUCT(($L$10:$L$69=L61)*1)&gt;1),AND(IF(ISNUMBER(F61),AND(F61&gt;=1,F61&lt;=2958465,F61=INT(F61)),FALSE),IF(ISNUMBER('CAJA'!$C$19),AND('CAJA'!$C$19&gt;=1,'CAJA'!$C$19&lt;=2958465,'CAJA'!$C$19=INT('CAJA'!$C$19)),FALSE),OR(AND(E61="Realizado",F61&gt;'CAJA'!$C$19),AND(E61="Previsto",F61&lt;'CAJA'!$C$19))),AND(IF(ISNUMBER(F61),AND(F61&gt;=1,F61&lt;=2958465,F61=INT(F61)),FALSE),'CAJA'!$L$2=1,F61&lt;'CAJA'!$C$18)),2,IF(AND(AND(LEN(TRIM(B61&amp;""))&gt;0,TRIM(B61)&lt;&gt;"Pendiente",TRIM(B61)&lt;&gt;"Por confirmar",TRIM(B61)&lt;&gt;"No consta",TRIM(B61)&lt;&gt;"Desconocido"),AND(LEN(TRIM(C61&amp;""))&gt;0,TRIM(C61)&lt;&gt;"Pendiente",TRIM(C61)&lt;&gt;"Por confirmar",TRIM(C61)&lt;&gt;"No consta",TRIM(C61)&lt;&gt;"Desconocido"),OR(D61="Cobro",D61="Pago"),OR(E61="Previsto",E61="Realizado"),IF(ISNUMBER(F61),AND(F61&gt;=1,F61&lt;=2958465,F61=INT(F61)),FALSE),IF(ISNUMBER(G61),AND(G61&gt;=0,G61=ROUND(G61,2)),FALSE),AND(LEN(TRIM(H61&amp;""))&gt;0,TRIM(H61)&lt;&gt;"Pendiente",TRIM(H61)&lt;&gt;"Por confirmar",TRIM(H61)&lt;&gt;"No consta",TRIM(H61)&lt;&gt;"Desconocido"),'CAJA'!$L$2=1,IF(ISNUMBER('CAJA'!$C$19),AND('CAJA'!$C$19&gt;=1,'CAJA'!$C$19&lt;=2958465,'CAJA'!$C$19=INT('CAJA'!$C$19)),FALSE),F61&gt;='CAJA'!$C$18,F61&lt;'CAJA'!$L$9,NOT(OR(AND(LEN(TRIM(G61&amp;""))&gt;0,NOT(IF(ISNUMBER(G61),AND(G61&gt;=0,G61=ROUND(G61,2)),FALSE))),AND(LEN(TRIM(F61&amp;""))&gt;0,NOT(IF(ISNUMBER(F61),AND(F61&gt;=1,F61&lt;=2958465,F61=INT(F61)),FALSE))),AND(LEN(TRIM(D61&amp;""))&gt;0,NOT(OR(D61="Cobro",D61="Pago"))),AND(LEN(TRIM(E61&amp;""))&gt;0,NOT(OR(E61="Previsto",E61="Realizado"))),AND(AND(LEN(TRIM(B61&amp;""))&gt;0,TRIM(B61)&lt;&gt;"Pendiente",TRIM(B61)&lt;&gt;"Por confirmar",TRIM(B61)&lt;&gt;"No consta",TRIM(B61)&lt;&gt;"Desconocido"),SUMPRODUCT(($L$10:$L$69=L61)*1)&gt;1),AND(IF(ISNUMBER(F61),AND(F61&gt;=1,F61&lt;=2958465,F61=INT(F61)),FALSE),IF(ISNUMBER('CAJA'!$C$19),AND('CAJA'!$C$19&gt;=1,'CAJA'!$C$19&lt;=2958465,'CAJA'!$C$19=INT('CAJA'!$C$19)),FALSE),OR(AND(E61="Realizado",F61&gt;'CAJA'!$C$19),AND(E61="Previsto",F61&lt;'CAJA'!$C$19))),AND(IF(ISNUMBER(F61),AND(F61&gt;=1,F61&lt;=2958465,F61=INT(F61)),FALSE),'CAJA'!$L$2=1,F61&lt;'CAJA'!$C$18)))),0,1)))))</f>
      </c>
      <c r="N61" t="n" s="27">
        <f>IF(AND(K61=1,ISNUMBER(M61),M61=0),1,0)</f>
        <v>0</v>
      </c>
      <c r="O61" t="str" s="27">
        <f>IF(IF(ISNUMBER(F61),AND(F61&gt;=1,F61&lt;=2958465,F61=INT(F61)),FALSE),F61-WEEKDAY(F61,2)+1,"")</f>
      </c>
      <c r="P61" t="n" s="27">
        <f>IF(AND(K61=1,ISNUMBER(M61),M61&gt;0),IF(NOT(IF(ISNUMBER(F61),AND(F61&gt;=1,F61&lt;=2958465,F61=INT(F61)),FALSE)),1,IF('CAJA'!$L$2&lt;&gt;1,1,IF(OR(F61&lt;'CAJA'!$C$18,F61&gt;='CAJA'!$L$9),1,0))),0)</f>
        <v>0</v>
      </c>
    </row>
    <row r="62" ht="69" customHeight="1">
      <c r="B62" s="34"/>
      <c r="C62" s="34"/>
      <c r="D62" s="34"/>
      <c r="E62" s="34"/>
      <c r="F62" s="35"/>
      <c r="G62" s="36"/>
      <c r="H62" s="34"/>
      <c r="I62" s="33" t="str">
        <f>IF(K62=0,"",IF(M62=2,"ROJO",IF(M62=1,"ÁMBAR","VERDE")))</f>
      </c>
      <c r="J62" s="33" t="str">
        <f>IF(K62=0,"",IF(OR(ISERROR(B62),ISERROR(C62),ISERROR(D62),ISERROR(E62),ISERROR(F62),ISERROR(G62),ISERROR(H62)),"Hay una entrada con error de fórmula. Corregimos el dato; no lo convertimos en cero.",IF(OR(ISERROR('CAJA'!$C$17),ISERROR('CAJA'!$C$18),ISERROR('CAJA'!$C$19),ISERROR('CAJA'!$C$20),ISERROR('CAJA'!$C$21),ISERROR('CAJA'!$C$22),ISERROR('CAJA'!$C$23)),"Corregimos la entrada con error en CAJA antes de validar el movimiento.",IF(AND(AND(LEN(TRIM(B62&amp;""))&gt;0,TRIM(B62)&lt;&gt;"Pendiente",TRIM(B62)&lt;&gt;"Por confirmar",TRIM(B62)&lt;&gt;"No consta",TRIM(B62)&lt;&gt;"Desconocido"),SUMPRODUCT(($L$10:$L$69=L62)*1)&gt;1),"ID repetido: actualizamos el mismo movimiento o separamos únicamente la parte realizada y el resto pendiente.",IF(AND(IF(ISNUMBER(F62),AND(F62&gt;=1,F62&lt;=2958465,F62=INT(F62)),FALSE),IF(ISNUMBER('CAJA'!$C$19),AND('CAJA'!$C$19&gt;=1,'CAJA'!$C$19&lt;=2958465,'CAJA'!$C$19=INT('CAJA'!$C$19)),FALSE),E62="Realizado",F62&gt;'CAJA'!$C$19),"Realizado en fecha posterior al corte: revisamos fecha y estado.",IF(AND(IF(ISNUMBER(F62),AND(F62&gt;=1,F62&lt;=2958465,F62=INT(F62)),FALSE),IF(ISNUMBER('CAJA'!$C$19),AND('CAJA'!$C$19&gt;=1,'CAJA'!$C$19&lt;=2958465,'CAJA'!$C$19=INT('CAJA'!$C$19)),FALSE),E62="Previsto",F62&lt;'CAJA'!$C$19),"Previsión vencida: actualizamos su fecha esperada o registramos el movimiento realizado; no lo damos por cobrado.",IF(AND(IF(ISNUMBER(F62),AND(F62&gt;=1,F62&lt;=2958465,F62=INT(F62)),FALSE),'CAJA'!$L$2=1,F62&lt;'CAJA'!$C$18),"Anterior al horizonte: revisamos si ya está en el saldo inicial para no contarlo dos veces.",IF(OR(AND(LEN(TRIM(G62&amp;""))&gt;0,NOT(IF(ISNUMBER(G62),AND(G62&gt;=0,G62=ROUND(G62,2)),FALSE))),AND(LEN(TRIM(F62&amp;""))&gt;0,NOT(IF(ISNUMBER(F62),AND(F62&gt;=1,F62&lt;=2958465,F62=INT(F62)),FALSE))),AND(LEN(TRIM(D62&amp;""))&gt;0,NOT(OR(D62="Cobro",D62="Pago"))),AND(LEN(TRIM(E62&amp;""))&gt;0,NOT(OR(E62="Previsto",E62="Realizado"))),AND(AND(LEN(TRIM(B62&amp;""))&gt;0,TRIM(B62)&lt;&gt;"Pendiente",TRIM(B62)&lt;&gt;"Por confirmar",TRIM(B62)&lt;&gt;"No consta",TRIM(B62)&lt;&gt;"Desconocido"),SUMPRODUCT(($L$10:$L$69=L62)*1)&gt;1),AND(IF(ISNUMBER(F62),AND(F62&gt;=1,F62&lt;=2958465,F62=INT(F62)),FALSE),IF(ISNUMBER('CAJA'!$C$19),AND('CAJA'!$C$19&gt;=1,'CAJA'!$C$19&lt;=2958465,'CAJA'!$C$19=INT('CAJA'!$C$19)),FALSE),OR(AND(E62="Realizado",F62&gt;'CAJA'!$C$19),AND(E62="Previsto",F62&lt;'CAJA'!$C$19))),AND(IF(ISNUMBER(F62),AND(F62&gt;=1,F62&lt;=2958465,F62=INT(F62)),FALSE),'CAJA'!$L$2=1,F62&lt;'CAJA'!$C$18)),"Revisamos fecha, importe positivo/cero explícito y opciones de sentido/estado. Fechas sin hora e importes a céntimos.",IF(NOT(AND(LEN(TRIM(B62&amp;""))&gt;0,TRIM(B62)&lt;&gt;"Pendiente",TRIM(B62)&lt;&gt;"Por confirmar",TRIM(B62)&lt;&gt;"No consta",TRIM(B62)&lt;&gt;"Desconocido")),"Asignamos un identificador único.",IF(NOT(AND(LEN(TRIM(C62&amp;""))&gt;0,TRIM(C62)&lt;&gt;"Pendiente",TRIM(C62)&lt;&gt;"Por confirmar",TRIM(C62)&lt;&gt;"No consta",TRIM(C62)&lt;&gt;"Desconocido")),"Identificamos el concepto.",IF(NOT(OR(D62="Cobro",D62="Pago")),"Elegimos Cobro o Pago.",IF(NOT(OR(E62="Previsto",E62="Realizado")),"Elegimos Previsto o Realizado según lo acreditado.",IF(NOT(IF(ISNUMBER(F62),AND(F62&gt;=1,F62&lt;=2958465,F62=INT(F62)),FALSE)),"Falta fecha/semana: un plazo relativo o la fecha de una oferta no bastan.",IF(NOT(IF(ISNUMBER(G62),AND(G62&gt;=0,G62=ROUND(G62,2)),FALSE)),"Falta importe efectivo; el total de presupuesto no acredita este movimiento.",IF(NOT(AND(LEN(TRIM(H62&amp;""))&gt;0,TRIM(H62)&lt;&gt;"Pendiente",TRIM(H62)&lt;&gt;"Por confirmar",TRIM(H62)&lt;&gt;"No consta",TRIM(H62)&lt;&gt;"Desconocido")),"Identificamos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CAJA.",IF(AND(IF(ISNUMBER(F62),AND(F62&gt;=1,F62&lt;=2958465,F62=INT(F62)),FALSE),'CAJA'!$L$2=1,F62&gt;='CAJA'!$L$9),"Fuera del horizonte: ampliamos semanas (hasta 26) o revisamos la ventana. Aquí no se suma.","Dato registrado para la previsión; el estado Realizado requiere su evidencia de cobro/pago."))))))))))))))))))</f>
      </c>
      <c r="K62" t="n" s="27">
        <f>IF(COUNTA(B62:H62)&gt;0,1,0)</f>
        <v>0</v>
      </c>
      <c r="L62" t="str" s="27">
        <f>IF(COUNTA(B62:H62)&gt;0,IFERROR("ID:"&amp;UPPER(TRIM(B62&amp;"")),""),"")</f>
      </c>
      <c r="M62" t="str" s="27">
        <f>IF(NOT(COUNTA(B62:H62)&gt;0),"",IF(OR(ISERROR(B62),ISERROR(C62),ISERROR(D62),ISERROR(E62),ISERROR(F62),ISERROR(G62),ISERROR(H62)),2,IF(OR(ISERROR('CAJA'!$C$17),ISERROR('CAJA'!$C$18),ISERROR('CAJA'!$C$19),ISERROR('CAJA'!$C$20),ISERROR('CAJA'!$C$21),ISERROR('CAJA'!$C$22),ISERROR('CAJA'!$C$23)),1,IF(OR(AND(LEN(TRIM(G62&amp;""))&gt;0,NOT(IF(ISNUMBER(G62),AND(G62&gt;=0,G62=ROUND(G62,2)),FALSE))),AND(LEN(TRIM(F62&amp;""))&gt;0,NOT(IF(ISNUMBER(F62),AND(F62&gt;=1,F62&lt;=2958465,F62=INT(F62)),FALSE))),AND(LEN(TRIM(D62&amp;""))&gt;0,NOT(OR(D62="Cobro",D62="Pago"))),AND(LEN(TRIM(E62&amp;""))&gt;0,NOT(OR(E62="Previsto",E62="Realizado"))),AND(AND(LEN(TRIM(B62&amp;""))&gt;0,TRIM(B62)&lt;&gt;"Pendiente",TRIM(B62)&lt;&gt;"Por confirmar",TRIM(B62)&lt;&gt;"No consta",TRIM(B62)&lt;&gt;"Desconocido"),SUMPRODUCT(($L$10:$L$69=L62)*1)&gt;1),AND(IF(ISNUMBER(F62),AND(F62&gt;=1,F62&lt;=2958465,F62=INT(F62)),FALSE),IF(ISNUMBER('CAJA'!$C$19),AND('CAJA'!$C$19&gt;=1,'CAJA'!$C$19&lt;=2958465,'CAJA'!$C$19=INT('CAJA'!$C$19)),FALSE),OR(AND(E62="Realizado",F62&gt;'CAJA'!$C$19),AND(E62="Previsto",F62&lt;'CAJA'!$C$19))),AND(IF(ISNUMBER(F62),AND(F62&gt;=1,F62&lt;=2958465,F62=INT(F62)),FALSE),'CAJA'!$L$2=1,F62&lt;'CAJA'!$C$18)),2,IF(AND(AND(LEN(TRIM(B62&amp;""))&gt;0,TRIM(B62)&lt;&gt;"Pendiente",TRIM(B62)&lt;&gt;"Por confirmar",TRIM(B62)&lt;&gt;"No consta",TRIM(B62)&lt;&gt;"Desconocido"),AND(LEN(TRIM(C62&amp;""))&gt;0,TRIM(C62)&lt;&gt;"Pendiente",TRIM(C62)&lt;&gt;"Por confirmar",TRIM(C62)&lt;&gt;"No consta",TRIM(C62)&lt;&gt;"Desconocido"),OR(D62="Cobro",D62="Pago"),OR(E62="Previsto",E62="Realizado"),IF(ISNUMBER(F62),AND(F62&gt;=1,F62&lt;=2958465,F62=INT(F62)),FALSE),IF(ISNUMBER(G62),AND(G62&gt;=0,G62=ROUND(G62,2)),FALSE),AND(LEN(TRIM(H62&amp;""))&gt;0,TRIM(H62)&lt;&gt;"Pendiente",TRIM(H62)&lt;&gt;"Por confirmar",TRIM(H62)&lt;&gt;"No consta",TRIM(H62)&lt;&gt;"Desconocido"),'CAJA'!$L$2=1,IF(ISNUMBER('CAJA'!$C$19),AND('CAJA'!$C$19&gt;=1,'CAJA'!$C$19&lt;=2958465,'CAJA'!$C$19=INT('CAJA'!$C$19)),FALSE),F62&gt;='CAJA'!$C$18,F62&lt;'CAJA'!$L$9,NOT(OR(AND(LEN(TRIM(G62&amp;""))&gt;0,NOT(IF(ISNUMBER(G62),AND(G62&gt;=0,G62=ROUND(G62,2)),FALSE))),AND(LEN(TRIM(F62&amp;""))&gt;0,NOT(IF(ISNUMBER(F62),AND(F62&gt;=1,F62&lt;=2958465,F62=INT(F62)),FALSE))),AND(LEN(TRIM(D62&amp;""))&gt;0,NOT(OR(D62="Cobro",D62="Pago"))),AND(LEN(TRIM(E62&amp;""))&gt;0,NOT(OR(E62="Previsto",E62="Realizado"))),AND(AND(LEN(TRIM(B62&amp;""))&gt;0,TRIM(B62)&lt;&gt;"Pendiente",TRIM(B62)&lt;&gt;"Por confirmar",TRIM(B62)&lt;&gt;"No consta",TRIM(B62)&lt;&gt;"Desconocido"),SUMPRODUCT(($L$10:$L$69=L62)*1)&gt;1),AND(IF(ISNUMBER(F62),AND(F62&gt;=1,F62&lt;=2958465,F62=INT(F62)),FALSE),IF(ISNUMBER('CAJA'!$C$19),AND('CAJA'!$C$19&gt;=1,'CAJA'!$C$19&lt;=2958465,'CAJA'!$C$19=INT('CAJA'!$C$19)),FALSE),OR(AND(E62="Realizado",F62&gt;'CAJA'!$C$19),AND(E62="Previsto",F62&lt;'CAJA'!$C$19))),AND(IF(ISNUMBER(F62),AND(F62&gt;=1,F62&lt;=2958465,F62=INT(F62)),FALSE),'CAJA'!$L$2=1,F62&lt;'CAJA'!$C$18)))),0,1)))))</f>
      </c>
      <c r="N62" t="n" s="27">
        <f>IF(AND(K62=1,ISNUMBER(M62),M62=0),1,0)</f>
        <v>0</v>
      </c>
      <c r="O62" t="str" s="27">
        <f>IF(IF(ISNUMBER(F62),AND(F62&gt;=1,F62&lt;=2958465,F62=INT(F62)),FALSE),F62-WEEKDAY(F62,2)+1,"")</f>
      </c>
      <c r="P62" t="n" s="27">
        <f>IF(AND(K62=1,ISNUMBER(M62),M62&gt;0),IF(NOT(IF(ISNUMBER(F62),AND(F62&gt;=1,F62&lt;=2958465,F62=INT(F62)),FALSE)),1,IF('CAJA'!$L$2&lt;&gt;1,1,IF(OR(F62&lt;'CAJA'!$C$18,F62&gt;='CAJA'!$L$9),1,0))),0)</f>
        <v>0</v>
      </c>
    </row>
    <row r="63" ht="69" customHeight="1">
      <c r="B63" s="34"/>
      <c r="C63" s="34"/>
      <c r="D63" s="34"/>
      <c r="E63" s="34"/>
      <c r="F63" s="35"/>
      <c r="G63" s="36"/>
      <c r="H63" s="34"/>
      <c r="I63" s="33" t="str">
        <f>IF(K63=0,"",IF(M63=2,"ROJO",IF(M63=1,"ÁMBAR","VERDE")))</f>
      </c>
      <c r="J63" s="33" t="str">
        <f>IF(K63=0,"",IF(OR(ISERROR(B63),ISERROR(C63),ISERROR(D63),ISERROR(E63),ISERROR(F63),ISERROR(G63),ISERROR(H63)),"Hay una entrada con error de fórmula. Corregimos el dato; no lo convertimos en cero.",IF(OR(ISERROR('CAJA'!$C$17),ISERROR('CAJA'!$C$18),ISERROR('CAJA'!$C$19),ISERROR('CAJA'!$C$20),ISERROR('CAJA'!$C$21),ISERROR('CAJA'!$C$22),ISERROR('CAJA'!$C$23)),"Corregimos la entrada con error en CAJA antes de validar el movimiento.",IF(AND(AND(LEN(TRIM(B63&amp;""))&gt;0,TRIM(B63)&lt;&gt;"Pendiente",TRIM(B63)&lt;&gt;"Por confirmar",TRIM(B63)&lt;&gt;"No consta",TRIM(B63)&lt;&gt;"Desconocido"),SUMPRODUCT(($L$10:$L$69=L63)*1)&gt;1),"ID repetido: actualizamos el mismo movimiento o separamos únicamente la parte realizada y el resto pendiente.",IF(AND(IF(ISNUMBER(F63),AND(F63&gt;=1,F63&lt;=2958465,F63=INT(F63)),FALSE),IF(ISNUMBER('CAJA'!$C$19),AND('CAJA'!$C$19&gt;=1,'CAJA'!$C$19&lt;=2958465,'CAJA'!$C$19=INT('CAJA'!$C$19)),FALSE),E63="Realizado",F63&gt;'CAJA'!$C$19),"Realizado en fecha posterior al corte: revisamos fecha y estado.",IF(AND(IF(ISNUMBER(F63),AND(F63&gt;=1,F63&lt;=2958465,F63=INT(F63)),FALSE),IF(ISNUMBER('CAJA'!$C$19),AND('CAJA'!$C$19&gt;=1,'CAJA'!$C$19&lt;=2958465,'CAJA'!$C$19=INT('CAJA'!$C$19)),FALSE),E63="Previsto",F63&lt;'CAJA'!$C$19),"Previsión vencida: actualizamos su fecha esperada o registramos el movimiento realizado; no lo damos por cobrado.",IF(AND(IF(ISNUMBER(F63),AND(F63&gt;=1,F63&lt;=2958465,F63=INT(F63)),FALSE),'CAJA'!$L$2=1,F63&lt;'CAJA'!$C$18),"Anterior al horizonte: revisamos si ya está en el saldo inicial para no contarlo dos veces.",IF(OR(AND(LEN(TRIM(G63&amp;""))&gt;0,NOT(IF(ISNUMBER(G63),AND(G63&gt;=0,G63=ROUND(G63,2)),FALSE))),AND(LEN(TRIM(F63&amp;""))&gt;0,NOT(IF(ISNUMBER(F63),AND(F63&gt;=1,F63&lt;=2958465,F63=INT(F63)),FALSE))),AND(LEN(TRIM(D63&amp;""))&gt;0,NOT(OR(D63="Cobro",D63="Pago"))),AND(LEN(TRIM(E63&amp;""))&gt;0,NOT(OR(E63="Previsto",E63="Realizado"))),AND(AND(LEN(TRIM(B63&amp;""))&gt;0,TRIM(B63)&lt;&gt;"Pendiente",TRIM(B63)&lt;&gt;"Por confirmar",TRIM(B63)&lt;&gt;"No consta",TRIM(B63)&lt;&gt;"Desconocido"),SUMPRODUCT(($L$10:$L$69=L63)*1)&gt;1),AND(IF(ISNUMBER(F63),AND(F63&gt;=1,F63&lt;=2958465,F63=INT(F63)),FALSE),IF(ISNUMBER('CAJA'!$C$19),AND('CAJA'!$C$19&gt;=1,'CAJA'!$C$19&lt;=2958465,'CAJA'!$C$19=INT('CAJA'!$C$19)),FALSE),OR(AND(E63="Realizado",F63&gt;'CAJA'!$C$19),AND(E63="Previsto",F63&lt;'CAJA'!$C$19))),AND(IF(ISNUMBER(F63),AND(F63&gt;=1,F63&lt;=2958465,F63=INT(F63)),FALSE),'CAJA'!$L$2=1,F63&lt;'CAJA'!$C$18)),"Revisamos fecha, importe positivo/cero explícito y opciones de sentido/estado. Fechas sin hora e importes a céntimos.",IF(NOT(AND(LEN(TRIM(B63&amp;""))&gt;0,TRIM(B63)&lt;&gt;"Pendiente",TRIM(B63)&lt;&gt;"Por confirmar",TRIM(B63)&lt;&gt;"No consta",TRIM(B63)&lt;&gt;"Desconocido")),"Asignamos un identificador único.",IF(NOT(AND(LEN(TRIM(C63&amp;""))&gt;0,TRIM(C63)&lt;&gt;"Pendiente",TRIM(C63)&lt;&gt;"Por confirmar",TRIM(C63)&lt;&gt;"No consta",TRIM(C63)&lt;&gt;"Desconocido")),"Identificamos el concepto.",IF(NOT(OR(D63="Cobro",D63="Pago")),"Elegimos Cobro o Pago.",IF(NOT(OR(E63="Previsto",E63="Realizado")),"Elegimos Previsto o Realizado según lo acreditado.",IF(NOT(IF(ISNUMBER(F63),AND(F63&gt;=1,F63&lt;=2958465,F63=INT(F63)),FALSE)),"Falta fecha/semana: un plazo relativo o la fecha de una oferta no bastan.",IF(NOT(IF(ISNUMBER(G63),AND(G63&gt;=0,G63=ROUND(G63,2)),FALSE)),"Falta importe efectivo; el total de presupuesto no acredita este movimiento.",IF(NOT(AND(LEN(TRIM(H63&amp;""))&gt;0,TRIM(H63)&lt;&gt;"Pendiente",TRIM(H63)&lt;&gt;"Por confirmar",TRIM(H63)&lt;&gt;"No consta",TRIM(H63)&lt;&gt;"Desconocido")),"Identificamos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CAJA.",IF(AND(IF(ISNUMBER(F63),AND(F63&gt;=1,F63&lt;=2958465,F63=INT(F63)),FALSE),'CAJA'!$L$2=1,F63&gt;='CAJA'!$L$9),"Fuera del horizonte: ampliamos semanas (hasta 26) o revisamos la ventana. Aquí no se suma.","Dato registrado para la previsión; el estado Realizado requiere su evidencia de cobro/pago."))))))))))))))))))</f>
      </c>
      <c r="K63" t="n" s="27">
        <f>IF(COUNTA(B63:H63)&gt;0,1,0)</f>
        <v>0</v>
      </c>
      <c r="L63" t="str" s="27">
        <f>IF(COUNTA(B63:H63)&gt;0,IFERROR("ID:"&amp;UPPER(TRIM(B63&amp;"")),""),"")</f>
      </c>
      <c r="M63" t="str" s="27">
        <f>IF(NOT(COUNTA(B63:H63)&gt;0),"",IF(OR(ISERROR(B63),ISERROR(C63),ISERROR(D63),ISERROR(E63),ISERROR(F63),ISERROR(G63),ISERROR(H63)),2,IF(OR(ISERROR('CAJA'!$C$17),ISERROR('CAJA'!$C$18),ISERROR('CAJA'!$C$19),ISERROR('CAJA'!$C$20),ISERROR('CAJA'!$C$21),ISERROR('CAJA'!$C$22),ISERROR('CAJA'!$C$23)),1,IF(OR(AND(LEN(TRIM(G63&amp;""))&gt;0,NOT(IF(ISNUMBER(G63),AND(G63&gt;=0,G63=ROUND(G63,2)),FALSE))),AND(LEN(TRIM(F63&amp;""))&gt;0,NOT(IF(ISNUMBER(F63),AND(F63&gt;=1,F63&lt;=2958465,F63=INT(F63)),FALSE))),AND(LEN(TRIM(D63&amp;""))&gt;0,NOT(OR(D63="Cobro",D63="Pago"))),AND(LEN(TRIM(E63&amp;""))&gt;0,NOT(OR(E63="Previsto",E63="Realizado"))),AND(AND(LEN(TRIM(B63&amp;""))&gt;0,TRIM(B63)&lt;&gt;"Pendiente",TRIM(B63)&lt;&gt;"Por confirmar",TRIM(B63)&lt;&gt;"No consta",TRIM(B63)&lt;&gt;"Desconocido"),SUMPRODUCT(($L$10:$L$69=L63)*1)&gt;1),AND(IF(ISNUMBER(F63),AND(F63&gt;=1,F63&lt;=2958465,F63=INT(F63)),FALSE),IF(ISNUMBER('CAJA'!$C$19),AND('CAJA'!$C$19&gt;=1,'CAJA'!$C$19&lt;=2958465,'CAJA'!$C$19=INT('CAJA'!$C$19)),FALSE),OR(AND(E63="Realizado",F63&gt;'CAJA'!$C$19),AND(E63="Previsto",F63&lt;'CAJA'!$C$19))),AND(IF(ISNUMBER(F63),AND(F63&gt;=1,F63&lt;=2958465,F63=INT(F63)),FALSE),'CAJA'!$L$2=1,F63&lt;'CAJA'!$C$18)),2,IF(AND(AND(LEN(TRIM(B63&amp;""))&gt;0,TRIM(B63)&lt;&gt;"Pendiente",TRIM(B63)&lt;&gt;"Por confirmar",TRIM(B63)&lt;&gt;"No consta",TRIM(B63)&lt;&gt;"Desconocido"),AND(LEN(TRIM(C63&amp;""))&gt;0,TRIM(C63)&lt;&gt;"Pendiente",TRIM(C63)&lt;&gt;"Por confirmar",TRIM(C63)&lt;&gt;"No consta",TRIM(C63)&lt;&gt;"Desconocido"),OR(D63="Cobro",D63="Pago"),OR(E63="Previsto",E63="Realizado"),IF(ISNUMBER(F63),AND(F63&gt;=1,F63&lt;=2958465,F63=INT(F63)),FALSE),IF(ISNUMBER(G63),AND(G63&gt;=0,G63=ROUND(G63,2)),FALSE),AND(LEN(TRIM(H63&amp;""))&gt;0,TRIM(H63)&lt;&gt;"Pendiente",TRIM(H63)&lt;&gt;"Por confirmar",TRIM(H63)&lt;&gt;"No consta",TRIM(H63)&lt;&gt;"Desconocido"),'CAJA'!$L$2=1,IF(ISNUMBER('CAJA'!$C$19),AND('CAJA'!$C$19&gt;=1,'CAJA'!$C$19&lt;=2958465,'CAJA'!$C$19=INT('CAJA'!$C$19)),FALSE),F63&gt;='CAJA'!$C$18,F63&lt;'CAJA'!$L$9,NOT(OR(AND(LEN(TRIM(G63&amp;""))&gt;0,NOT(IF(ISNUMBER(G63),AND(G63&gt;=0,G63=ROUND(G63,2)),FALSE))),AND(LEN(TRIM(F63&amp;""))&gt;0,NOT(IF(ISNUMBER(F63),AND(F63&gt;=1,F63&lt;=2958465,F63=INT(F63)),FALSE))),AND(LEN(TRIM(D63&amp;""))&gt;0,NOT(OR(D63="Cobro",D63="Pago"))),AND(LEN(TRIM(E63&amp;""))&gt;0,NOT(OR(E63="Previsto",E63="Realizado"))),AND(AND(LEN(TRIM(B63&amp;""))&gt;0,TRIM(B63)&lt;&gt;"Pendiente",TRIM(B63)&lt;&gt;"Por confirmar",TRIM(B63)&lt;&gt;"No consta",TRIM(B63)&lt;&gt;"Desconocido"),SUMPRODUCT(($L$10:$L$69=L63)*1)&gt;1),AND(IF(ISNUMBER(F63),AND(F63&gt;=1,F63&lt;=2958465,F63=INT(F63)),FALSE),IF(ISNUMBER('CAJA'!$C$19),AND('CAJA'!$C$19&gt;=1,'CAJA'!$C$19&lt;=2958465,'CAJA'!$C$19=INT('CAJA'!$C$19)),FALSE),OR(AND(E63="Realizado",F63&gt;'CAJA'!$C$19),AND(E63="Previsto",F63&lt;'CAJA'!$C$19))),AND(IF(ISNUMBER(F63),AND(F63&gt;=1,F63&lt;=2958465,F63=INT(F63)),FALSE),'CAJA'!$L$2=1,F63&lt;'CAJA'!$C$18)))),0,1)))))</f>
      </c>
      <c r="N63" t="n" s="27">
        <f>IF(AND(K63=1,ISNUMBER(M63),M63=0),1,0)</f>
        <v>0</v>
      </c>
      <c r="O63" t="str" s="27">
        <f>IF(IF(ISNUMBER(F63),AND(F63&gt;=1,F63&lt;=2958465,F63=INT(F63)),FALSE),F63-WEEKDAY(F63,2)+1,"")</f>
      </c>
      <c r="P63" t="n" s="27">
        <f>IF(AND(K63=1,ISNUMBER(M63),M63&gt;0),IF(NOT(IF(ISNUMBER(F63),AND(F63&gt;=1,F63&lt;=2958465,F63=INT(F63)),FALSE)),1,IF('CAJA'!$L$2&lt;&gt;1,1,IF(OR(F63&lt;'CAJA'!$C$18,F63&gt;='CAJA'!$L$9),1,0))),0)</f>
        <v>0</v>
      </c>
    </row>
    <row r="64" ht="69" customHeight="1">
      <c r="B64" s="34"/>
      <c r="C64" s="34"/>
      <c r="D64" s="34"/>
      <c r="E64" s="34"/>
      <c r="F64" s="35"/>
      <c r="G64" s="36"/>
      <c r="H64" s="34"/>
      <c r="I64" s="33" t="str">
        <f>IF(K64=0,"",IF(M64=2,"ROJO",IF(M64=1,"ÁMBAR","VERDE")))</f>
      </c>
      <c r="J64" s="33" t="str">
        <f>IF(K64=0,"",IF(OR(ISERROR(B64),ISERROR(C64),ISERROR(D64),ISERROR(E64),ISERROR(F64),ISERROR(G64),ISERROR(H64)),"Hay una entrada con error de fórmula. Corregimos el dato; no lo convertimos en cero.",IF(OR(ISERROR('CAJA'!$C$17),ISERROR('CAJA'!$C$18),ISERROR('CAJA'!$C$19),ISERROR('CAJA'!$C$20),ISERROR('CAJA'!$C$21),ISERROR('CAJA'!$C$22),ISERROR('CAJA'!$C$23)),"Corregimos la entrada con error en CAJA antes de validar el movimiento.",IF(AND(AND(LEN(TRIM(B64&amp;""))&gt;0,TRIM(B64)&lt;&gt;"Pendiente",TRIM(B64)&lt;&gt;"Por confirmar",TRIM(B64)&lt;&gt;"No consta",TRIM(B64)&lt;&gt;"Desconocido"),SUMPRODUCT(($L$10:$L$69=L64)*1)&gt;1),"ID repetido: actualizamos el mismo movimiento o separamos únicamente la parte realizada y el resto pendiente.",IF(AND(IF(ISNUMBER(F64),AND(F64&gt;=1,F64&lt;=2958465,F64=INT(F64)),FALSE),IF(ISNUMBER('CAJA'!$C$19),AND('CAJA'!$C$19&gt;=1,'CAJA'!$C$19&lt;=2958465,'CAJA'!$C$19=INT('CAJA'!$C$19)),FALSE),E64="Realizado",F64&gt;'CAJA'!$C$19),"Realizado en fecha posterior al corte: revisamos fecha y estado.",IF(AND(IF(ISNUMBER(F64),AND(F64&gt;=1,F64&lt;=2958465,F64=INT(F64)),FALSE),IF(ISNUMBER('CAJA'!$C$19),AND('CAJA'!$C$19&gt;=1,'CAJA'!$C$19&lt;=2958465,'CAJA'!$C$19=INT('CAJA'!$C$19)),FALSE),E64="Previsto",F64&lt;'CAJA'!$C$19),"Previsión vencida: actualizamos su fecha esperada o registramos el movimiento realizado; no lo damos por cobrado.",IF(AND(IF(ISNUMBER(F64),AND(F64&gt;=1,F64&lt;=2958465,F64=INT(F64)),FALSE),'CAJA'!$L$2=1,F64&lt;'CAJA'!$C$18),"Anterior al horizonte: revisamos si ya está en el saldo inicial para no contarlo dos veces.",IF(OR(AND(LEN(TRIM(G64&amp;""))&gt;0,NOT(IF(ISNUMBER(G64),AND(G64&gt;=0,G64=ROUND(G64,2)),FALSE))),AND(LEN(TRIM(F64&amp;""))&gt;0,NOT(IF(ISNUMBER(F64),AND(F64&gt;=1,F64&lt;=2958465,F64=INT(F64)),FALSE))),AND(LEN(TRIM(D64&amp;""))&gt;0,NOT(OR(D64="Cobro",D64="Pago"))),AND(LEN(TRIM(E64&amp;""))&gt;0,NOT(OR(E64="Previsto",E64="Realizado"))),AND(AND(LEN(TRIM(B64&amp;""))&gt;0,TRIM(B64)&lt;&gt;"Pendiente",TRIM(B64)&lt;&gt;"Por confirmar",TRIM(B64)&lt;&gt;"No consta",TRIM(B64)&lt;&gt;"Desconocido"),SUMPRODUCT(($L$10:$L$69=L64)*1)&gt;1),AND(IF(ISNUMBER(F64),AND(F64&gt;=1,F64&lt;=2958465,F64=INT(F64)),FALSE),IF(ISNUMBER('CAJA'!$C$19),AND('CAJA'!$C$19&gt;=1,'CAJA'!$C$19&lt;=2958465,'CAJA'!$C$19=INT('CAJA'!$C$19)),FALSE),OR(AND(E64="Realizado",F64&gt;'CAJA'!$C$19),AND(E64="Previsto",F64&lt;'CAJA'!$C$19))),AND(IF(ISNUMBER(F64),AND(F64&gt;=1,F64&lt;=2958465,F64=INT(F64)),FALSE),'CAJA'!$L$2=1,F64&lt;'CAJA'!$C$18)),"Revisamos fecha, importe positivo/cero explícito y opciones de sentido/estado. Fechas sin hora e importes a céntimos.",IF(NOT(AND(LEN(TRIM(B64&amp;""))&gt;0,TRIM(B64)&lt;&gt;"Pendiente",TRIM(B64)&lt;&gt;"Por confirmar",TRIM(B64)&lt;&gt;"No consta",TRIM(B64)&lt;&gt;"Desconocido")),"Asignamos un identificador único.",IF(NOT(AND(LEN(TRIM(C64&amp;""))&gt;0,TRIM(C64)&lt;&gt;"Pendiente",TRIM(C64)&lt;&gt;"Por confirmar",TRIM(C64)&lt;&gt;"No consta",TRIM(C64)&lt;&gt;"Desconocido")),"Identificamos el concepto.",IF(NOT(OR(D64="Cobro",D64="Pago")),"Elegimos Cobro o Pago.",IF(NOT(OR(E64="Previsto",E64="Realizado")),"Elegimos Previsto o Realizado según lo acreditado.",IF(NOT(IF(ISNUMBER(F64),AND(F64&gt;=1,F64&lt;=2958465,F64=INT(F64)),FALSE)),"Falta fecha/semana: un plazo relativo o la fecha de una oferta no bastan.",IF(NOT(IF(ISNUMBER(G64),AND(G64&gt;=0,G64=ROUND(G64,2)),FALSE)),"Falta importe efectivo; el total de presupuesto no acredita este movimiento.",IF(NOT(AND(LEN(TRIM(H64&amp;""))&gt;0,TRIM(H64)&lt;&gt;"Pendiente",TRIM(H64)&lt;&gt;"Por confirmar",TRIM(H64)&lt;&gt;"No consta",TRIM(H64)&lt;&gt;"Desconocido")),"Identificamos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CAJA.",IF(AND(IF(ISNUMBER(F64),AND(F64&gt;=1,F64&lt;=2958465,F64=INT(F64)),FALSE),'CAJA'!$L$2=1,F64&gt;='CAJA'!$L$9),"Fuera del horizonte: ampliamos semanas (hasta 26) o revisamos la ventana. Aquí no se suma.","Dato registrado para la previsión; el estado Realizado requiere su evidencia de cobro/pago."))))))))))))))))))</f>
      </c>
      <c r="K64" t="n" s="27">
        <f>IF(COUNTA(B64:H64)&gt;0,1,0)</f>
        <v>0</v>
      </c>
      <c r="L64" t="str" s="27">
        <f>IF(COUNTA(B64:H64)&gt;0,IFERROR("ID:"&amp;UPPER(TRIM(B64&amp;"")),""),"")</f>
      </c>
      <c r="M64" t="str" s="27">
        <f>IF(NOT(COUNTA(B64:H64)&gt;0),"",IF(OR(ISERROR(B64),ISERROR(C64),ISERROR(D64),ISERROR(E64),ISERROR(F64),ISERROR(G64),ISERROR(H64)),2,IF(OR(ISERROR('CAJA'!$C$17),ISERROR('CAJA'!$C$18),ISERROR('CAJA'!$C$19),ISERROR('CAJA'!$C$20),ISERROR('CAJA'!$C$21),ISERROR('CAJA'!$C$22),ISERROR('CAJA'!$C$23)),1,IF(OR(AND(LEN(TRIM(G64&amp;""))&gt;0,NOT(IF(ISNUMBER(G64),AND(G64&gt;=0,G64=ROUND(G64,2)),FALSE))),AND(LEN(TRIM(F64&amp;""))&gt;0,NOT(IF(ISNUMBER(F64),AND(F64&gt;=1,F64&lt;=2958465,F64=INT(F64)),FALSE))),AND(LEN(TRIM(D64&amp;""))&gt;0,NOT(OR(D64="Cobro",D64="Pago"))),AND(LEN(TRIM(E64&amp;""))&gt;0,NOT(OR(E64="Previsto",E64="Realizado"))),AND(AND(LEN(TRIM(B64&amp;""))&gt;0,TRIM(B64)&lt;&gt;"Pendiente",TRIM(B64)&lt;&gt;"Por confirmar",TRIM(B64)&lt;&gt;"No consta",TRIM(B64)&lt;&gt;"Desconocido"),SUMPRODUCT(($L$10:$L$69=L64)*1)&gt;1),AND(IF(ISNUMBER(F64),AND(F64&gt;=1,F64&lt;=2958465,F64=INT(F64)),FALSE),IF(ISNUMBER('CAJA'!$C$19),AND('CAJA'!$C$19&gt;=1,'CAJA'!$C$19&lt;=2958465,'CAJA'!$C$19=INT('CAJA'!$C$19)),FALSE),OR(AND(E64="Realizado",F64&gt;'CAJA'!$C$19),AND(E64="Previsto",F64&lt;'CAJA'!$C$19))),AND(IF(ISNUMBER(F64),AND(F64&gt;=1,F64&lt;=2958465,F64=INT(F64)),FALSE),'CAJA'!$L$2=1,F64&lt;'CAJA'!$C$18)),2,IF(AND(AND(LEN(TRIM(B64&amp;""))&gt;0,TRIM(B64)&lt;&gt;"Pendiente",TRIM(B64)&lt;&gt;"Por confirmar",TRIM(B64)&lt;&gt;"No consta",TRIM(B64)&lt;&gt;"Desconocido"),AND(LEN(TRIM(C64&amp;""))&gt;0,TRIM(C64)&lt;&gt;"Pendiente",TRIM(C64)&lt;&gt;"Por confirmar",TRIM(C64)&lt;&gt;"No consta",TRIM(C64)&lt;&gt;"Desconocido"),OR(D64="Cobro",D64="Pago"),OR(E64="Previsto",E64="Realizado"),IF(ISNUMBER(F64),AND(F64&gt;=1,F64&lt;=2958465,F64=INT(F64)),FALSE),IF(ISNUMBER(G64),AND(G64&gt;=0,G64=ROUND(G64,2)),FALSE),AND(LEN(TRIM(H64&amp;""))&gt;0,TRIM(H64)&lt;&gt;"Pendiente",TRIM(H64)&lt;&gt;"Por confirmar",TRIM(H64)&lt;&gt;"No consta",TRIM(H64)&lt;&gt;"Desconocido"),'CAJA'!$L$2=1,IF(ISNUMBER('CAJA'!$C$19),AND('CAJA'!$C$19&gt;=1,'CAJA'!$C$19&lt;=2958465,'CAJA'!$C$19=INT('CAJA'!$C$19)),FALSE),F64&gt;='CAJA'!$C$18,F64&lt;'CAJA'!$L$9,NOT(OR(AND(LEN(TRIM(G64&amp;""))&gt;0,NOT(IF(ISNUMBER(G64),AND(G64&gt;=0,G64=ROUND(G64,2)),FALSE))),AND(LEN(TRIM(F64&amp;""))&gt;0,NOT(IF(ISNUMBER(F64),AND(F64&gt;=1,F64&lt;=2958465,F64=INT(F64)),FALSE))),AND(LEN(TRIM(D64&amp;""))&gt;0,NOT(OR(D64="Cobro",D64="Pago"))),AND(LEN(TRIM(E64&amp;""))&gt;0,NOT(OR(E64="Previsto",E64="Realizado"))),AND(AND(LEN(TRIM(B64&amp;""))&gt;0,TRIM(B64)&lt;&gt;"Pendiente",TRIM(B64)&lt;&gt;"Por confirmar",TRIM(B64)&lt;&gt;"No consta",TRIM(B64)&lt;&gt;"Desconocido"),SUMPRODUCT(($L$10:$L$69=L64)*1)&gt;1),AND(IF(ISNUMBER(F64),AND(F64&gt;=1,F64&lt;=2958465,F64=INT(F64)),FALSE),IF(ISNUMBER('CAJA'!$C$19),AND('CAJA'!$C$19&gt;=1,'CAJA'!$C$19&lt;=2958465,'CAJA'!$C$19=INT('CAJA'!$C$19)),FALSE),OR(AND(E64="Realizado",F64&gt;'CAJA'!$C$19),AND(E64="Previsto",F64&lt;'CAJA'!$C$19))),AND(IF(ISNUMBER(F64),AND(F64&gt;=1,F64&lt;=2958465,F64=INT(F64)),FALSE),'CAJA'!$L$2=1,F64&lt;'CAJA'!$C$18)))),0,1)))))</f>
      </c>
      <c r="N64" t="n" s="27">
        <f>IF(AND(K64=1,ISNUMBER(M64),M64=0),1,0)</f>
        <v>0</v>
      </c>
      <c r="O64" t="str" s="27">
        <f>IF(IF(ISNUMBER(F64),AND(F64&gt;=1,F64&lt;=2958465,F64=INT(F64)),FALSE),F64-WEEKDAY(F64,2)+1,"")</f>
      </c>
      <c r="P64" t="n" s="27">
        <f>IF(AND(K64=1,ISNUMBER(M64),M64&gt;0),IF(NOT(IF(ISNUMBER(F64),AND(F64&gt;=1,F64&lt;=2958465,F64=INT(F64)),FALSE)),1,IF('CAJA'!$L$2&lt;&gt;1,1,IF(OR(F64&lt;'CAJA'!$C$18,F64&gt;='CAJA'!$L$9),1,0))),0)</f>
        <v>0</v>
      </c>
    </row>
    <row r="65" ht="69" customHeight="1">
      <c r="B65" s="34"/>
      <c r="C65" s="34"/>
      <c r="D65" s="34"/>
      <c r="E65" s="34"/>
      <c r="F65" s="35"/>
      <c r="G65" s="36"/>
      <c r="H65" s="34"/>
      <c r="I65" s="33" t="str">
        <f>IF(K65=0,"",IF(M65=2,"ROJO",IF(M65=1,"ÁMBAR","VERDE")))</f>
      </c>
      <c r="J65" s="33" t="str">
        <f>IF(K65=0,"",IF(OR(ISERROR(B65),ISERROR(C65),ISERROR(D65),ISERROR(E65),ISERROR(F65),ISERROR(G65),ISERROR(H65)),"Hay una entrada con error de fórmula. Corregimos el dato; no lo convertimos en cero.",IF(OR(ISERROR('CAJA'!$C$17),ISERROR('CAJA'!$C$18),ISERROR('CAJA'!$C$19),ISERROR('CAJA'!$C$20),ISERROR('CAJA'!$C$21),ISERROR('CAJA'!$C$22),ISERROR('CAJA'!$C$23)),"Corregimos la entrada con error en CAJA antes de validar el movimiento.",IF(AND(AND(LEN(TRIM(B65&amp;""))&gt;0,TRIM(B65)&lt;&gt;"Pendiente",TRIM(B65)&lt;&gt;"Por confirmar",TRIM(B65)&lt;&gt;"No consta",TRIM(B65)&lt;&gt;"Desconocido"),SUMPRODUCT(($L$10:$L$69=L65)*1)&gt;1),"ID repetido: actualizamos el mismo movimiento o separamos únicamente la parte realizada y el resto pendiente.",IF(AND(IF(ISNUMBER(F65),AND(F65&gt;=1,F65&lt;=2958465,F65=INT(F65)),FALSE),IF(ISNUMBER('CAJA'!$C$19),AND('CAJA'!$C$19&gt;=1,'CAJA'!$C$19&lt;=2958465,'CAJA'!$C$19=INT('CAJA'!$C$19)),FALSE),E65="Realizado",F65&gt;'CAJA'!$C$19),"Realizado en fecha posterior al corte: revisamos fecha y estado.",IF(AND(IF(ISNUMBER(F65),AND(F65&gt;=1,F65&lt;=2958465,F65=INT(F65)),FALSE),IF(ISNUMBER('CAJA'!$C$19),AND('CAJA'!$C$19&gt;=1,'CAJA'!$C$19&lt;=2958465,'CAJA'!$C$19=INT('CAJA'!$C$19)),FALSE),E65="Previsto",F65&lt;'CAJA'!$C$19),"Previsión vencida: actualizamos su fecha esperada o registramos el movimiento realizado; no lo damos por cobrado.",IF(AND(IF(ISNUMBER(F65),AND(F65&gt;=1,F65&lt;=2958465,F65=INT(F65)),FALSE),'CAJA'!$L$2=1,F65&lt;'CAJA'!$C$18),"Anterior al horizonte: revisamos si ya está en el saldo inicial para no contarlo dos veces.",IF(OR(AND(LEN(TRIM(G65&amp;""))&gt;0,NOT(IF(ISNUMBER(G65),AND(G65&gt;=0,G65=ROUND(G65,2)),FALSE))),AND(LEN(TRIM(F65&amp;""))&gt;0,NOT(IF(ISNUMBER(F65),AND(F65&gt;=1,F65&lt;=2958465,F65=INT(F65)),FALSE))),AND(LEN(TRIM(D65&amp;""))&gt;0,NOT(OR(D65="Cobro",D65="Pago"))),AND(LEN(TRIM(E65&amp;""))&gt;0,NOT(OR(E65="Previsto",E65="Realizado"))),AND(AND(LEN(TRIM(B65&amp;""))&gt;0,TRIM(B65)&lt;&gt;"Pendiente",TRIM(B65)&lt;&gt;"Por confirmar",TRIM(B65)&lt;&gt;"No consta",TRIM(B65)&lt;&gt;"Desconocido"),SUMPRODUCT(($L$10:$L$69=L65)*1)&gt;1),AND(IF(ISNUMBER(F65),AND(F65&gt;=1,F65&lt;=2958465,F65=INT(F65)),FALSE),IF(ISNUMBER('CAJA'!$C$19),AND('CAJA'!$C$19&gt;=1,'CAJA'!$C$19&lt;=2958465,'CAJA'!$C$19=INT('CAJA'!$C$19)),FALSE),OR(AND(E65="Realizado",F65&gt;'CAJA'!$C$19),AND(E65="Previsto",F65&lt;'CAJA'!$C$19))),AND(IF(ISNUMBER(F65),AND(F65&gt;=1,F65&lt;=2958465,F65=INT(F65)),FALSE),'CAJA'!$L$2=1,F65&lt;'CAJA'!$C$18)),"Revisamos fecha, importe positivo/cero explícito y opciones de sentido/estado. Fechas sin hora e importes a céntimos.",IF(NOT(AND(LEN(TRIM(B65&amp;""))&gt;0,TRIM(B65)&lt;&gt;"Pendiente",TRIM(B65)&lt;&gt;"Por confirmar",TRIM(B65)&lt;&gt;"No consta",TRIM(B65)&lt;&gt;"Desconocido")),"Asignamos un identificador único.",IF(NOT(AND(LEN(TRIM(C65&amp;""))&gt;0,TRIM(C65)&lt;&gt;"Pendiente",TRIM(C65)&lt;&gt;"Por confirmar",TRIM(C65)&lt;&gt;"No consta",TRIM(C65)&lt;&gt;"Desconocido")),"Identificamos el concepto.",IF(NOT(OR(D65="Cobro",D65="Pago")),"Elegimos Cobro o Pago.",IF(NOT(OR(E65="Previsto",E65="Realizado")),"Elegimos Previsto o Realizado según lo acreditado.",IF(NOT(IF(ISNUMBER(F65),AND(F65&gt;=1,F65&lt;=2958465,F65=INT(F65)),FALSE)),"Falta fecha/semana: un plazo relativo o la fecha de una oferta no bastan.",IF(NOT(IF(ISNUMBER(G65),AND(G65&gt;=0,G65=ROUND(G65,2)),FALSE)),"Falta importe efectivo; el total de presupuesto no acredita este movimiento.",IF(NOT(AND(LEN(TRIM(H65&amp;""))&gt;0,TRIM(H65)&lt;&gt;"Pendiente",TRIM(H65)&lt;&gt;"Por confirmar",TRIM(H65)&lt;&gt;"No consta",TRIM(H65)&lt;&gt;"Desconocido")),"Identificamos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CAJA.",IF(AND(IF(ISNUMBER(F65),AND(F65&gt;=1,F65&lt;=2958465,F65=INT(F65)),FALSE),'CAJA'!$L$2=1,F65&gt;='CAJA'!$L$9),"Fuera del horizonte: ampliamos semanas (hasta 26) o revisamos la ventana. Aquí no se suma.","Dato registrado para la previsión; el estado Realizado requiere su evidencia de cobro/pago."))))))))))))))))))</f>
      </c>
      <c r="K65" t="n" s="27">
        <f>IF(COUNTA(B65:H65)&gt;0,1,0)</f>
        <v>0</v>
      </c>
      <c r="L65" t="str" s="27">
        <f>IF(COUNTA(B65:H65)&gt;0,IFERROR("ID:"&amp;UPPER(TRIM(B65&amp;"")),""),"")</f>
      </c>
      <c r="M65" t="str" s="27">
        <f>IF(NOT(COUNTA(B65:H65)&gt;0),"",IF(OR(ISERROR(B65),ISERROR(C65),ISERROR(D65),ISERROR(E65),ISERROR(F65),ISERROR(G65),ISERROR(H65)),2,IF(OR(ISERROR('CAJA'!$C$17),ISERROR('CAJA'!$C$18),ISERROR('CAJA'!$C$19),ISERROR('CAJA'!$C$20),ISERROR('CAJA'!$C$21),ISERROR('CAJA'!$C$22),ISERROR('CAJA'!$C$23)),1,IF(OR(AND(LEN(TRIM(G65&amp;""))&gt;0,NOT(IF(ISNUMBER(G65),AND(G65&gt;=0,G65=ROUND(G65,2)),FALSE))),AND(LEN(TRIM(F65&amp;""))&gt;0,NOT(IF(ISNUMBER(F65),AND(F65&gt;=1,F65&lt;=2958465,F65=INT(F65)),FALSE))),AND(LEN(TRIM(D65&amp;""))&gt;0,NOT(OR(D65="Cobro",D65="Pago"))),AND(LEN(TRIM(E65&amp;""))&gt;0,NOT(OR(E65="Previsto",E65="Realizado"))),AND(AND(LEN(TRIM(B65&amp;""))&gt;0,TRIM(B65)&lt;&gt;"Pendiente",TRIM(B65)&lt;&gt;"Por confirmar",TRIM(B65)&lt;&gt;"No consta",TRIM(B65)&lt;&gt;"Desconocido"),SUMPRODUCT(($L$10:$L$69=L65)*1)&gt;1),AND(IF(ISNUMBER(F65),AND(F65&gt;=1,F65&lt;=2958465,F65=INT(F65)),FALSE),IF(ISNUMBER('CAJA'!$C$19),AND('CAJA'!$C$19&gt;=1,'CAJA'!$C$19&lt;=2958465,'CAJA'!$C$19=INT('CAJA'!$C$19)),FALSE),OR(AND(E65="Realizado",F65&gt;'CAJA'!$C$19),AND(E65="Previsto",F65&lt;'CAJA'!$C$19))),AND(IF(ISNUMBER(F65),AND(F65&gt;=1,F65&lt;=2958465,F65=INT(F65)),FALSE),'CAJA'!$L$2=1,F65&lt;'CAJA'!$C$18)),2,IF(AND(AND(LEN(TRIM(B65&amp;""))&gt;0,TRIM(B65)&lt;&gt;"Pendiente",TRIM(B65)&lt;&gt;"Por confirmar",TRIM(B65)&lt;&gt;"No consta",TRIM(B65)&lt;&gt;"Desconocido"),AND(LEN(TRIM(C65&amp;""))&gt;0,TRIM(C65)&lt;&gt;"Pendiente",TRIM(C65)&lt;&gt;"Por confirmar",TRIM(C65)&lt;&gt;"No consta",TRIM(C65)&lt;&gt;"Desconocido"),OR(D65="Cobro",D65="Pago"),OR(E65="Previsto",E65="Realizado"),IF(ISNUMBER(F65),AND(F65&gt;=1,F65&lt;=2958465,F65=INT(F65)),FALSE),IF(ISNUMBER(G65),AND(G65&gt;=0,G65=ROUND(G65,2)),FALSE),AND(LEN(TRIM(H65&amp;""))&gt;0,TRIM(H65)&lt;&gt;"Pendiente",TRIM(H65)&lt;&gt;"Por confirmar",TRIM(H65)&lt;&gt;"No consta",TRIM(H65)&lt;&gt;"Desconocido"),'CAJA'!$L$2=1,IF(ISNUMBER('CAJA'!$C$19),AND('CAJA'!$C$19&gt;=1,'CAJA'!$C$19&lt;=2958465,'CAJA'!$C$19=INT('CAJA'!$C$19)),FALSE),F65&gt;='CAJA'!$C$18,F65&lt;'CAJA'!$L$9,NOT(OR(AND(LEN(TRIM(G65&amp;""))&gt;0,NOT(IF(ISNUMBER(G65),AND(G65&gt;=0,G65=ROUND(G65,2)),FALSE))),AND(LEN(TRIM(F65&amp;""))&gt;0,NOT(IF(ISNUMBER(F65),AND(F65&gt;=1,F65&lt;=2958465,F65=INT(F65)),FALSE))),AND(LEN(TRIM(D65&amp;""))&gt;0,NOT(OR(D65="Cobro",D65="Pago"))),AND(LEN(TRIM(E65&amp;""))&gt;0,NOT(OR(E65="Previsto",E65="Realizado"))),AND(AND(LEN(TRIM(B65&amp;""))&gt;0,TRIM(B65)&lt;&gt;"Pendiente",TRIM(B65)&lt;&gt;"Por confirmar",TRIM(B65)&lt;&gt;"No consta",TRIM(B65)&lt;&gt;"Desconocido"),SUMPRODUCT(($L$10:$L$69=L65)*1)&gt;1),AND(IF(ISNUMBER(F65),AND(F65&gt;=1,F65&lt;=2958465,F65=INT(F65)),FALSE),IF(ISNUMBER('CAJA'!$C$19),AND('CAJA'!$C$19&gt;=1,'CAJA'!$C$19&lt;=2958465,'CAJA'!$C$19=INT('CAJA'!$C$19)),FALSE),OR(AND(E65="Realizado",F65&gt;'CAJA'!$C$19),AND(E65="Previsto",F65&lt;'CAJA'!$C$19))),AND(IF(ISNUMBER(F65),AND(F65&gt;=1,F65&lt;=2958465,F65=INT(F65)),FALSE),'CAJA'!$L$2=1,F65&lt;'CAJA'!$C$18)))),0,1)))))</f>
      </c>
      <c r="N65" t="n" s="27">
        <f>IF(AND(K65=1,ISNUMBER(M65),M65=0),1,0)</f>
        <v>0</v>
      </c>
      <c r="O65" t="str" s="27">
        <f>IF(IF(ISNUMBER(F65),AND(F65&gt;=1,F65&lt;=2958465,F65=INT(F65)),FALSE),F65-WEEKDAY(F65,2)+1,"")</f>
      </c>
      <c r="P65" t="n" s="27">
        <f>IF(AND(K65=1,ISNUMBER(M65),M65&gt;0),IF(NOT(IF(ISNUMBER(F65),AND(F65&gt;=1,F65&lt;=2958465,F65=INT(F65)),FALSE)),1,IF('CAJA'!$L$2&lt;&gt;1,1,IF(OR(F65&lt;'CAJA'!$C$18,F65&gt;='CAJA'!$L$9),1,0))),0)</f>
        <v>0</v>
      </c>
    </row>
    <row r="66" ht="69" customHeight="1">
      <c r="B66" s="34"/>
      <c r="C66" s="34"/>
      <c r="D66" s="34"/>
      <c r="E66" s="34"/>
      <c r="F66" s="35"/>
      <c r="G66" s="36"/>
      <c r="H66" s="34"/>
      <c r="I66" s="33" t="str">
        <f>IF(K66=0,"",IF(M66=2,"ROJO",IF(M66=1,"ÁMBAR","VERDE")))</f>
      </c>
      <c r="J66" s="33" t="str">
        <f>IF(K66=0,"",IF(OR(ISERROR(B66),ISERROR(C66),ISERROR(D66),ISERROR(E66),ISERROR(F66),ISERROR(G66),ISERROR(H66)),"Hay una entrada con error de fórmula. Corregimos el dato; no lo convertimos en cero.",IF(OR(ISERROR('CAJA'!$C$17),ISERROR('CAJA'!$C$18),ISERROR('CAJA'!$C$19),ISERROR('CAJA'!$C$20),ISERROR('CAJA'!$C$21),ISERROR('CAJA'!$C$22),ISERROR('CAJA'!$C$23)),"Corregimos la entrada con error en CAJA antes de validar el movimiento.",IF(AND(AND(LEN(TRIM(B66&amp;""))&gt;0,TRIM(B66)&lt;&gt;"Pendiente",TRIM(B66)&lt;&gt;"Por confirmar",TRIM(B66)&lt;&gt;"No consta",TRIM(B66)&lt;&gt;"Desconocido"),SUMPRODUCT(($L$10:$L$69=L66)*1)&gt;1),"ID repetido: actualizamos el mismo movimiento o separamos únicamente la parte realizada y el resto pendiente.",IF(AND(IF(ISNUMBER(F66),AND(F66&gt;=1,F66&lt;=2958465,F66=INT(F66)),FALSE),IF(ISNUMBER('CAJA'!$C$19),AND('CAJA'!$C$19&gt;=1,'CAJA'!$C$19&lt;=2958465,'CAJA'!$C$19=INT('CAJA'!$C$19)),FALSE),E66="Realizado",F66&gt;'CAJA'!$C$19),"Realizado en fecha posterior al corte: revisamos fecha y estado.",IF(AND(IF(ISNUMBER(F66),AND(F66&gt;=1,F66&lt;=2958465,F66=INT(F66)),FALSE),IF(ISNUMBER('CAJA'!$C$19),AND('CAJA'!$C$19&gt;=1,'CAJA'!$C$19&lt;=2958465,'CAJA'!$C$19=INT('CAJA'!$C$19)),FALSE),E66="Previsto",F66&lt;'CAJA'!$C$19),"Previsión vencida: actualizamos su fecha esperada o registramos el movimiento realizado; no lo damos por cobrado.",IF(AND(IF(ISNUMBER(F66),AND(F66&gt;=1,F66&lt;=2958465,F66=INT(F66)),FALSE),'CAJA'!$L$2=1,F66&lt;'CAJA'!$C$18),"Anterior al horizonte: revisamos si ya está en el saldo inicial para no contarlo dos veces.",IF(OR(AND(LEN(TRIM(G66&amp;""))&gt;0,NOT(IF(ISNUMBER(G66),AND(G66&gt;=0,G66=ROUND(G66,2)),FALSE))),AND(LEN(TRIM(F66&amp;""))&gt;0,NOT(IF(ISNUMBER(F66),AND(F66&gt;=1,F66&lt;=2958465,F66=INT(F66)),FALSE))),AND(LEN(TRIM(D66&amp;""))&gt;0,NOT(OR(D66="Cobro",D66="Pago"))),AND(LEN(TRIM(E66&amp;""))&gt;0,NOT(OR(E66="Previsto",E66="Realizado"))),AND(AND(LEN(TRIM(B66&amp;""))&gt;0,TRIM(B66)&lt;&gt;"Pendiente",TRIM(B66)&lt;&gt;"Por confirmar",TRIM(B66)&lt;&gt;"No consta",TRIM(B66)&lt;&gt;"Desconocido"),SUMPRODUCT(($L$10:$L$69=L66)*1)&gt;1),AND(IF(ISNUMBER(F66),AND(F66&gt;=1,F66&lt;=2958465,F66=INT(F66)),FALSE),IF(ISNUMBER('CAJA'!$C$19),AND('CAJA'!$C$19&gt;=1,'CAJA'!$C$19&lt;=2958465,'CAJA'!$C$19=INT('CAJA'!$C$19)),FALSE),OR(AND(E66="Realizado",F66&gt;'CAJA'!$C$19),AND(E66="Previsto",F66&lt;'CAJA'!$C$19))),AND(IF(ISNUMBER(F66),AND(F66&gt;=1,F66&lt;=2958465,F66=INT(F66)),FALSE),'CAJA'!$L$2=1,F66&lt;'CAJA'!$C$18)),"Revisamos fecha, importe positivo/cero explícito y opciones de sentido/estado. Fechas sin hora e importes a céntimos.",IF(NOT(AND(LEN(TRIM(B66&amp;""))&gt;0,TRIM(B66)&lt;&gt;"Pendiente",TRIM(B66)&lt;&gt;"Por confirmar",TRIM(B66)&lt;&gt;"No consta",TRIM(B66)&lt;&gt;"Desconocido")),"Asignamos un identificador único.",IF(NOT(AND(LEN(TRIM(C66&amp;""))&gt;0,TRIM(C66)&lt;&gt;"Pendiente",TRIM(C66)&lt;&gt;"Por confirmar",TRIM(C66)&lt;&gt;"No consta",TRIM(C66)&lt;&gt;"Desconocido")),"Identificamos el concepto.",IF(NOT(OR(D66="Cobro",D66="Pago")),"Elegimos Cobro o Pago.",IF(NOT(OR(E66="Previsto",E66="Realizado")),"Elegimos Previsto o Realizado según lo acreditado.",IF(NOT(IF(ISNUMBER(F66),AND(F66&gt;=1,F66&lt;=2958465,F66=INT(F66)),FALSE)),"Falta fecha/semana: un plazo relativo o la fecha de una oferta no bastan.",IF(NOT(IF(ISNUMBER(G66),AND(G66&gt;=0,G66=ROUND(G66,2)),FALSE)),"Falta importe efectivo; el total de presupuesto no acredita este movimiento.",IF(NOT(AND(LEN(TRIM(H66&amp;""))&gt;0,TRIM(H66)&lt;&gt;"Pendiente",TRIM(H66)&lt;&gt;"Por confirmar",TRIM(H66)&lt;&gt;"No consta",TRIM(H66)&lt;&gt;"Desconocido")),"Identificamos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CAJA.",IF(AND(IF(ISNUMBER(F66),AND(F66&gt;=1,F66&lt;=2958465,F66=INT(F66)),FALSE),'CAJA'!$L$2=1,F66&gt;='CAJA'!$L$9),"Fuera del horizonte: ampliamos semanas (hasta 26) o revisamos la ventana. Aquí no se suma.","Dato registrado para la previsión; el estado Realizado requiere su evidencia de cobro/pago."))))))))))))))))))</f>
      </c>
      <c r="K66" t="n" s="27">
        <f>IF(COUNTA(B66:H66)&gt;0,1,0)</f>
        <v>0</v>
      </c>
      <c r="L66" t="str" s="27">
        <f>IF(COUNTA(B66:H66)&gt;0,IFERROR("ID:"&amp;UPPER(TRIM(B66&amp;"")),""),"")</f>
      </c>
      <c r="M66" t="str" s="27">
        <f>IF(NOT(COUNTA(B66:H66)&gt;0),"",IF(OR(ISERROR(B66),ISERROR(C66),ISERROR(D66),ISERROR(E66),ISERROR(F66),ISERROR(G66),ISERROR(H66)),2,IF(OR(ISERROR('CAJA'!$C$17),ISERROR('CAJA'!$C$18),ISERROR('CAJA'!$C$19),ISERROR('CAJA'!$C$20),ISERROR('CAJA'!$C$21),ISERROR('CAJA'!$C$22),ISERROR('CAJA'!$C$23)),1,IF(OR(AND(LEN(TRIM(G66&amp;""))&gt;0,NOT(IF(ISNUMBER(G66),AND(G66&gt;=0,G66=ROUND(G66,2)),FALSE))),AND(LEN(TRIM(F66&amp;""))&gt;0,NOT(IF(ISNUMBER(F66),AND(F66&gt;=1,F66&lt;=2958465,F66=INT(F66)),FALSE))),AND(LEN(TRIM(D66&amp;""))&gt;0,NOT(OR(D66="Cobro",D66="Pago"))),AND(LEN(TRIM(E66&amp;""))&gt;0,NOT(OR(E66="Previsto",E66="Realizado"))),AND(AND(LEN(TRIM(B66&amp;""))&gt;0,TRIM(B66)&lt;&gt;"Pendiente",TRIM(B66)&lt;&gt;"Por confirmar",TRIM(B66)&lt;&gt;"No consta",TRIM(B66)&lt;&gt;"Desconocido"),SUMPRODUCT(($L$10:$L$69=L66)*1)&gt;1),AND(IF(ISNUMBER(F66),AND(F66&gt;=1,F66&lt;=2958465,F66=INT(F66)),FALSE),IF(ISNUMBER('CAJA'!$C$19),AND('CAJA'!$C$19&gt;=1,'CAJA'!$C$19&lt;=2958465,'CAJA'!$C$19=INT('CAJA'!$C$19)),FALSE),OR(AND(E66="Realizado",F66&gt;'CAJA'!$C$19),AND(E66="Previsto",F66&lt;'CAJA'!$C$19))),AND(IF(ISNUMBER(F66),AND(F66&gt;=1,F66&lt;=2958465,F66=INT(F66)),FALSE),'CAJA'!$L$2=1,F66&lt;'CAJA'!$C$18)),2,IF(AND(AND(LEN(TRIM(B66&amp;""))&gt;0,TRIM(B66)&lt;&gt;"Pendiente",TRIM(B66)&lt;&gt;"Por confirmar",TRIM(B66)&lt;&gt;"No consta",TRIM(B66)&lt;&gt;"Desconocido"),AND(LEN(TRIM(C66&amp;""))&gt;0,TRIM(C66)&lt;&gt;"Pendiente",TRIM(C66)&lt;&gt;"Por confirmar",TRIM(C66)&lt;&gt;"No consta",TRIM(C66)&lt;&gt;"Desconocido"),OR(D66="Cobro",D66="Pago"),OR(E66="Previsto",E66="Realizado"),IF(ISNUMBER(F66),AND(F66&gt;=1,F66&lt;=2958465,F66=INT(F66)),FALSE),IF(ISNUMBER(G66),AND(G66&gt;=0,G66=ROUND(G66,2)),FALSE),AND(LEN(TRIM(H66&amp;""))&gt;0,TRIM(H66)&lt;&gt;"Pendiente",TRIM(H66)&lt;&gt;"Por confirmar",TRIM(H66)&lt;&gt;"No consta",TRIM(H66)&lt;&gt;"Desconocido"),'CAJA'!$L$2=1,IF(ISNUMBER('CAJA'!$C$19),AND('CAJA'!$C$19&gt;=1,'CAJA'!$C$19&lt;=2958465,'CAJA'!$C$19=INT('CAJA'!$C$19)),FALSE),F66&gt;='CAJA'!$C$18,F66&lt;'CAJA'!$L$9,NOT(OR(AND(LEN(TRIM(G66&amp;""))&gt;0,NOT(IF(ISNUMBER(G66),AND(G66&gt;=0,G66=ROUND(G66,2)),FALSE))),AND(LEN(TRIM(F66&amp;""))&gt;0,NOT(IF(ISNUMBER(F66),AND(F66&gt;=1,F66&lt;=2958465,F66=INT(F66)),FALSE))),AND(LEN(TRIM(D66&amp;""))&gt;0,NOT(OR(D66="Cobro",D66="Pago"))),AND(LEN(TRIM(E66&amp;""))&gt;0,NOT(OR(E66="Previsto",E66="Realizado"))),AND(AND(LEN(TRIM(B66&amp;""))&gt;0,TRIM(B66)&lt;&gt;"Pendiente",TRIM(B66)&lt;&gt;"Por confirmar",TRIM(B66)&lt;&gt;"No consta",TRIM(B66)&lt;&gt;"Desconocido"),SUMPRODUCT(($L$10:$L$69=L66)*1)&gt;1),AND(IF(ISNUMBER(F66),AND(F66&gt;=1,F66&lt;=2958465,F66=INT(F66)),FALSE),IF(ISNUMBER('CAJA'!$C$19),AND('CAJA'!$C$19&gt;=1,'CAJA'!$C$19&lt;=2958465,'CAJA'!$C$19=INT('CAJA'!$C$19)),FALSE),OR(AND(E66="Realizado",F66&gt;'CAJA'!$C$19),AND(E66="Previsto",F66&lt;'CAJA'!$C$19))),AND(IF(ISNUMBER(F66),AND(F66&gt;=1,F66&lt;=2958465,F66=INT(F66)),FALSE),'CAJA'!$L$2=1,F66&lt;'CAJA'!$C$18)))),0,1)))))</f>
      </c>
      <c r="N66" t="n" s="27">
        <f>IF(AND(K66=1,ISNUMBER(M66),M66=0),1,0)</f>
        <v>0</v>
      </c>
      <c r="O66" t="str" s="27">
        <f>IF(IF(ISNUMBER(F66),AND(F66&gt;=1,F66&lt;=2958465,F66=INT(F66)),FALSE),F66-WEEKDAY(F66,2)+1,"")</f>
      </c>
      <c r="P66" t="n" s="27">
        <f>IF(AND(K66=1,ISNUMBER(M66),M66&gt;0),IF(NOT(IF(ISNUMBER(F66),AND(F66&gt;=1,F66&lt;=2958465,F66=INT(F66)),FALSE)),1,IF('CAJA'!$L$2&lt;&gt;1,1,IF(OR(F66&lt;'CAJA'!$C$18,F66&gt;='CAJA'!$L$9),1,0))),0)</f>
        <v>0</v>
      </c>
    </row>
    <row r="67" ht="69" customHeight="1">
      <c r="B67" s="34"/>
      <c r="C67" s="34"/>
      <c r="D67" s="34"/>
      <c r="E67" s="34"/>
      <c r="F67" s="35"/>
      <c r="G67" s="36"/>
      <c r="H67" s="34"/>
      <c r="I67" s="33" t="str">
        <f>IF(K67=0,"",IF(M67=2,"ROJO",IF(M67=1,"ÁMBAR","VERDE")))</f>
      </c>
      <c r="J67" s="33" t="str">
        <f>IF(K67=0,"",IF(OR(ISERROR(B67),ISERROR(C67),ISERROR(D67),ISERROR(E67),ISERROR(F67),ISERROR(G67),ISERROR(H67)),"Hay una entrada con error de fórmula. Corregimos el dato; no lo convertimos en cero.",IF(OR(ISERROR('CAJA'!$C$17),ISERROR('CAJA'!$C$18),ISERROR('CAJA'!$C$19),ISERROR('CAJA'!$C$20),ISERROR('CAJA'!$C$21),ISERROR('CAJA'!$C$22),ISERROR('CAJA'!$C$23)),"Corregimos la entrada con error en CAJA antes de validar el movimiento.",IF(AND(AND(LEN(TRIM(B67&amp;""))&gt;0,TRIM(B67)&lt;&gt;"Pendiente",TRIM(B67)&lt;&gt;"Por confirmar",TRIM(B67)&lt;&gt;"No consta",TRIM(B67)&lt;&gt;"Desconocido"),SUMPRODUCT(($L$10:$L$69=L67)*1)&gt;1),"ID repetido: actualizamos el mismo movimiento o separamos únicamente la parte realizada y el resto pendiente.",IF(AND(IF(ISNUMBER(F67),AND(F67&gt;=1,F67&lt;=2958465,F67=INT(F67)),FALSE),IF(ISNUMBER('CAJA'!$C$19),AND('CAJA'!$C$19&gt;=1,'CAJA'!$C$19&lt;=2958465,'CAJA'!$C$19=INT('CAJA'!$C$19)),FALSE),E67="Realizado",F67&gt;'CAJA'!$C$19),"Realizado en fecha posterior al corte: revisamos fecha y estado.",IF(AND(IF(ISNUMBER(F67),AND(F67&gt;=1,F67&lt;=2958465,F67=INT(F67)),FALSE),IF(ISNUMBER('CAJA'!$C$19),AND('CAJA'!$C$19&gt;=1,'CAJA'!$C$19&lt;=2958465,'CAJA'!$C$19=INT('CAJA'!$C$19)),FALSE),E67="Previsto",F67&lt;'CAJA'!$C$19),"Previsión vencida: actualizamos su fecha esperada o registramos el movimiento realizado; no lo damos por cobrado.",IF(AND(IF(ISNUMBER(F67),AND(F67&gt;=1,F67&lt;=2958465,F67=INT(F67)),FALSE),'CAJA'!$L$2=1,F67&lt;'CAJA'!$C$18),"Anterior al horizonte: revisamos si ya está en el saldo inicial para no contarlo dos veces.",IF(OR(AND(LEN(TRIM(G67&amp;""))&gt;0,NOT(IF(ISNUMBER(G67),AND(G67&gt;=0,G67=ROUND(G67,2)),FALSE))),AND(LEN(TRIM(F67&amp;""))&gt;0,NOT(IF(ISNUMBER(F67),AND(F67&gt;=1,F67&lt;=2958465,F67=INT(F67)),FALSE))),AND(LEN(TRIM(D67&amp;""))&gt;0,NOT(OR(D67="Cobro",D67="Pago"))),AND(LEN(TRIM(E67&amp;""))&gt;0,NOT(OR(E67="Previsto",E67="Realizado"))),AND(AND(LEN(TRIM(B67&amp;""))&gt;0,TRIM(B67)&lt;&gt;"Pendiente",TRIM(B67)&lt;&gt;"Por confirmar",TRIM(B67)&lt;&gt;"No consta",TRIM(B67)&lt;&gt;"Desconocido"),SUMPRODUCT(($L$10:$L$69=L67)*1)&gt;1),AND(IF(ISNUMBER(F67),AND(F67&gt;=1,F67&lt;=2958465,F67=INT(F67)),FALSE),IF(ISNUMBER('CAJA'!$C$19),AND('CAJA'!$C$19&gt;=1,'CAJA'!$C$19&lt;=2958465,'CAJA'!$C$19=INT('CAJA'!$C$19)),FALSE),OR(AND(E67="Realizado",F67&gt;'CAJA'!$C$19),AND(E67="Previsto",F67&lt;'CAJA'!$C$19))),AND(IF(ISNUMBER(F67),AND(F67&gt;=1,F67&lt;=2958465,F67=INT(F67)),FALSE),'CAJA'!$L$2=1,F67&lt;'CAJA'!$C$18)),"Revisamos fecha, importe positivo/cero explícito y opciones de sentido/estado. Fechas sin hora e importes a céntimos.",IF(NOT(AND(LEN(TRIM(B67&amp;""))&gt;0,TRIM(B67)&lt;&gt;"Pendiente",TRIM(B67)&lt;&gt;"Por confirmar",TRIM(B67)&lt;&gt;"No consta",TRIM(B67)&lt;&gt;"Desconocido")),"Asignamos un identificador único.",IF(NOT(AND(LEN(TRIM(C67&amp;""))&gt;0,TRIM(C67)&lt;&gt;"Pendiente",TRIM(C67)&lt;&gt;"Por confirmar",TRIM(C67)&lt;&gt;"No consta",TRIM(C67)&lt;&gt;"Desconocido")),"Identificamos el concepto.",IF(NOT(OR(D67="Cobro",D67="Pago")),"Elegimos Cobro o Pago.",IF(NOT(OR(E67="Previsto",E67="Realizado")),"Elegimos Previsto o Realizado según lo acreditado.",IF(NOT(IF(ISNUMBER(F67),AND(F67&gt;=1,F67&lt;=2958465,F67=INT(F67)),FALSE)),"Falta fecha/semana: un plazo relativo o la fecha de una oferta no bastan.",IF(NOT(IF(ISNUMBER(G67),AND(G67&gt;=0,G67=ROUND(G67,2)),FALSE)),"Falta importe efectivo; el total de presupuesto no acredita este movimiento.",IF(NOT(AND(LEN(TRIM(H67&amp;""))&gt;0,TRIM(H67)&lt;&gt;"Pendiente",TRIM(H67)&lt;&gt;"Por confirmar",TRIM(H67)&lt;&gt;"No consta",TRIM(H67)&lt;&gt;"Desconocido")),"Identificamos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CAJA.",IF(AND(IF(ISNUMBER(F67),AND(F67&gt;=1,F67&lt;=2958465,F67=INT(F67)),FALSE),'CAJA'!$L$2=1,F67&gt;='CAJA'!$L$9),"Fuera del horizonte: ampliamos semanas (hasta 26) o revisamos la ventana. Aquí no se suma.","Dato registrado para la previsión; el estado Realizado requiere su evidencia de cobro/pago."))))))))))))))))))</f>
      </c>
      <c r="K67" t="n" s="27">
        <f>IF(COUNTA(B67:H67)&gt;0,1,0)</f>
        <v>0</v>
      </c>
      <c r="L67" t="str" s="27">
        <f>IF(COUNTA(B67:H67)&gt;0,IFERROR("ID:"&amp;UPPER(TRIM(B67&amp;"")),""),"")</f>
      </c>
      <c r="M67" t="str" s="27">
        <f>IF(NOT(COUNTA(B67:H67)&gt;0),"",IF(OR(ISERROR(B67),ISERROR(C67),ISERROR(D67),ISERROR(E67),ISERROR(F67),ISERROR(G67),ISERROR(H67)),2,IF(OR(ISERROR('CAJA'!$C$17),ISERROR('CAJA'!$C$18),ISERROR('CAJA'!$C$19),ISERROR('CAJA'!$C$20),ISERROR('CAJA'!$C$21),ISERROR('CAJA'!$C$22),ISERROR('CAJA'!$C$23)),1,IF(OR(AND(LEN(TRIM(G67&amp;""))&gt;0,NOT(IF(ISNUMBER(G67),AND(G67&gt;=0,G67=ROUND(G67,2)),FALSE))),AND(LEN(TRIM(F67&amp;""))&gt;0,NOT(IF(ISNUMBER(F67),AND(F67&gt;=1,F67&lt;=2958465,F67=INT(F67)),FALSE))),AND(LEN(TRIM(D67&amp;""))&gt;0,NOT(OR(D67="Cobro",D67="Pago"))),AND(LEN(TRIM(E67&amp;""))&gt;0,NOT(OR(E67="Previsto",E67="Realizado"))),AND(AND(LEN(TRIM(B67&amp;""))&gt;0,TRIM(B67)&lt;&gt;"Pendiente",TRIM(B67)&lt;&gt;"Por confirmar",TRIM(B67)&lt;&gt;"No consta",TRIM(B67)&lt;&gt;"Desconocido"),SUMPRODUCT(($L$10:$L$69=L67)*1)&gt;1),AND(IF(ISNUMBER(F67),AND(F67&gt;=1,F67&lt;=2958465,F67=INT(F67)),FALSE),IF(ISNUMBER('CAJA'!$C$19),AND('CAJA'!$C$19&gt;=1,'CAJA'!$C$19&lt;=2958465,'CAJA'!$C$19=INT('CAJA'!$C$19)),FALSE),OR(AND(E67="Realizado",F67&gt;'CAJA'!$C$19),AND(E67="Previsto",F67&lt;'CAJA'!$C$19))),AND(IF(ISNUMBER(F67),AND(F67&gt;=1,F67&lt;=2958465,F67=INT(F67)),FALSE),'CAJA'!$L$2=1,F67&lt;'CAJA'!$C$18)),2,IF(AND(AND(LEN(TRIM(B67&amp;""))&gt;0,TRIM(B67)&lt;&gt;"Pendiente",TRIM(B67)&lt;&gt;"Por confirmar",TRIM(B67)&lt;&gt;"No consta",TRIM(B67)&lt;&gt;"Desconocido"),AND(LEN(TRIM(C67&amp;""))&gt;0,TRIM(C67)&lt;&gt;"Pendiente",TRIM(C67)&lt;&gt;"Por confirmar",TRIM(C67)&lt;&gt;"No consta",TRIM(C67)&lt;&gt;"Desconocido"),OR(D67="Cobro",D67="Pago"),OR(E67="Previsto",E67="Realizado"),IF(ISNUMBER(F67),AND(F67&gt;=1,F67&lt;=2958465,F67=INT(F67)),FALSE),IF(ISNUMBER(G67),AND(G67&gt;=0,G67=ROUND(G67,2)),FALSE),AND(LEN(TRIM(H67&amp;""))&gt;0,TRIM(H67)&lt;&gt;"Pendiente",TRIM(H67)&lt;&gt;"Por confirmar",TRIM(H67)&lt;&gt;"No consta",TRIM(H67)&lt;&gt;"Desconocido"),'CAJA'!$L$2=1,IF(ISNUMBER('CAJA'!$C$19),AND('CAJA'!$C$19&gt;=1,'CAJA'!$C$19&lt;=2958465,'CAJA'!$C$19=INT('CAJA'!$C$19)),FALSE),F67&gt;='CAJA'!$C$18,F67&lt;'CAJA'!$L$9,NOT(OR(AND(LEN(TRIM(G67&amp;""))&gt;0,NOT(IF(ISNUMBER(G67),AND(G67&gt;=0,G67=ROUND(G67,2)),FALSE))),AND(LEN(TRIM(F67&amp;""))&gt;0,NOT(IF(ISNUMBER(F67),AND(F67&gt;=1,F67&lt;=2958465,F67=INT(F67)),FALSE))),AND(LEN(TRIM(D67&amp;""))&gt;0,NOT(OR(D67="Cobro",D67="Pago"))),AND(LEN(TRIM(E67&amp;""))&gt;0,NOT(OR(E67="Previsto",E67="Realizado"))),AND(AND(LEN(TRIM(B67&amp;""))&gt;0,TRIM(B67)&lt;&gt;"Pendiente",TRIM(B67)&lt;&gt;"Por confirmar",TRIM(B67)&lt;&gt;"No consta",TRIM(B67)&lt;&gt;"Desconocido"),SUMPRODUCT(($L$10:$L$69=L67)*1)&gt;1),AND(IF(ISNUMBER(F67),AND(F67&gt;=1,F67&lt;=2958465,F67=INT(F67)),FALSE),IF(ISNUMBER('CAJA'!$C$19),AND('CAJA'!$C$19&gt;=1,'CAJA'!$C$19&lt;=2958465,'CAJA'!$C$19=INT('CAJA'!$C$19)),FALSE),OR(AND(E67="Realizado",F67&gt;'CAJA'!$C$19),AND(E67="Previsto",F67&lt;'CAJA'!$C$19))),AND(IF(ISNUMBER(F67),AND(F67&gt;=1,F67&lt;=2958465,F67=INT(F67)),FALSE),'CAJA'!$L$2=1,F67&lt;'CAJA'!$C$18)))),0,1)))))</f>
      </c>
      <c r="N67" t="n" s="27">
        <f>IF(AND(K67=1,ISNUMBER(M67),M67=0),1,0)</f>
        <v>0</v>
      </c>
      <c r="O67" t="str" s="27">
        <f>IF(IF(ISNUMBER(F67),AND(F67&gt;=1,F67&lt;=2958465,F67=INT(F67)),FALSE),F67-WEEKDAY(F67,2)+1,"")</f>
      </c>
      <c r="P67" t="n" s="27">
        <f>IF(AND(K67=1,ISNUMBER(M67),M67&gt;0),IF(NOT(IF(ISNUMBER(F67),AND(F67&gt;=1,F67&lt;=2958465,F67=INT(F67)),FALSE)),1,IF('CAJA'!$L$2&lt;&gt;1,1,IF(OR(F67&lt;'CAJA'!$C$18,F67&gt;='CAJA'!$L$9),1,0))),0)</f>
        <v>0</v>
      </c>
    </row>
    <row r="68" ht="69" customHeight="1">
      <c r="B68" s="34"/>
      <c r="C68" s="34"/>
      <c r="D68" s="34"/>
      <c r="E68" s="34"/>
      <c r="F68" s="35"/>
      <c r="G68" s="36"/>
      <c r="H68" s="34"/>
      <c r="I68" s="33" t="str">
        <f>IF(K68=0,"",IF(M68=2,"ROJO",IF(M68=1,"ÁMBAR","VERDE")))</f>
      </c>
      <c r="J68" s="33" t="str">
        <f>IF(K68=0,"",IF(OR(ISERROR(B68),ISERROR(C68),ISERROR(D68),ISERROR(E68),ISERROR(F68),ISERROR(G68),ISERROR(H68)),"Hay una entrada con error de fórmula. Corregimos el dato; no lo convertimos en cero.",IF(OR(ISERROR('CAJA'!$C$17),ISERROR('CAJA'!$C$18),ISERROR('CAJA'!$C$19),ISERROR('CAJA'!$C$20),ISERROR('CAJA'!$C$21),ISERROR('CAJA'!$C$22),ISERROR('CAJA'!$C$23)),"Corregimos la entrada con error en CAJA antes de validar el movimiento.",IF(AND(AND(LEN(TRIM(B68&amp;""))&gt;0,TRIM(B68)&lt;&gt;"Pendiente",TRIM(B68)&lt;&gt;"Por confirmar",TRIM(B68)&lt;&gt;"No consta",TRIM(B68)&lt;&gt;"Desconocido"),SUMPRODUCT(($L$10:$L$69=L68)*1)&gt;1),"ID repetido: actualizamos el mismo movimiento o separamos únicamente la parte realizada y el resto pendiente.",IF(AND(IF(ISNUMBER(F68),AND(F68&gt;=1,F68&lt;=2958465,F68=INT(F68)),FALSE),IF(ISNUMBER('CAJA'!$C$19),AND('CAJA'!$C$19&gt;=1,'CAJA'!$C$19&lt;=2958465,'CAJA'!$C$19=INT('CAJA'!$C$19)),FALSE),E68="Realizado",F68&gt;'CAJA'!$C$19),"Realizado en fecha posterior al corte: revisamos fecha y estado.",IF(AND(IF(ISNUMBER(F68),AND(F68&gt;=1,F68&lt;=2958465,F68=INT(F68)),FALSE),IF(ISNUMBER('CAJA'!$C$19),AND('CAJA'!$C$19&gt;=1,'CAJA'!$C$19&lt;=2958465,'CAJA'!$C$19=INT('CAJA'!$C$19)),FALSE),E68="Previsto",F68&lt;'CAJA'!$C$19),"Previsión vencida: actualizamos su fecha esperada o registramos el movimiento realizado; no lo damos por cobrado.",IF(AND(IF(ISNUMBER(F68),AND(F68&gt;=1,F68&lt;=2958465,F68=INT(F68)),FALSE),'CAJA'!$L$2=1,F68&lt;'CAJA'!$C$18),"Anterior al horizonte: revisamos si ya está en el saldo inicial para no contarlo dos veces.",IF(OR(AND(LEN(TRIM(G68&amp;""))&gt;0,NOT(IF(ISNUMBER(G68),AND(G68&gt;=0,G68=ROUND(G68,2)),FALSE))),AND(LEN(TRIM(F68&amp;""))&gt;0,NOT(IF(ISNUMBER(F68),AND(F68&gt;=1,F68&lt;=2958465,F68=INT(F68)),FALSE))),AND(LEN(TRIM(D68&amp;""))&gt;0,NOT(OR(D68="Cobro",D68="Pago"))),AND(LEN(TRIM(E68&amp;""))&gt;0,NOT(OR(E68="Previsto",E68="Realizado"))),AND(AND(LEN(TRIM(B68&amp;""))&gt;0,TRIM(B68)&lt;&gt;"Pendiente",TRIM(B68)&lt;&gt;"Por confirmar",TRIM(B68)&lt;&gt;"No consta",TRIM(B68)&lt;&gt;"Desconocido"),SUMPRODUCT(($L$10:$L$69=L68)*1)&gt;1),AND(IF(ISNUMBER(F68),AND(F68&gt;=1,F68&lt;=2958465,F68=INT(F68)),FALSE),IF(ISNUMBER('CAJA'!$C$19),AND('CAJA'!$C$19&gt;=1,'CAJA'!$C$19&lt;=2958465,'CAJA'!$C$19=INT('CAJA'!$C$19)),FALSE),OR(AND(E68="Realizado",F68&gt;'CAJA'!$C$19),AND(E68="Previsto",F68&lt;'CAJA'!$C$19))),AND(IF(ISNUMBER(F68),AND(F68&gt;=1,F68&lt;=2958465,F68=INT(F68)),FALSE),'CAJA'!$L$2=1,F68&lt;'CAJA'!$C$18)),"Revisamos fecha, importe positivo/cero explícito y opciones de sentido/estado. Fechas sin hora e importes a céntimos.",IF(NOT(AND(LEN(TRIM(B68&amp;""))&gt;0,TRIM(B68)&lt;&gt;"Pendiente",TRIM(B68)&lt;&gt;"Por confirmar",TRIM(B68)&lt;&gt;"No consta",TRIM(B68)&lt;&gt;"Desconocido")),"Asignamos un identificador único.",IF(NOT(AND(LEN(TRIM(C68&amp;""))&gt;0,TRIM(C68)&lt;&gt;"Pendiente",TRIM(C68)&lt;&gt;"Por confirmar",TRIM(C68)&lt;&gt;"No consta",TRIM(C68)&lt;&gt;"Desconocido")),"Identificamos el concepto.",IF(NOT(OR(D68="Cobro",D68="Pago")),"Elegimos Cobro o Pago.",IF(NOT(OR(E68="Previsto",E68="Realizado")),"Elegimos Previsto o Realizado según lo acreditado.",IF(NOT(IF(ISNUMBER(F68),AND(F68&gt;=1,F68&lt;=2958465,F68=INT(F68)),FALSE)),"Falta fecha/semana: un plazo relativo o la fecha de una oferta no bastan.",IF(NOT(IF(ISNUMBER(G68),AND(G68&gt;=0,G68=ROUND(G68,2)),FALSE)),"Falta importe efectivo; el total de presupuesto no acredita este movimiento.",IF(NOT(AND(LEN(TRIM(H68&amp;""))&gt;0,TRIM(H68)&lt;&gt;"Pendiente",TRIM(H68)&lt;&gt;"Por confirmar",TRIM(H68)&lt;&gt;"No consta",TRIM(H68)&lt;&gt;"Desconocido")),"Identificamos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CAJA.",IF(AND(IF(ISNUMBER(F68),AND(F68&gt;=1,F68&lt;=2958465,F68=INT(F68)),FALSE),'CAJA'!$L$2=1,F68&gt;='CAJA'!$L$9),"Fuera del horizonte: ampliamos semanas (hasta 26) o revisamos la ventana. Aquí no se suma.","Dato registrado para la previsión; el estado Realizado requiere su evidencia de cobro/pago."))))))))))))))))))</f>
      </c>
      <c r="K68" t="n" s="27">
        <f>IF(COUNTA(B68:H68)&gt;0,1,0)</f>
        <v>0</v>
      </c>
      <c r="L68" t="str" s="27">
        <f>IF(COUNTA(B68:H68)&gt;0,IFERROR("ID:"&amp;UPPER(TRIM(B68&amp;"")),""),"")</f>
      </c>
      <c r="M68" t="str" s="27">
        <f>IF(NOT(COUNTA(B68:H68)&gt;0),"",IF(OR(ISERROR(B68),ISERROR(C68),ISERROR(D68),ISERROR(E68),ISERROR(F68),ISERROR(G68),ISERROR(H68)),2,IF(OR(ISERROR('CAJA'!$C$17),ISERROR('CAJA'!$C$18),ISERROR('CAJA'!$C$19),ISERROR('CAJA'!$C$20),ISERROR('CAJA'!$C$21),ISERROR('CAJA'!$C$22),ISERROR('CAJA'!$C$23)),1,IF(OR(AND(LEN(TRIM(G68&amp;""))&gt;0,NOT(IF(ISNUMBER(G68),AND(G68&gt;=0,G68=ROUND(G68,2)),FALSE))),AND(LEN(TRIM(F68&amp;""))&gt;0,NOT(IF(ISNUMBER(F68),AND(F68&gt;=1,F68&lt;=2958465,F68=INT(F68)),FALSE))),AND(LEN(TRIM(D68&amp;""))&gt;0,NOT(OR(D68="Cobro",D68="Pago"))),AND(LEN(TRIM(E68&amp;""))&gt;0,NOT(OR(E68="Previsto",E68="Realizado"))),AND(AND(LEN(TRIM(B68&amp;""))&gt;0,TRIM(B68)&lt;&gt;"Pendiente",TRIM(B68)&lt;&gt;"Por confirmar",TRIM(B68)&lt;&gt;"No consta",TRIM(B68)&lt;&gt;"Desconocido"),SUMPRODUCT(($L$10:$L$69=L68)*1)&gt;1),AND(IF(ISNUMBER(F68),AND(F68&gt;=1,F68&lt;=2958465,F68=INT(F68)),FALSE),IF(ISNUMBER('CAJA'!$C$19),AND('CAJA'!$C$19&gt;=1,'CAJA'!$C$19&lt;=2958465,'CAJA'!$C$19=INT('CAJA'!$C$19)),FALSE),OR(AND(E68="Realizado",F68&gt;'CAJA'!$C$19),AND(E68="Previsto",F68&lt;'CAJA'!$C$19))),AND(IF(ISNUMBER(F68),AND(F68&gt;=1,F68&lt;=2958465,F68=INT(F68)),FALSE),'CAJA'!$L$2=1,F68&lt;'CAJA'!$C$18)),2,IF(AND(AND(LEN(TRIM(B68&amp;""))&gt;0,TRIM(B68)&lt;&gt;"Pendiente",TRIM(B68)&lt;&gt;"Por confirmar",TRIM(B68)&lt;&gt;"No consta",TRIM(B68)&lt;&gt;"Desconocido"),AND(LEN(TRIM(C68&amp;""))&gt;0,TRIM(C68)&lt;&gt;"Pendiente",TRIM(C68)&lt;&gt;"Por confirmar",TRIM(C68)&lt;&gt;"No consta",TRIM(C68)&lt;&gt;"Desconocido"),OR(D68="Cobro",D68="Pago"),OR(E68="Previsto",E68="Realizado"),IF(ISNUMBER(F68),AND(F68&gt;=1,F68&lt;=2958465,F68=INT(F68)),FALSE),IF(ISNUMBER(G68),AND(G68&gt;=0,G68=ROUND(G68,2)),FALSE),AND(LEN(TRIM(H68&amp;""))&gt;0,TRIM(H68)&lt;&gt;"Pendiente",TRIM(H68)&lt;&gt;"Por confirmar",TRIM(H68)&lt;&gt;"No consta",TRIM(H68)&lt;&gt;"Desconocido"),'CAJA'!$L$2=1,IF(ISNUMBER('CAJA'!$C$19),AND('CAJA'!$C$19&gt;=1,'CAJA'!$C$19&lt;=2958465,'CAJA'!$C$19=INT('CAJA'!$C$19)),FALSE),F68&gt;='CAJA'!$C$18,F68&lt;'CAJA'!$L$9,NOT(OR(AND(LEN(TRIM(G68&amp;""))&gt;0,NOT(IF(ISNUMBER(G68),AND(G68&gt;=0,G68=ROUND(G68,2)),FALSE))),AND(LEN(TRIM(F68&amp;""))&gt;0,NOT(IF(ISNUMBER(F68),AND(F68&gt;=1,F68&lt;=2958465,F68=INT(F68)),FALSE))),AND(LEN(TRIM(D68&amp;""))&gt;0,NOT(OR(D68="Cobro",D68="Pago"))),AND(LEN(TRIM(E68&amp;""))&gt;0,NOT(OR(E68="Previsto",E68="Realizado"))),AND(AND(LEN(TRIM(B68&amp;""))&gt;0,TRIM(B68)&lt;&gt;"Pendiente",TRIM(B68)&lt;&gt;"Por confirmar",TRIM(B68)&lt;&gt;"No consta",TRIM(B68)&lt;&gt;"Desconocido"),SUMPRODUCT(($L$10:$L$69=L68)*1)&gt;1),AND(IF(ISNUMBER(F68),AND(F68&gt;=1,F68&lt;=2958465,F68=INT(F68)),FALSE),IF(ISNUMBER('CAJA'!$C$19),AND('CAJA'!$C$19&gt;=1,'CAJA'!$C$19&lt;=2958465,'CAJA'!$C$19=INT('CAJA'!$C$19)),FALSE),OR(AND(E68="Realizado",F68&gt;'CAJA'!$C$19),AND(E68="Previsto",F68&lt;'CAJA'!$C$19))),AND(IF(ISNUMBER(F68),AND(F68&gt;=1,F68&lt;=2958465,F68=INT(F68)),FALSE),'CAJA'!$L$2=1,F68&lt;'CAJA'!$C$18)))),0,1)))))</f>
      </c>
      <c r="N68" t="n" s="27">
        <f>IF(AND(K68=1,ISNUMBER(M68),M68=0),1,0)</f>
        <v>0</v>
      </c>
      <c r="O68" t="str" s="27">
        <f>IF(IF(ISNUMBER(F68),AND(F68&gt;=1,F68&lt;=2958465,F68=INT(F68)),FALSE),F68-WEEKDAY(F68,2)+1,"")</f>
      </c>
      <c r="P68" t="n" s="27">
        <f>IF(AND(K68=1,ISNUMBER(M68),M68&gt;0),IF(NOT(IF(ISNUMBER(F68),AND(F68&gt;=1,F68&lt;=2958465,F68=INT(F68)),FALSE)),1,IF('CAJA'!$L$2&lt;&gt;1,1,IF(OR(F68&lt;'CAJA'!$C$18,F68&gt;='CAJA'!$L$9),1,0))),0)</f>
        <v>0</v>
      </c>
    </row>
    <row r="69" ht="69" customHeight="1">
      <c r="B69" s="34"/>
      <c r="C69" s="34"/>
      <c r="D69" s="34"/>
      <c r="E69" s="34"/>
      <c r="F69" s="35"/>
      <c r="G69" s="36"/>
      <c r="H69" s="34"/>
      <c r="I69" s="33" t="str">
        <f>IF(K69=0,"",IF(M69=2,"ROJO",IF(M69=1,"ÁMBAR","VERDE")))</f>
      </c>
      <c r="J69" s="33" t="str">
        <f>IF(K69=0,"",IF(OR(ISERROR(B69),ISERROR(C69),ISERROR(D69),ISERROR(E69),ISERROR(F69),ISERROR(G69),ISERROR(H69)),"Hay una entrada con error de fórmula. Corregimos el dato; no lo convertimos en cero.",IF(OR(ISERROR('CAJA'!$C$17),ISERROR('CAJA'!$C$18),ISERROR('CAJA'!$C$19),ISERROR('CAJA'!$C$20),ISERROR('CAJA'!$C$21),ISERROR('CAJA'!$C$22),ISERROR('CAJA'!$C$23)),"Corregimos la entrada con error en CAJA antes de validar el movimiento.",IF(AND(AND(LEN(TRIM(B69&amp;""))&gt;0,TRIM(B69)&lt;&gt;"Pendiente",TRIM(B69)&lt;&gt;"Por confirmar",TRIM(B69)&lt;&gt;"No consta",TRIM(B69)&lt;&gt;"Desconocido"),SUMPRODUCT(($L$10:$L$69=L69)*1)&gt;1),"ID repetido: actualizamos el mismo movimiento o separamos únicamente la parte realizada y el resto pendiente.",IF(AND(IF(ISNUMBER(F69),AND(F69&gt;=1,F69&lt;=2958465,F69=INT(F69)),FALSE),IF(ISNUMBER('CAJA'!$C$19),AND('CAJA'!$C$19&gt;=1,'CAJA'!$C$19&lt;=2958465,'CAJA'!$C$19=INT('CAJA'!$C$19)),FALSE),E69="Realizado",F69&gt;'CAJA'!$C$19),"Realizado en fecha posterior al corte: revisamos fecha y estado.",IF(AND(IF(ISNUMBER(F69),AND(F69&gt;=1,F69&lt;=2958465,F69=INT(F69)),FALSE),IF(ISNUMBER('CAJA'!$C$19),AND('CAJA'!$C$19&gt;=1,'CAJA'!$C$19&lt;=2958465,'CAJA'!$C$19=INT('CAJA'!$C$19)),FALSE),E69="Previsto",F69&lt;'CAJA'!$C$19),"Previsión vencida: actualizamos su fecha esperada o registramos el movimiento realizado; no lo damos por cobrado.",IF(AND(IF(ISNUMBER(F69),AND(F69&gt;=1,F69&lt;=2958465,F69=INT(F69)),FALSE),'CAJA'!$L$2=1,F69&lt;'CAJA'!$C$18),"Anterior al horizonte: revisamos si ya está en el saldo inicial para no contarlo dos veces.",IF(OR(AND(LEN(TRIM(G69&amp;""))&gt;0,NOT(IF(ISNUMBER(G69),AND(G69&gt;=0,G69=ROUND(G69,2)),FALSE))),AND(LEN(TRIM(F69&amp;""))&gt;0,NOT(IF(ISNUMBER(F69),AND(F69&gt;=1,F69&lt;=2958465,F69=INT(F69)),FALSE))),AND(LEN(TRIM(D69&amp;""))&gt;0,NOT(OR(D69="Cobro",D69="Pago"))),AND(LEN(TRIM(E69&amp;""))&gt;0,NOT(OR(E69="Previsto",E69="Realizado"))),AND(AND(LEN(TRIM(B69&amp;""))&gt;0,TRIM(B69)&lt;&gt;"Pendiente",TRIM(B69)&lt;&gt;"Por confirmar",TRIM(B69)&lt;&gt;"No consta",TRIM(B69)&lt;&gt;"Desconocido"),SUMPRODUCT(($L$10:$L$69=L69)*1)&gt;1),AND(IF(ISNUMBER(F69),AND(F69&gt;=1,F69&lt;=2958465,F69=INT(F69)),FALSE),IF(ISNUMBER('CAJA'!$C$19),AND('CAJA'!$C$19&gt;=1,'CAJA'!$C$19&lt;=2958465,'CAJA'!$C$19=INT('CAJA'!$C$19)),FALSE),OR(AND(E69="Realizado",F69&gt;'CAJA'!$C$19),AND(E69="Previsto",F69&lt;'CAJA'!$C$19))),AND(IF(ISNUMBER(F69),AND(F69&gt;=1,F69&lt;=2958465,F69=INT(F69)),FALSE),'CAJA'!$L$2=1,F69&lt;'CAJA'!$C$18)),"Revisamos fecha, importe positivo/cero explícito y opciones de sentido/estado. Fechas sin hora e importes a céntimos.",IF(NOT(AND(LEN(TRIM(B69&amp;""))&gt;0,TRIM(B69)&lt;&gt;"Pendiente",TRIM(B69)&lt;&gt;"Por confirmar",TRIM(B69)&lt;&gt;"No consta",TRIM(B69)&lt;&gt;"Desconocido")),"Asignamos un identificador único.",IF(NOT(AND(LEN(TRIM(C69&amp;""))&gt;0,TRIM(C69)&lt;&gt;"Pendiente",TRIM(C69)&lt;&gt;"Por confirmar",TRIM(C69)&lt;&gt;"No consta",TRIM(C69)&lt;&gt;"Desconocido")),"Identificamos el concepto.",IF(NOT(OR(D69="Cobro",D69="Pago")),"Elegimos Cobro o Pago.",IF(NOT(OR(E69="Previsto",E69="Realizado")),"Elegimos Previsto o Realizado según lo acreditado.",IF(NOT(IF(ISNUMBER(F69),AND(F69&gt;=1,F69&lt;=2958465,F69=INT(F69)),FALSE)),"Falta fecha/semana: un plazo relativo o la fecha de una oferta no bastan.",IF(NOT(IF(ISNUMBER(G69),AND(G69&gt;=0,G69=ROUND(G69,2)),FALSE)),"Falta importe efectivo; el total de presupuesto no acredita este movimiento.",IF(NOT(AND(LEN(TRIM(H69&amp;""))&gt;0,TRIM(H69)&lt;&gt;"Pendiente",TRIM(H69)&lt;&gt;"Por confirmar",TRIM(H69)&lt;&gt;"No consta",TRIM(H69)&lt;&gt;"Desconocido")),"Identificamos la fuente o referencia del dato y estado.",IF(NOT(IF(ISNUMBER('CAJA'!$C$19),AND('CAJA'!$C$19&gt;=1,'CAJA'!$C$19&lt;=2958465,'CAJA'!$C$19=INT('CAJA'!$C$19)),FALSE)),"Completamos la fecha de actualización en CAJA para distinguir previsto de realizado.",IF('CAJA'!$L$2&lt;&gt;1,"Completamos primer lunes y horizonte en CAJA.",IF(AND(IF(ISNUMBER(F69),AND(F69&gt;=1,F69&lt;=2958465,F69=INT(F69)),FALSE),'CAJA'!$L$2=1,F69&gt;='CAJA'!$L$9),"Fuera del horizonte: ampliamos semanas (hasta 26) o revisamos la ventana. Aquí no se suma.","Dato registrado para la previsión; el estado Realizado requiere su evidencia de cobro/pago."))))))))))))))))))</f>
      </c>
      <c r="K69" t="n" s="27">
        <f>IF(COUNTA(B69:H69)&gt;0,1,0)</f>
        <v>0</v>
      </c>
      <c r="L69" t="str" s="27">
        <f>IF(COUNTA(B69:H69)&gt;0,IFERROR("ID:"&amp;UPPER(TRIM(B69&amp;"")),""),"")</f>
      </c>
      <c r="M69" t="str" s="27">
        <f>IF(NOT(COUNTA(B69:H69)&gt;0),"",IF(OR(ISERROR(B69),ISERROR(C69),ISERROR(D69),ISERROR(E69),ISERROR(F69),ISERROR(G69),ISERROR(H69)),2,IF(OR(ISERROR('CAJA'!$C$17),ISERROR('CAJA'!$C$18),ISERROR('CAJA'!$C$19),ISERROR('CAJA'!$C$20),ISERROR('CAJA'!$C$21),ISERROR('CAJA'!$C$22),ISERROR('CAJA'!$C$23)),1,IF(OR(AND(LEN(TRIM(G69&amp;""))&gt;0,NOT(IF(ISNUMBER(G69),AND(G69&gt;=0,G69=ROUND(G69,2)),FALSE))),AND(LEN(TRIM(F69&amp;""))&gt;0,NOT(IF(ISNUMBER(F69),AND(F69&gt;=1,F69&lt;=2958465,F69=INT(F69)),FALSE))),AND(LEN(TRIM(D69&amp;""))&gt;0,NOT(OR(D69="Cobro",D69="Pago"))),AND(LEN(TRIM(E69&amp;""))&gt;0,NOT(OR(E69="Previsto",E69="Realizado"))),AND(AND(LEN(TRIM(B69&amp;""))&gt;0,TRIM(B69)&lt;&gt;"Pendiente",TRIM(B69)&lt;&gt;"Por confirmar",TRIM(B69)&lt;&gt;"No consta",TRIM(B69)&lt;&gt;"Desconocido"),SUMPRODUCT(($L$10:$L$69=L69)*1)&gt;1),AND(IF(ISNUMBER(F69),AND(F69&gt;=1,F69&lt;=2958465,F69=INT(F69)),FALSE),IF(ISNUMBER('CAJA'!$C$19),AND('CAJA'!$C$19&gt;=1,'CAJA'!$C$19&lt;=2958465,'CAJA'!$C$19=INT('CAJA'!$C$19)),FALSE),OR(AND(E69="Realizado",F69&gt;'CAJA'!$C$19),AND(E69="Previsto",F69&lt;'CAJA'!$C$19))),AND(IF(ISNUMBER(F69),AND(F69&gt;=1,F69&lt;=2958465,F69=INT(F69)),FALSE),'CAJA'!$L$2=1,F69&lt;'CAJA'!$C$18)),2,IF(AND(AND(LEN(TRIM(B69&amp;""))&gt;0,TRIM(B69)&lt;&gt;"Pendiente",TRIM(B69)&lt;&gt;"Por confirmar",TRIM(B69)&lt;&gt;"No consta",TRIM(B69)&lt;&gt;"Desconocido"),AND(LEN(TRIM(C69&amp;""))&gt;0,TRIM(C69)&lt;&gt;"Pendiente",TRIM(C69)&lt;&gt;"Por confirmar",TRIM(C69)&lt;&gt;"No consta",TRIM(C69)&lt;&gt;"Desconocido"),OR(D69="Cobro",D69="Pago"),OR(E69="Previsto",E69="Realizado"),IF(ISNUMBER(F69),AND(F69&gt;=1,F69&lt;=2958465,F69=INT(F69)),FALSE),IF(ISNUMBER(G69),AND(G69&gt;=0,G69=ROUND(G69,2)),FALSE),AND(LEN(TRIM(H69&amp;""))&gt;0,TRIM(H69)&lt;&gt;"Pendiente",TRIM(H69)&lt;&gt;"Por confirmar",TRIM(H69)&lt;&gt;"No consta",TRIM(H69)&lt;&gt;"Desconocido"),'CAJA'!$L$2=1,IF(ISNUMBER('CAJA'!$C$19),AND('CAJA'!$C$19&gt;=1,'CAJA'!$C$19&lt;=2958465,'CAJA'!$C$19=INT('CAJA'!$C$19)),FALSE),F69&gt;='CAJA'!$C$18,F69&lt;'CAJA'!$L$9,NOT(OR(AND(LEN(TRIM(G69&amp;""))&gt;0,NOT(IF(ISNUMBER(G69),AND(G69&gt;=0,G69=ROUND(G69,2)),FALSE))),AND(LEN(TRIM(F69&amp;""))&gt;0,NOT(IF(ISNUMBER(F69),AND(F69&gt;=1,F69&lt;=2958465,F69=INT(F69)),FALSE))),AND(LEN(TRIM(D69&amp;""))&gt;0,NOT(OR(D69="Cobro",D69="Pago"))),AND(LEN(TRIM(E69&amp;""))&gt;0,NOT(OR(E69="Previsto",E69="Realizado"))),AND(AND(LEN(TRIM(B69&amp;""))&gt;0,TRIM(B69)&lt;&gt;"Pendiente",TRIM(B69)&lt;&gt;"Por confirmar",TRIM(B69)&lt;&gt;"No consta",TRIM(B69)&lt;&gt;"Desconocido"),SUMPRODUCT(($L$10:$L$69=L69)*1)&gt;1),AND(IF(ISNUMBER(F69),AND(F69&gt;=1,F69&lt;=2958465,F69=INT(F69)),FALSE),IF(ISNUMBER('CAJA'!$C$19),AND('CAJA'!$C$19&gt;=1,'CAJA'!$C$19&lt;=2958465,'CAJA'!$C$19=INT('CAJA'!$C$19)),FALSE),OR(AND(E69="Realizado",F69&gt;'CAJA'!$C$19),AND(E69="Previsto",F69&lt;'CAJA'!$C$19))),AND(IF(ISNUMBER(F69),AND(F69&gt;=1,F69&lt;=2958465,F69=INT(F69)),FALSE),'CAJA'!$L$2=1,F69&lt;'CAJA'!$C$18)))),0,1)))))</f>
      </c>
      <c r="N69" t="n" s="27">
        <f>IF(AND(K69=1,ISNUMBER(M69),M69=0),1,0)</f>
        <v>0</v>
      </c>
      <c r="O69" t="str" s="27">
        <f>IF(IF(ISNUMBER(F69),AND(F69&gt;=1,F69&lt;=2958465,F69=INT(F69)),FALSE),F69-WEEKDAY(F69,2)+1,"")</f>
      </c>
      <c r="P69" t="n" s="27">
        <f>IF(AND(K69=1,ISNUMBER(M69),M69&gt;0),IF(NOT(IF(ISNUMBER(F69),AND(F69&gt;=1,F69&lt;=2958465,F69=INT(F69)),FALSE)),1,IF('CAJA'!$L$2&lt;&gt;1,1,IF(OR(F69&lt;'CAJA'!$C$18,F69&gt;='CAJA'!$L$9),1,0))),0)</f>
        <v>0</v>
      </c>
    </row>
    <row r="70" ht="27" customHeight="1">
      <c r="B70" s="25"/>
      <c r="C70" s="25"/>
      <c r="D70" s="25"/>
      <c r="E70" s="25"/>
      <c r="F70" s="25"/>
      <c r="G70" s="25"/>
      <c r="H70" s="25"/>
      <c r="I70" s="25"/>
      <c r="J70" s="25"/>
    </row>
    <row r="71" ht="26" customHeight="1">
      <c r="B71" s="29" t="str">
        <v>Si solo tenemos una oferta o condición de pago, la registramos como Previsto y dejamos importe o fecha pendientes cuando no estén acreditados. No inventamos un anticipo ni una fecha bancaria para completar la fila.</v>
      </c>
      <c r="C71" s="29"/>
      <c r="D71" s="29"/>
      <c r="E71" s="29"/>
      <c r="F71" s="29"/>
      <c r="G71" s="29"/>
      <c r="H71" s="29"/>
      <c r="I71" s="29"/>
      <c r="J71" s="29"/>
    </row>
    <row r="72" ht="26" customHeight="1">
      <c r="B72" s="29"/>
      <c r="C72" s="29"/>
      <c r="D72" s="29"/>
      <c r="E72" s="29"/>
      <c r="F72" s="29"/>
      <c r="G72" s="29"/>
      <c r="H72" s="29"/>
      <c r="I72" s="29"/>
      <c r="J72" s="29"/>
    </row>
    <row r="73" ht="27" customHeight="1">
      <c r="B73" s="25"/>
      <c r="C73" s="25"/>
      <c r="D73" s="25"/>
      <c r="E73" s="25"/>
      <c r="F73" s="25"/>
      <c r="G73" s="25"/>
      <c r="H73" s="25"/>
      <c r="I73" s="25"/>
      <c r="J73" s="25"/>
    </row>
    <row r="74" ht="31" customHeight="1">
      <c r="B74" s="29" t="str">
        <v>Hay 60 filas. Para ampliar, retiramos protección y revisamos todos los rangos semanales, identificadores y fórmulas antes de usar la ampliación.</v>
      </c>
      <c r="C74" s="29"/>
      <c r="D74" s="29"/>
      <c r="E74" s="29"/>
      <c r="F74" s="29"/>
      <c r="G74" s="29"/>
      <c r="H74" s="29"/>
      <c r="I74" s="29"/>
      <c r="J74" s="29"/>
    </row>
    <row r="75" ht="27" customHeight="1">
      <c r="B75" s="25"/>
      <c r="C75" s="25"/>
      <c r="D75" s="25"/>
      <c r="E75" s="25"/>
      <c r="F75" s="25"/>
      <c r="G75" s="25"/>
      <c r="H75" s="25"/>
      <c r="I75" s="25"/>
      <c r="J75" s="25"/>
    </row>
    <row r="76" ht="27" customHeight="1">
      <c r="B76" s="30" t="str">
        <v>Cuitó Digital · cuitodigital.com</v>
      </c>
      <c r="C76" s="30"/>
      <c r="D76" s="30"/>
      <c r="E76" s="30"/>
      <c r="F76" s="30"/>
      <c r="G76" s="30"/>
      <c r="H76" s="30"/>
      <c r="I76" s="30"/>
      <c r="J76" s="30"/>
    </row>
  </sheetData>
  <sheetProtection sheet="1" objects="1" scenarios="1" formatCells="1" formatColumns="0" formatRows="0" insertColumns="1" insertRows="1" deleteColumns="1" deleteRows="1" sort="1" autoFilter="1" selectLockedCells="0" selectUnlockedCells="0"/>
  <mergeCells>
    <mergeCell ref="B2:I3"/>
    <mergeCell ref="B5:J6"/>
    <mergeCell ref="B7:J7"/>
    <mergeCell ref="B71:J72"/>
    <mergeCell ref="B74:J74"/>
    <mergeCell ref="B76:J76"/>
  </mergeCells>
  <conditionalFormatting sqref="I10:I69">
    <cfRule type="expression" dxfId="2" priority="1">
      <formula>$M10=0</formula>
    </cfRule>
    <cfRule type="expression" dxfId="3" priority="2">
      <formula>$M10=1</formula>
    </cfRule>
    <cfRule type="expression" dxfId="4" priority="3">
      <formula>$M10=2</formula>
    </cfRule>
  </conditionalFormatting>
  <dataValidations count="3">
    <dataValidation type="list" sqref="D10:D69" showErrorMessage="1" errorStyle="stop" allowBlank="1" errorTitle="Revisamos el dato" error="Elegimos una opción válida. Un dato pendiente no es cero.">
      <formula1>"Cobro,Pago"</formula1>
    </dataValidation>
    <dataValidation type="list" sqref="E10:E69" showErrorMessage="1" errorStyle="stop" allowBlank="1" errorTitle="Revisamos el dato" error="Elegimos una opción válida. Un dato pendiente no es cero.">
      <formula1>"Previsto,Realizado"</formula1>
    </dataValidation>
    <dataValidation type="decimal" operator="greaterThanOrEqual" sqref="G10:G69" showErrorMessage="1" errorStyle="stop" allowBlank="1" errorTitle="Revisamos el dato" error="Elegimos una opción válida. Un dato pendiente no es cero.">
      <formula1>0</formula1>
    </dataValidation>
  </dataValidations>
  <pageMargins left=".25" right=".25" top=".35" bottom=".35" header=".15" footer=".15"/>
  <pageSetup paperSize="9" orientation="landscape" fitToWidth="1" fitToHeight="0"/>
  <headerFooter>
    <oddFooter>&amp;LCuitó Digital · cuitodigital.com&amp;R&amp;P</oddFooter>
  </headerFooter>
  <drawing r:id="Rcf61f2f26354459e"/>
</worksheet>
</file>

<file path=xl/worksheets/sheet3.xml><?xml version="1.0" encoding="utf-8"?>
<worksheet xmlns="http://schemas.openxmlformats.org/spreadsheetml/2006/main" xmlns:r="http://schemas.openxmlformats.org/officeDocument/2006/relationships">
  <sheetPr>
    <pageSetUpPr fitToPage="1"/>
  </sheetPr>
  <sheetViews>
    <sheetView showGridLines="0" workbookViewId="0" zoomScale="80"/>
  </sheetViews>
  <sheetFormatPr defaultRowHeight="15"/>
  <cols>
    <col min="1" max="1" width="3" hidden="0" customWidth="1"/>
    <col min="2" max="2" width="32" hidden="0" customWidth="1"/>
    <col min="3" max="3" width="32" hidden="0" customWidth="1"/>
    <col min="4" max="4" width="32" hidden="0" customWidth="1"/>
    <col min="5" max="5" width="59" hidden="0" customWidth="1"/>
  </cols>
  <sheetData>
    <row r="1" ht="27" customHeight="1">
      <c r="B1" s="25"/>
      <c r="C1" s="25"/>
      <c r="D1" s="25"/>
      <c r="E1" s="25"/>
    </row>
    <row r="2" ht="26" customHeight="1">
      <c r="B2" s="26" t="str">
        <v>Cómo prevemos el dinero que tendremos que adelantar</v>
      </c>
      <c r="C2" s="26"/>
      <c r="D2" s="26"/>
      <c r="E2" s="25"/>
    </row>
    <row r="3" ht="26" customHeight="1">
      <c r="B3" s="26"/>
      <c r="C3" s="26"/>
      <c r="D3" s="26"/>
      <c r="E3" s="25"/>
    </row>
    <row r="4" ht="27" customHeight="1">
      <c r="B4" s="28"/>
      <c r="C4" s="28"/>
      <c r="D4" s="28"/>
      <c r="E4" s="28"/>
    </row>
    <row r="5" ht="27" customHeight="1">
      <c r="B5" s="25"/>
      <c r="C5" s="25"/>
      <c r="D5" s="25"/>
      <c r="E5" s="25"/>
    </row>
    <row r="6" ht="29" customHeight="1">
      <c r="B6" s="29" t="str">
        <v>Guardamos una copia para una obra o fase. En CAJA fijamos primer lunes, saldo al día anterior, fecha de corte y horizonte de 1 a 26 semanas. El ejercicio empieza con 12 semanas y supuestos didácticos.</v>
      </c>
      <c r="C6" s="29"/>
      <c r="D6" s="29"/>
      <c r="E6" s="29"/>
    </row>
    <row r="7" ht="29" customHeight="1">
      <c r="B7" s="29"/>
      <c r="C7" s="29"/>
      <c r="D7" s="29"/>
      <c r="E7" s="29"/>
    </row>
    <row r="8" ht="27" customHeight="1">
      <c r="B8" s="25"/>
      <c r="C8" s="25"/>
      <c r="D8" s="25"/>
      <c r="E8" s="25"/>
    </row>
    <row r="9" ht="29" customHeight="1">
      <c r="B9" s="29" t="str">
        <v>El saldo inicial es el disponible al inicio del horizonte, no el beneficio ni el saldo actual si vamos a volver a contar cobros/pagos anteriores. Conservamos su referencia. Un vacío significa desconocido; 0 y negativos se introducen expresamente.</v>
      </c>
      <c r="C9" s="29"/>
      <c r="D9" s="29"/>
      <c r="E9" s="29"/>
    </row>
    <row r="10" ht="29" customHeight="1">
      <c r="B10" s="29"/>
      <c r="C10" s="29"/>
      <c r="D10" s="29"/>
      <c r="E10" s="29"/>
    </row>
    <row r="11" ht="27" customHeight="1">
      <c r="B11" s="25"/>
      <c r="C11" s="25"/>
      <c r="D11" s="25"/>
      <c r="E11" s="25"/>
    </row>
    <row r="12" ht="29" customHeight="1">
      <c r="B12" s="29" t="str">
        <v>En MOVIMIENTOS anotamos importes efectivos positivos: Cobro entra y Pago sale. No añadimos un cálculo de impuestos, margen, rentabilidad ni precio de venta. Una base de presupuesto no equivale automáticamente al importe que se cobra o paga.</v>
      </c>
      <c r="C12" s="29"/>
      <c r="D12" s="29"/>
      <c r="E12" s="29"/>
    </row>
    <row r="13" ht="29" customHeight="1">
      <c r="B13" s="29"/>
      <c r="C13" s="29"/>
      <c r="D13" s="29"/>
      <c r="E13" s="29"/>
    </row>
    <row r="14" ht="27" customHeight="1">
      <c r="B14" s="25"/>
      <c r="C14" s="25"/>
      <c r="D14" s="25"/>
      <c r="E14" s="25"/>
    </row>
    <row r="15" ht="29" customHeight="1">
      <c r="B15" s="29" t="str">
        <v>Previsto es una entrada/salida que todavía esperamos. Realizado exige dinero ya cobrado/pagado y referencia. Una factura emitida, oferta, pedido o condición de pago no acredita por sí sola un movimiento bancario.</v>
      </c>
      <c r="C15" s="29"/>
      <c r="D15" s="29"/>
      <c r="E15" s="29"/>
    </row>
    <row r="16" ht="29" customHeight="1">
      <c r="B16" s="29"/>
      <c r="C16" s="29"/>
      <c r="D16" s="29"/>
      <c r="E16" s="29"/>
    </row>
    <row r="17" ht="27" customHeight="1">
      <c r="B17" s="25"/>
      <c r="C17" s="25"/>
      <c r="D17" s="25"/>
      <c r="E17" s="25"/>
    </row>
    <row r="18" ht="29" customHeight="1">
      <c r="B18" s="29" t="str">
        <v>Al realizarse un movimiento, actualizamos su misma fila, fecha, importe y estado. No mantenemos el previsto completo y añadimos lo realizado. En pagos/cobros parciales separamos únicamente parte realizada y resto pendiente con ID distintos.</v>
      </c>
      <c r="C18" s="29"/>
      <c r="D18" s="29"/>
      <c r="E18" s="29"/>
    </row>
    <row r="19" ht="29" customHeight="1">
      <c r="B19" s="29"/>
      <c r="C19" s="29"/>
      <c r="D19" s="29"/>
      <c r="E19" s="29"/>
    </row>
    <row r="20" ht="27" customHeight="1">
      <c r="B20" s="25"/>
      <c r="C20" s="25"/>
      <c r="D20" s="25"/>
      <c r="E20" s="25"/>
    </row>
    <row r="21" ht="29" customHeight="1">
      <c r="B21" s="29" t="str">
        <v>La fecha que escribimos determina la semana, de lunes a domingo. Realizado posterior al corte o Previsto anterior al corte se señala. Un plazo de 30 días sin fecha de inicio no se convierte automáticamente en un vencimiento.</v>
      </c>
      <c r="C21" s="29"/>
      <c r="D21" s="29"/>
      <c r="E21" s="29"/>
    </row>
    <row r="22" ht="29" customHeight="1">
      <c r="B22" s="29"/>
      <c r="C22" s="29"/>
      <c r="D22" s="29"/>
      <c r="E22" s="29"/>
    </row>
    <row r="23" ht="27" customHeight="1">
      <c r="B23" s="25"/>
      <c r="C23" s="25"/>
      <c r="D23" s="25"/>
      <c r="E23" s="25"/>
    </row>
    <row r="24" ht="29" customHeight="1">
      <c r="B24" s="29" t="str">
        <v>Una fila sin importe o con datos pendientes interrumpe el saldo desde su semana. Una fecha desconocida, fuera de la ventana o previa al inicio impide presentar saldos de la ventana hasta resolverla. Los totales de movimientos fechados no cubren lo pendiente.</v>
      </c>
      <c r="C24" s="29"/>
      <c r="D24" s="29"/>
      <c r="E24" s="29"/>
    </row>
    <row r="25" ht="29" customHeight="1">
      <c r="B25" s="29"/>
      <c r="C25" s="29"/>
      <c r="D25" s="29"/>
      <c r="E25" s="29"/>
    </row>
    <row r="26" ht="27" customHeight="1">
      <c r="B26" s="25"/>
      <c r="C26" s="25"/>
      <c r="D26" s="25"/>
      <c r="E26" s="25"/>
    </row>
    <row r="27" ht="29" customHeight="1">
      <c r="B27" s="29" t="str">
        <v>En cada semana partimos de apertura, restamos todos los pagos y después sumamos todos los cobros. Así vemos el escenario de pagar antes de cobrar y el saldo al cierre. No afirmamos que ese sea el orden bancario real dentro de la semana.</v>
      </c>
      <c r="C27" s="29"/>
      <c r="D27" s="29"/>
      <c r="E27" s="29"/>
    </row>
    <row r="28" ht="29" customHeight="1">
      <c r="B28" s="29"/>
      <c r="C28" s="29"/>
      <c r="D28" s="29"/>
      <c r="E28" s="29"/>
    </row>
    <row r="29" ht="27" customHeight="1">
      <c r="B29" s="25"/>
      <c r="C29" s="25"/>
      <c r="D29" s="25"/>
      <c r="E29" s="25"/>
    </row>
    <row r="30" ht="29" customHeight="1">
      <c r="B30" s="29" t="str">
        <v>El adelanto del escenario es el mayor saldo negativo tras pagar, incluyendo el inicial si ya era negativo. El déficit al cierre puede ser menor. No basta con terminar una semana en positivo si antes hemos tenido que pagar.</v>
      </c>
      <c r="C30" s="29"/>
      <c r="D30" s="29"/>
      <c r="E30" s="29"/>
    </row>
    <row r="31" ht="29" customHeight="1">
      <c r="B31" s="29"/>
      <c r="C31" s="29"/>
      <c r="D31" s="29"/>
      <c r="E31" s="29"/>
    </row>
    <row r="32" ht="27" customHeight="1">
      <c r="B32" s="25"/>
      <c r="C32" s="25"/>
      <c r="D32" s="25"/>
      <c r="E32" s="25"/>
    </row>
    <row r="33" ht="29" customHeight="1">
      <c r="B33" s="29" t="str">
        <v>Solo cerramos el adelanto si no quedan incidencias y declaramos cobertura Completa para el horizonte. En revisión significa parcial. Comprobamos compras, industriales, personal, medios y demás cobros/pagos pertinentes sin inventar lo que no conocemos.</v>
      </c>
      <c r="C33" s="29"/>
      <c r="D33" s="29"/>
      <c r="E33" s="29"/>
    </row>
    <row r="34" ht="29" customHeight="1">
      <c r="B34" s="29"/>
      <c r="C34" s="29"/>
      <c r="D34" s="29"/>
      <c r="E34" s="29"/>
    </row>
    <row r="35" ht="27" customHeight="1">
      <c r="B35" s="25"/>
      <c r="C35" s="25"/>
      <c r="D35" s="25"/>
      <c r="E35" s="25"/>
    </row>
    <row r="36" ht="29" customHeight="1">
      <c r="B36" s="29" t="str">
        <v>La previsión no cubre otras semanas, movimientos omitidos o cambios futuros. No es beneficio ni financiación garantizada. Si se financia una parte, registramos su entrada de dinero cuando corresponda; no añadimos aportaciones automáticas.</v>
      </c>
      <c r="C36" s="29"/>
      <c r="D36" s="29"/>
      <c r="E36" s="29"/>
    </row>
    <row r="37" ht="29" customHeight="1">
      <c r="B37" s="29"/>
      <c r="C37" s="29"/>
      <c r="D37" s="29"/>
      <c r="E37" s="29"/>
    </row>
    <row r="38" ht="27" customHeight="1">
      <c r="B38" s="25"/>
      <c r="C38" s="25"/>
      <c r="D38" s="25"/>
      <c r="E38" s="25"/>
    </row>
    <row r="39" ht="27" customHeight="1">
      <c r="B39" s="25"/>
      <c r="C39" s="25"/>
      <c r="D39" s="25"/>
      <c r="E39" s="25"/>
    </row>
    <row r="40" ht="27" customHeight="1">
      <c r="B40" s="25"/>
      <c r="C40" s="25"/>
      <c r="D40" s="25"/>
      <c r="E40" s="25"/>
    </row>
    <row r="41" ht="51" customHeight="1">
      <c r="B41" s="38" t="str">
        <v>Ejercicio ya cargado</v>
      </c>
      <c r="C41" s="38" t="str">
        <v>Supuestos didácticos</v>
      </c>
      <c r="D41" s="38" t="str">
        <v>Resultado</v>
      </c>
      <c r="E41" s="38" t="str">
        <v>Por qué lo separamos</v>
      </c>
    </row>
    <row r="42" ht="86" customHeight="1">
      <c r="B42" s="33" t="str">
        <v>Apertura y primera semana</v>
      </c>
      <c r="C42" s="33" t="str">
        <v>Saldo 1.000 €; cobramos 2.000 € y pagamos 4.500 €</v>
      </c>
      <c r="D42" s="33" t="str">
        <v>Cierre: −1.500 €; tras pagar primero: −3.500 €</v>
      </c>
      <c r="E42" s="33" t="str">
        <v>Fechas, saldo y movimientos del ejercicio son supuestos, no operaciones reales de clientes.</v>
      </c>
    </row>
    <row r="43" ht="86" customHeight="1">
      <c r="B43" s="33" t="str">
        <v>Segunda semana</v>
      </c>
      <c r="C43" s="33" t="str">
        <v>Cobramos 5.000 € y pagamos 3.000 €</v>
      </c>
      <c r="D43" s="33" t="str">
        <v>Cierre: 500 €; tras pagar primero: −4.500 €</v>
      </c>
      <c r="E43" s="33" t="str">
        <v>El cierre positivo no elimina el adelanto del escenario dentro de esa semana.</v>
      </c>
    </row>
    <row r="44" ht="86" customHeight="1">
      <c r="B44" s="33" t="str">
        <v>Mayor adelanto del escenario</v>
      </c>
      <c r="C44" s="33" t="str">
        <v>Ventana didáctica de 12 semanas</v>
      </c>
      <c r="D44" s="33" t="str">
        <v>4.500 €; semana que comienza el 19/10/2026</v>
      </c>
      <c r="E44" s="33" t="str">
        <v>Déficit máximo al cierre: 1.500 €. No presentamos 4.500 € como financiación garantizada.</v>
      </c>
    </row>
    <row r="45" ht="27" customHeight="1">
      <c r="B45" s="25"/>
      <c r="C45" s="25"/>
      <c r="D45" s="25"/>
      <c r="E45" s="25"/>
    </row>
    <row r="46" ht="27" customHeight="1">
      <c r="B46" s="25"/>
      <c r="C46" s="25"/>
      <c r="D46" s="25"/>
      <c r="E46" s="25"/>
    </row>
    <row r="47" ht="51" customHeight="1">
      <c r="B47" s="38" t="str">
        <v>Caso real anonimizado</v>
      </c>
      <c r="C47" s="38" t="str">
        <v>Qué consta</v>
      </c>
      <c r="D47" s="38" t="str">
        <v>Qué falta</v>
      </c>
      <c r="E47" s="38" t="str">
        <v>Cómo lo conserva el Excel</v>
      </c>
    </row>
    <row r="48" ht="94" customHeight="1">
      <c r="B48" s="33" t="str">
        <v>Ejemplo 1 · estructura</v>
      </c>
      <c r="C48" s="33" t="str">
        <v>Forma de pago con plazo relativo</v>
      </c>
      <c r="D48" s="33" t="str">
        <v>Hito, fecha de vencimiento, importe efectivo y justificante</v>
      </c>
      <c r="E48" s="33" t="str">
        <v>Previsto con datos pendientes. No sumamos días a la fecha del archivo.</v>
      </c>
    </row>
    <row r="49" ht="94" customHeight="1">
      <c r="B49" s="33" t="str">
        <v>Ejemplo 2 · suministro</v>
      </c>
      <c r="C49" s="33" t="str">
        <v>Pago al contado sobre albarán/factura</v>
      </c>
      <c r="D49" s="33" t="str">
        <v>Fecha de suministro, extras y total de caja coherente</v>
      </c>
      <c r="E49" s="33" t="str">
        <v>No lo marcamos Realizado ni damos el importe por conocido.</v>
      </c>
    </row>
    <row r="50" ht="94" customHeight="1">
      <c r="B50" s="33" t="str">
        <v>Ejemplo 3 · carpintería</v>
      </c>
      <c r="C50" s="33" t="str">
        <v>Oferta de un trabajo instalado</v>
      </c>
      <c r="D50" s="33" t="str">
        <v>Condiciones de pago, fechas e importe de caja</v>
      </c>
      <c r="E50" s="33" t="str">
        <v>No inventamos anticipo ni pago. Una oferta no es un movimiento bancario.</v>
      </c>
    </row>
    <row r="51" ht="27" customHeight="1">
      <c r="B51" s="25"/>
      <c r="C51" s="25"/>
      <c r="D51" s="25"/>
      <c r="E51" s="25"/>
    </row>
    <row r="52" ht="29" customHeight="1">
      <c r="B52" s="29" t="str">
        <v>Son tres ofertas de obras distintas y no acreditan una cronología de caja. Las pruebas reales comprueban pendientes. El ejemplo numérico completo utiliza únicamente supuestos didácticos, identificados como tales.</v>
      </c>
      <c r="C52" s="29"/>
      <c r="D52" s="29"/>
      <c r="E52" s="29"/>
    </row>
    <row r="53" ht="29" customHeight="1">
      <c r="B53" s="29"/>
      <c r="C53" s="29"/>
      <c r="D53" s="29"/>
      <c r="E53" s="29"/>
    </row>
    <row r="54" ht="27" customHeight="1">
      <c r="B54" s="25"/>
      <c r="C54" s="25"/>
      <c r="D54" s="25"/>
      <c r="E54" s="25"/>
    </row>
    <row r="55" ht="29" customHeight="1">
      <c r="B55" s="29" t="str">
        <v>Entradas amarillas, fórmulas bloqueadas y protección sin contraseña en las tres hojas. Podemos desproteger para adaptar el archivo. La previsión admite 60 movimientos y 26 semanas; ampliarla exige revisar los rangos.</v>
      </c>
      <c r="C55" s="29"/>
      <c r="D55" s="29"/>
      <c r="E55" s="29"/>
    </row>
    <row r="56" ht="29" customHeight="1">
      <c r="B56" s="29"/>
      <c r="C56" s="29"/>
      <c r="D56" s="29"/>
      <c r="E56" s="29"/>
    </row>
    <row r="57" ht="27" customHeight="1">
      <c r="B57" s="25"/>
      <c r="C57" s="25"/>
      <c r="D57" s="25"/>
      <c r="E57" s="25"/>
    </row>
    <row r="58" ht="29" customHeight="1">
      <c r="B58" s="29" t="str">
        <v>Damos importes a céntimos y fechas sin hora. Verde indica datos suficientes para el cálculo declarado; ámbar, pendientes o cobertura parcial; rojo, contradicciones. Los saldos negativos también se destacan para leer la necesidad de caja.</v>
      </c>
      <c r="C58" s="29"/>
      <c r="D58" s="29"/>
      <c r="E58" s="29"/>
    </row>
    <row r="59" ht="29" customHeight="1">
      <c r="B59" s="29"/>
      <c r="C59" s="29"/>
      <c r="D59" s="29"/>
      <c r="E59" s="29"/>
    </row>
    <row r="60" ht="27" customHeight="1">
      <c r="B60" s="25"/>
      <c r="C60" s="25"/>
      <c r="D60" s="25"/>
      <c r="E60" s="25"/>
    </row>
    <row r="61" ht="29" customHeight="1">
      <c r="B61" s="29" t="str">
        <v>La herramienta no conecta bancos, facturación ni contabilidad. Conservamos documentos y referencias en nuestra copia privada. No incluimos originales, nombres, direcciones ni precios privados en los ejemplos públicos.</v>
      </c>
      <c r="C61" s="29"/>
      <c r="D61" s="29"/>
      <c r="E61" s="29"/>
    </row>
    <row r="62" ht="29" customHeight="1">
      <c r="B62" s="29"/>
      <c r="C62" s="29"/>
      <c r="D62" s="29"/>
      <c r="E62" s="29"/>
    </row>
    <row r="63" ht="27" customHeight="1">
      <c r="B63" s="25"/>
      <c r="C63" s="25"/>
      <c r="D63" s="25"/>
      <c r="E63" s="25"/>
    </row>
    <row r="64" ht="27" customHeight="1">
      <c r="B64" s="25"/>
      <c r="C64" s="25"/>
      <c r="D64" s="25"/>
      <c r="E64" s="25"/>
    </row>
    <row r="65" ht="27" customHeight="1">
      <c r="B65" s="30" t="str">
        <v>Cuitó Digital · cuitodigital.com</v>
      </c>
      <c r="C65" s="30"/>
      <c r="D65" s="30"/>
      <c r="E65" s="30"/>
    </row>
    <row r="66" ht="27" customHeight="1">
      <c r="B66" s="30" t="str">
        <v>¿Lo quieres hecho? cuitodigital.com/presupuestos-a-medida</v>
      </c>
      <c r="C66" s="30"/>
      <c r="D66" s="30"/>
      <c r="E66" s="30"/>
    </row>
    <row r="67" ht="27" customHeight="1">
      <c r="B67" s="30"/>
      <c r="C67" s="30"/>
      <c r="D67" s="30"/>
      <c r="E67" s="30"/>
    </row>
    <row r="68" ht="27" customHeight="1">
      <c r="B68" s="25"/>
      <c r="C68" s="25"/>
      <c r="D68" s="25"/>
      <c r="E68" s="25"/>
    </row>
    <row r="69" ht="27" customHeight="1">
      <c r="B69" s="25"/>
      <c r="C69" s="25"/>
      <c r="D69" s="25"/>
      <c r="E69" s="25"/>
    </row>
    <row r="70" ht="27" customHeight="1">
      <c r="B70" s="25"/>
      <c r="C70" s="25"/>
      <c r="D70" s="25"/>
      <c r="E70" s="25"/>
    </row>
  </sheetData>
  <sheetProtection sheet="1" objects="1" scenarios="1" formatCells="1" formatColumns="0" formatRows="0" insertColumns="1" insertRows="1" deleteColumns="1" deleteRows="1" sort="1" autoFilter="1" selectLockedCells="0" selectUnlockedCells="0"/>
  <mergeCells>
    <mergeCell ref="B2:D3"/>
    <mergeCell ref="B6:E7"/>
    <mergeCell ref="B9:E10"/>
    <mergeCell ref="B12:E13"/>
    <mergeCell ref="B15:E16"/>
    <mergeCell ref="B18:E19"/>
    <mergeCell ref="B21:E22"/>
    <mergeCell ref="B24:E25"/>
    <mergeCell ref="B27:E28"/>
    <mergeCell ref="B30:E31"/>
    <mergeCell ref="B33:E34"/>
    <mergeCell ref="B36:E37"/>
    <mergeCell ref="B52:E53"/>
    <mergeCell ref="B55:E56"/>
    <mergeCell ref="B58:E59"/>
    <mergeCell ref="B61:E62"/>
    <mergeCell ref="B65:E65"/>
    <mergeCell ref="B66:E67"/>
  </mergeCells>
  <pageMargins left=".25" right=".25" top=".35" bottom=".35" header=".15" footer=".15"/>
  <pageSetup paperSize="9" orientation="landscape" fitToWidth="1" fitToHeight="0"/>
  <headerFooter>
    <oddFooter>&amp;LCuitó Digital · cuitodigital.com&amp;R&amp;P</oddFooter>
  </headerFooter>
  <drawing r:id="Ree95feb2b2ec412d"/>
</worksheet>
</file>

<file path=docProps/core.xml><?xml version="1.0" encoding="utf-8"?>
<cp:coreProperties xmlns:cp="http://schemas.openxmlformats.org/package/2006/metadata/core-properties" xmlns:dc="http://purl.org/dc/elements/1.1/">
  <dc:creator>Cuitó Digital</dc:creator>
  <cp:lastModifiedBy>Cuitó Digital</cp:lastModifiedBy>
  <dc:title>¿Cuánto dinero tendrás que adelantar en esta obra?</dc:title>
</cp:coreProperties>
</file>